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150" windowWidth="16605" windowHeight="2925" firstSheet="13" activeTab="14"/>
  </bookViews>
  <sheets>
    <sheet name="INSTRUCCIONES" sheetId="4" r:id="rId1"/>
    <sheet name="SEGUIMIENTO EQUILIBRIO" sheetId="19" r:id="rId2"/>
    <sheet name="VERIFICACION MANTENIMIENTO" sheetId="18" r:id="rId3"/>
    <sheet name="ENERO" sheetId="5" r:id="rId4"/>
    <sheet name="FEBRERO" sheetId="6" r:id="rId5"/>
    <sheet name="MARZO" sheetId="7" r:id="rId6"/>
    <sheet name="ABRIL" sheetId="8" r:id="rId7"/>
    <sheet name="MAYO" sheetId="9" r:id="rId8"/>
    <sheet name="JUNIO" sheetId="10" r:id="rId9"/>
    <sheet name="JULIO" sheetId="11" r:id="rId10"/>
    <sheet name="AGOSTO" sheetId="12" r:id="rId11"/>
    <sheet name="SEPTIEMBRE" sheetId="13" r:id="rId12"/>
    <sheet name="OCTUBRE" sheetId="14" r:id="rId13"/>
    <sheet name="NOVIEMBRE" sheetId="15" r:id="rId14"/>
    <sheet name="DICIEMBRE" sheetId="16" r:id="rId15"/>
    <sheet name="Datos para el 2193" sheetId="20"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$196:$AM$202,ABRIL!$AL$204:$AM$205,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$196:$AM$202,AGOSTO!$AL$204:$AM$205,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$196:$AM$202,DICIEMBRE!$AL$204:$AM$205,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$196:$AM$202,ENERO!$AL$204:$AM$205,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$196:$AM$202,FEBRERO!$AL$204:$AM$205,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$196:$AM$202,JULIO!$AL$204:$AM$205,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$196:$AM$202,JUNIO!$AL$204:$AM$205,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$196:$AM$202,MARZO!$AL$204:$AM$205,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$196:$AM$202,MAYO!$AL$204:$AM$205,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$196:$AM$202,NOVIEMBRE!$AL$204:$AM$205,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$196:$AM$202,OCTUBRE!$AL$204:$AM$205,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$196:$AM$202,SEPTIEMBRE!$AL$204:$AM$205,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6">ABRIL!$A$2:$N$125,ABRIL!$S$2:$AJ$259</definedName>
    <definedName name="_xlnm.Print_Area" localSheetId="10">AGOSTO!$S$2:$AJ$259</definedName>
    <definedName name="_xlnm.Print_Area" localSheetId="15">'Datos para el 2193'!$B$1:$R$57</definedName>
    <definedName name="_xlnm.Print_Area" localSheetId="14">DICIEMBRE!$A$2:$N$125,DICIEMBRE!$S$2:$AJ$259</definedName>
    <definedName name="_xlnm.Print_Area" localSheetId="3">ENERO!$A$2:$N$125,ENERO!$S$2:$AJ$259</definedName>
    <definedName name="_xlnm.Print_Area" localSheetId="4">FEBRERO!$A$2:$N$125,FEBRERO!$S$2:$AJ$259</definedName>
    <definedName name="_xlnm.Print_Area" localSheetId="9">JULIO!$A$2:$N$125,JULIO!$S$2:$AJ$259</definedName>
    <definedName name="_xlnm.Print_Area" localSheetId="8">JUNIO!$A$2:$N$125,JUNIO!$S$2:$AJ$259</definedName>
    <definedName name="_xlnm.Print_Area" localSheetId="5">MARZO!$A$2:$N$125,MARZO!$S$2:$AJ$259</definedName>
    <definedName name="_xlnm.Print_Area" localSheetId="7">MAYO!$A$2:$N$125,MAYO!$S$2:$AJ$259</definedName>
    <definedName name="_xlnm.Print_Area" localSheetId="13">NOVIEMBRE!$A$2:$N$125,NOVIEMBRE!$S$2:$AJ$259</definedName>
    <definedName name="_xlnm.Print_Area" localSheetId="12">OCTUBRE!$A$2:$N$125,OCTUBRE!$S$2:$AJ$259</definedName>
    <definedName name="_xlnm.Print_Area" localSheetId="11">SEPTIEMBRE!$A$2:$N$125,SEPTIEMBRE!$S$2:$AJ$259</definedName>
    <definedName name="B" localSheetId="1">[1]CXP!$AJ$1:$AL$128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$196:$Z$202,ABRIL!$Z$204:$Z$205,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$196:$Z$202,AGOSTO!$Z$204:$Z$205,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$196:$Z$202,DICIEMBRE!$Z$204:$Z$205,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$196:$Z$202,ENERO!$Z$204:$Z$205,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$196:$Z$202,FEBRERO!$Z$204:$Z$205,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$196:$Z$202,JULIO!$Z$204:$Z$205,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$196:$Z$202,JUNIO!$Z$204:$Z$205,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$196:$Z$202,MARZO!$Z$204:$Z$205,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$196:$Z$202,MAYO!$Z$204:$Z$205,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$196:$Z$202,NOVIEMBRE!$Z$204:$Z$205,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$196:$Z$202,OCTUBRE!$Z$204:$Z$205,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$196:$Z$202,SEPTIEMBRE!$Z$204:$Z$205,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$196:$AC$202,ABRIL!$AC$204:$AC$205,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$196:$Z$202,AGOSTO!$Z$204:$Z$205,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$196:$AC$202,DICIEMBRE!$AC$204:$AC$205,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$196:$AC$202,ENERO!$AC$204:$AC$205,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$196:$AC$202,FEBRERO!$AC$204:$AC$205,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$196:$AC$202,JULIO!$AC$204:$AC$205,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$196:$AC$202,JUNIO!$AC$204:$AC$205,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$196:$AC$202,MARZO!$AC$204:$AC$205,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$196:$AC$202,MAYO!$AC$204:$AC$205,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$196:$AC$202,NOVIEMBRE!$AC$204:$AC$205,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$196:$AC$202,OCTUBRE!$AC$204:$AC$205,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$196:$AC$202,SEPTIEMBRE!$AC$204:$AC$205,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$196:$AF$202,ABRIL!$AF$204:$AF$205,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$196:$AF$202,AGOSTO!$AF$204:$AF$205,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$196:$AF$202,DICIEMBRE!$AF$204:$AF$205,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$196:$AF$202,ENERO!$AF$204:$AF$205,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$196:$AF$202,FEBRERO!$AF$204:$AF$205,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$196:$AF$202,JULIO!$AF$204:$AF$205,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$196:$AF$202,JUNIO!$AF$204:$AF$205,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$196:$AF$202,MARZO!$AF$204:$AF$205,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$196:$AF$202,MAYO!$AF$204:$AF$205,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$196:$AF$202,NOVIEMBRE!$AF$204:$AF$205,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$196:$AF$202,OCTUBRE!$AF$204:$AF$205,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$196:$AF$202,SEPTIEMBRE!$AF$204:$AF$205,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$196:$U$202,ENERO!$U$204:$U$205,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6">ABRIL!$2:$6</definedName>
    <definedName name="_xlnm.Print_Titles" localSheetId="10">AGOSTO!$2:$6</definedName>
    <definedName name="_xlnm.Print_Titles" localSheetId="14">DICIEMBRE!$2:$6</definedName>
    <definedName name="_xlnm.Print_Titles" localSheetId="3">ENERO!$2:$6</definedName>
    <definedName name="_xlnm.Print_Titles" localSheetId="4">FEBRERO!$2:$6</definedName>
    <definedName name="_xlnm.Print_Titles" localSheetId="9">JULIO!$2:$6</definedName>
    <definedName name="_xlnm.Print_Titles" localSheetId="8">JUNIO!$2:$6</definedName>
    <definedName name="_xlnm.Print_Titles" localSheetId="5">MARZO!$2:$6</definedName>
    <definedName name="_xlnm.Print_Titles" localSheetId="7">MAYO!$2:$6</definedName>
    <definedName name="_xlnm.Print_Titles" localSheetId="13">NOVIEMBRE!$2:$6</definedName>
    <definedName name="_xlnm.Print_Titles" localSheetId="12">OCTUBRE!$2:$6</definedName>
    <definedName name="_xlnm.Print_Titles" localSheetId="11">SEPTIEMBRE!$2:$6</definedName>
  </definedNames>
  <calcPr calcId="145621" calcMode="autoNoTable" iterate="1"/>
</workbook>
</file>

<file path=xl/calcChain.xml><?xml version="1.0" encoding="utf-8"?>
<calcChain xmlns="http://schemas.openxmlformats.org/spreadsheetml/2006/main">
  <c r="AC244" i="7" l="1"/>
  <c r="Z244" i="7"/>
  <c r="AL205" i="6"/>
  <c r="AL153" i="6"/>
  <c r="F45" i="20"/>
  <c r="G45" i="20"/>
  <c r="H45" i="20"/>
  <c r="I45" i="20"/>
  <c r="J45" i="20"/>
  <c r="K45" i="20"/>
  <c r="L45" i="20"/>
  <c r="M45" i="20"/>
  <c r="N45" i="20"/>
  <c r="O45" i="20"/>
  <c r="P45" i="20"/>
  <c r="Q45" i="20"/>
  <c r="E45" i="20"/>
  <c r="D45" i="20"/>
  <c r="C45" i="20"/>
  <c r="R45" i="20" l="1"/>
  <c r="BE18" i="16"/>
  <c r="BE18" i="15"/>
  <c r="BE18" i="14"/>
  <c r="BE18" i="13"/>
  <c r="BE18" i="12"/>
  <c r="BE18" i="11"/>
  <c r="BE18" i="10"/>
  <c r="BE18" i="9"/>
  <c r="BE18" i="8"/>
  <c r="BE18" i="7"/>
  <c r="BE18" i="6"/>
  <c r="BE18" i="5"/>
  <c r="Q21" i="20"/>
  <c r="Q20" i="20"/>
  <c r="Q19" i="20"/>
  <c r="Q18" i="20"/>
  <c r="P21" i="20"/>
  <c r="P20" i="20"/>
  <c r="P19" i="20"/>
  <c r="P18" i="20"/>
  <c r="O21" i="20"/>
  <c r="O20" i="20"/>
  <c r="O19" i="20"/>
  <c r="O18" i="20"/>
  <c r="N21" i="20"/>
  <c r="N20" i="20"/>
  <c r="N19" i="20"/>
  <c r="N18" i="20"/>
  <c r="M21" i="20"/>
  <c r="M20" i="20"/>
  <c r="M19" i="20"/>
  <c r="M18" i="20"/>
  <c r="L21" i="20"/>
  <c r="L20" i="20"/>
  <c r="L19" i="20"/>
  <c r="L18" i="20"/>
  <c r="K21" i="20"/>
  <c r="K20" i="20"/>
  <c r="K19" i="20"/>
  <c r="K18" i="20"/>
  <c r="J21" i="20"/>
  <c r="J20" i="20"/>
  <c r="J19" i="20"/>
  <c r="J18" i="20"/>
  <c r="I21" i="20"/>
  <c r="I20" i="20"/>
  <c r="I19" i="20"/>
  <c r="I18" i="20"/>
  <c r="H18" i="20"/>
  <c r="H19" i="20"/>
  <c r="H20" i="20"/>
  <c r="H21" i="20"/>
  <c r="G21" i="20"/>
  <c r="G20" i="20"/>
  <c r="G19" i="20"/>
  <c r="G18" i="20"/>
  <c r="F21" i="20"/>
  <c r="F20" i="20"/>
  <c r="F19" i="20"/>
  <c r="F18" i="20"/>
  <c r="BE13" i="6"/>
  <c r="BE13" i="5"/>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K117" i="9"/>
  <c r="K117" i="8"/>
  <c r="H117" i="8"/>
  <c r="Q117" i="7"/>
  <c r="P117" i="7"/>
  <c r="K117" i="7"/>
  <c r="H117" i="7"/>
  <c r="Q117" i="6"/>
  <c r="P117" i="6"/>
  <c r="K117" i="6"/>
  <c r="H117" i="6"/>
  <c r="K117" i="5"/>
  <c r="H117" i="5"/>
  <c r="Q117" i="5"/>
  <c r="P117" i="5"/>
  <c r="C117" i="5"/>
  <c r="D12" i="5"/>
  <c r="D12" i="6" s="1"/>
  <c r="D12" i="7" s="1"/>
  <c r="D12" i="8" s="1"/>
  <c r="D12" i="9" s="1"/>
  <c r="D12" i="10" s="1"/>
  <c r="D12" i="11" s="1"/>
  <c r="D12" i="12" s="1"/>
  <c r="D12" i="13" s="1"/>
  <c r="D12" i="14" s="1"/>
  <c r="D12" i="15" s="1"/>
  <c r="D12" i="16" s="1"/>
  <c r="D13" i="5"/>
  <c r="D13" i="6" s="1"/>
  <c r="D13" i="7" s="1"/>
  <c r="D13" i="8" s="1"/>
  <c r="D13" i="9" s="1"/>
  <c r="D13" i="10" s="1"/>
  <c r="D13" i="11" s="1"/>
  <c r="D14" i="5"/>
  <c r="D14" i="6" s="1"/>
  <c r="D14" i="7" s="1"/>
  <c r="D14" i="8" s="1"/>
  <c r="D14" i="9" s="1"/>
  <c r="D15" i="5"/>
  <c r="D15" i="6" s="1"/>
  <c r="D15" i="7" s="1"/>
  <c r="D15" i="8" s="1"/>
  <c r="D15" i="9" s="1"/>
  <c r="D15" i="10" s="1"/>
  <c r="D15" i="11" s="1"/>
  <c r="D15" i="12" s="1"/>
  <c r="D15" i="13" s="1"/>
  <c r="D15" i="14" s="1"/>
  <c r="D15" i="15" s="1"/>
  <c r="D15" i="16" s="1"/>
  <c r="D23" i="5"/>
  <c r="D23" i="6" s="1"/>
  <c r="D23" i="7" s="1"/>
  <c r="D23" i="8" s="1"/>
  <c r="D23" i="9" s="1"/>
  <c r="D23" i="10" s="1"/>
  <c r="D23" i="11" s="1"/>
  <c r="D23" i="12" s="1"/>
  <c r="D23" i="13" s="1"/>
  <c r="D23" i="14" s="1"/>
  <c r="D23" i="15" s="1"/>
  <c r="D23" i="16" s="1"/>
  <c r="D24" i="5"/>
  <c r="D24" i="6" s="1"/>
  <c r="D24" i="7" s="1"/>
  <c r="D24" i="8" s="1"/>
  <c r="D24" i="9" s="1"/>
  <c r="D24" i="10" s="1"/>
  <c r="D24" i="11" s="1"/>
  <c r="D24" i="12" s="1"/>
  <c r="D24" i="13" s="1"/>
  <c r="D24" i="14" s="1"/>
  <c r="D26" i="5"/>
  <c r="D26" i="6" s="1"/>
  <c r="D26" i="7" s="1"/>
  <c r="D27" i="5"/>
  <c r="D27" i="6" s="1"/>
  <c r="D27" i="7" s="1"/>
  <c r="D27" i="8" s="1"/>
  <c r="D27" i="9" s="1"/>
  <c r="D27" i="10" s="1"/>
  <c r="D27" i="11" s="1"/>
  <c r="D27" i="12" s="1"/>
  <c r="D27" i="13" s="1"/>
  <c r="D27" i="14" s="1"/>
  <c r="D27" i="15" s="1"/>
  <c r="D27" i="16" s="1"/>
  <c r="D30" i="5"/>
  <c r="D30" i="6" s="1"/>
  <c r="D30" i="7" s="1"/>
  <c r="D30" i="8" s="1"/>
  <c r="D30" i="9" s="1"/>
  <c r="D30" i="10" s="1"/>
  <c r="D30" i="11" s="1"/>
  <c r="D30" i="12" s="1"/>
  <c r="D30" i="13" s="1"/>
  <c r="D30" i="14" s="1"/>
  <c r="D30" i="15" s="1"/>
  <c r="D30" i="16" s="1"/>
  <c r="D31" i="5"/>
  <c r="D31" i="6" s="1"/>
  <c r="D31" i="7" s="1"/>
  <c r="D31" i="8" s="1"/>
  <c r="D31" i="9" s="1"/>
  <c r="D31" i="10" s="1"/>
  <c r="D31" i="11" s="1"/>
  <c r="D31" i="12" s="1"/>
  <c r="D31" i="13" s="1"/>
  <c r="D31" i="14" s="1"/>
  <c r="D33" i="5"/>
  <c r="D33" i="6" s="1"/>
  <c r="D33" i="7" s="1"/>
  <c r="D33" i="8" s="1"/>
  <c r="D33" i="9" s="1"/>
  <c r="D34" i="5"/>
  <c r="D34" i="6" s="1"/>
  <c r="D34" i="7" s="1"/>
  <c r="D34" i="8" s="1"/>
  <c r="D34" i="9" s="1"/>
  <c r="D34" i="10" s="1"/>
  <c r="D34" i="11" s="1"/>
  <c r="D34" i="12" s="1"/>
  <c r="D34" i="13" s="1"/>
  <c r="D34" i="14" s="1"/>
  <c r="D34" i="15" s="1"/>
  <c r="D34" i="16" s="1"/>
  <c r="D36" i="5"/>
  <c r="D36" i="6" s="1"/>
  <c r="D36" i="7" s="1"/>
  <c r="D36" i="8" s="1"/>
  <c r="D36" i="9" s="1"/>
  <c r="D36" i="10" s="1"/>
  <c r="D36" i="11" s="1"/>
  <c r="D36" i="12" s="1"/>
  <c r="D36" i="13" s="1"/>
  <c r="D36" i="14" s="1"/>
  <c r="D36" i="15" s="1"/>
  <c r="D36" i="16" s="1"/>
  <c r="D37" i="5"/>
  <c r="D37" i="6" s="1"/>
  <c r="D37" i="7" s="1"/>
  <c r="D37" i="8" s="1"/>
  <c r="D37" i="9" s="1"/>
  <c r="D37" i="10" s="1"/>
  <c r="D37" i="11" s="1"/>
  <c r="D37" i="12" s="1"/>
  <c r="D37" i="13" s="1"/>
  <c r="D37" i="14" s="1"/>
  <c r="D37" i="15" s="1"/>
  <c r="D37" i="16" s="1"/>
  <c r="D41" i="5"/>
  <c r="D41" i="6" s="1"/>
  <c r="D41" i="7" s="1"/>
  <c r="D41" i="8" s="1"/>
  <c r="D43" i="5"/>
  <c r="D43" i="6" s="1"/>
  <c r="D43" i="7" s="1"/>
  <c r="D43" i="8" s="1"/>
  <c r="D43" i="9" s="1"/>
  <c r="D43" i="10" s="1"/>
  <c r="D43" i="11" s="1"/>
  <c r="D43" i="12" s="1"/>
  <c r="D43" i="13" s="1"/>
  <c r="D43" i="14" s="1"/>
  <c r="D43" i="15" s="1"/>
  <c r="D43" i="16" s="1"/>
  <c r="D44" i="5"/>
  <c r="D44" i="6" s="1"/>
  <c r="D44" i="7" s="1"/>
  <c r="D44" i="8" s="1"/>
  <c r="D44" i="9" s="1"/>
  <c r="D44" i="10" s="1"/>
  <c r="D44" i="11" s="1"/>
  <c r="D44" i="12" s="1"/>
  <c r="D44" i="13" s="1"/>
  <c r="D44" i="14" s="1"/>
  <c r="D44" i="15" s="1"/>
  <c r="D46" i="5"/>
  <c r="D46" i="6" s="1"/>
  <c r="D46" i="7" s="1"/>
  <c r="D46" i="8" s="1"/>
  <c r="D46" i="9" s="1"/>
  <c r="D46" i="10" s="1"/>
  <c r="D46" i="11" s="1"/>
  <c r="D46" i="12" s="1"/>
  <c r="D46" i="13" s="1"/>
  <c r="D46" i="14" s="1"/>
  <c r="D46" i="15" s="1"/>
  <c r="D46" i="16" s="1"/>
  <c r="D47" i="5"/>
  <c r="D47" i="6" s="1"/>
  <c r="D47" i="7" s="1"/>
  <c r="D47" i="8" s="1"/>
  <c r="D47" i="9" s="1"/>
  <c r="D47" i="10" s="1"/>
  <c r="D47" i="11" s="1"/>
  <c r="D47" i="12" s="1"/>
  <c r="D47" i="13" s="1"/>
  <c r="D49" i="5"/>
  <c r="D49" i="6" s="1"/>
  <c r="D49" i="7" s="1"/>
  <c r="D49" i="8" s="1"/>
  <c r="D49" i="9" s="1"/>
  <c r="D49" i="10" s="1"/>
  <c r="D49" i="11" s="1"/>
  <c r="D49" i="12" s="1"/>
  <c r="D49" i="13" s="1"/>
  <c r="D49" i="14" s="1"/>
  <c r="D49" i="15" s="1"/>
  <c r="D49" i="16" s="1"/>
  <c r="D50" i="5"/>
  <c r="D50" i="6" s="1"/>
  <c r="D50" i="7" s="1"/>
  <c r="D50" i="8" s="1"/>
  <c r="D50" i="9" s="1"/>
  <c r="D50" i="10" s="1"/>
  <c r="D50" i="11" s="1"/>
  <c r="D50" i="12" s="1"/>
  <c r="D50" i="13" s="1"/>
  <c r="D50" i="14" s="1"/>
  <c r="D50" i="15" s="1"/>
  <c r="D50" i="16" s="1"/>
  <c r="D52" i="5"/>
  <c r="D52" i="6" s="1"/>
  <c r="D52" i="7" s="1"/>
  <c r="D52" i="8" s="1"/>
  <c r="D52" i="9" s="1"/>
  <c r="D52" i="10" s="1"/>
  <c r="D52" i="11" s="1"/>
  <c r="D52" i="12" s="1"/>
  <c r="D52" i="13" s="1"/>
  <c r="D52" i="14" s="1"/>
  <c r="D52" i="15" s="1"/>
  <c r="D52" i="16" s="1"/>
  <c r="D53" i="5"/>
  <c r="D53" i="6" s="1"/>
  <c r="D53" i="7" s="1"/>
  <c r="D53" i="8" s="1"/>
  <c r="D53" i="9" s="1"/>
  <c r="D53" i="10" s="1"/>
  <c r="D53" i="11" s="1"/>
  <c r="D55" i="5"/>
  <c r="D55" i="6" s="1"/>
  <c r="D55" i="7" s="1"/>
  <c r="D55" i="8" s="1"/>
  <c r="D55" i="9" s="1"/>
  <c r="D55" i="10" s="1"/>
  <c r="D55" i="11" s="1"/>
  <c r="D55" i="12" s="1"/>
  <c r="D55" i="13" s="1"/>
  <c r="D55" i="14" s="1"/>
  <c r="D55" i="15" s="1"/>
  <c r="D55" i="16" s="1"/>
  <c r="D56" i="5"/>
  <c r="D56" i="6" s="1"/>
  <c r="D56" i="7" s="1"/>
  <c r="D56" i="8" s="1"/>
  <c r="D56" i="9" s="1"/>
  <c r="D58" i="5"/>
  <c r="D58" i="6" s="1"/>
  <c r="D58" i="7" s="1"/>
  <c r="D58" i="8" s="1"/>
  <c r="D58" i="9" s="1"/>
  <c r="D58" i="10" s="1"/>
  <c r="D58" i="11" s="1"/>
  <c r="D58" i="12" s="1"/>
  <c r="D58" i="13" s="1"/>
  <c r="D58" i="14" s="1"/>
  <c r="D58" i="15" s="1"/>
  <c r="D58" i="16" s="1"/>
  <c r="D59" i="5"/>
  <c r="D59" i="6" s="1"/>
  <c r="D59" i="7" s="1"/>
  <c r="D59" i="8" s="1"/>
  <c r="D59" i="9" s="1"/>
  <c r="D59" i="10" s="1"/>
  <c r="D59" i="11" s="1"/>
  <c r="D61" i="5"/>
  <c r="D61" i="6" s="1"/>
  <c r="D61" i="7" s="1"/>
  <c r="D62" i="5"/>
  <c r="D62" i="6"/>
  <c r="D62" i="7" s="1"/>
  <c r="D62" i="8" s="1"/>
  <c r="D62" i="9" s="1"/>
  <c r="D62" i="10" s="1"/>
  <c r="D62" i="11" s="1"/>
  <c r="D62" i="12" s="1"/>
  <c r="D62" i="13" s="1"/>
  <c r="D62" i="14" s="1"/>
  <c r="D62" i="15" s="1"/>
  <c r="D64" i="5"/>
  <c r="D64" i="6"/>
  <c r="D64" i="7" s="1"/>
  <c r="D64" i="8" s="1"/>
  <c r="D64" i="9" s="1"/>
  <c r="D64" i="10" s="1"/>
  <c r="D65" i="5"/>
  <c r="D65" i="6"/>
  <c r="D65" i="7" s="1"/>
  <c r="D65" i="8" s="1"/>
  <c r="D65" i="9" s="1"/>
  <c r="D65" i="10" s="1"/>
  <c r="D65" i="11" s="1"/>
  <c r="D67" i="5"/>
  <c r="D67" i="6"/>
  <c r="D67" i="7" s="1"/>
  <c r="D67" i="8" s="1"/>
  <c r="D67" i="9" s="1"/>
  <c r="D68" i="5"/>
  <c r="D68" i="6" s="1"/>
  <c r="D68" i="7" s="1"/>
  <c r="D68" i="8" s="1"/>
  <c r="D68" i="9" s="1"/>
  <c r="D68" i="10" s="1"/>
  <c r="D68" i="11" s="1"/>
  <c r="D68" i="12" s="1"/>
  <c r="D68" i="13" s="1"/>
  <c r="D68" i="14" s="1"/>
  <c r="D68" i="15" s="1"/>
  <c r="D68" i="16" s="1"/>
  <c r="D70" i="5"/>
  <c r="D70" i="6" s="1"/>
  <c r="D70" i="7" s="1"/>
  <c r="D71" i="5"/>
  <c r="D71" i="6" s="1"/>
  <c r="D71" i="7" s="1"/>
  <c r="D71" i="8" s="1"/>
  <c r="D71" i="9" s="1"/>
  <c r="D71" i="10" s="1"/>
  <c r="D71" i="11" s="1"/>
  <c r="D73" i="5"/>
  <c r="D73" i="6" s="1"/>
  <c r="D73" i="7" s="1"/>
  <c r="D74" i="5"/>
  <c r="D74" i="6"/>
  <c r="D74" i="7" s="1"/>
  <c r="D74" i="8" s="1"/>
  <c r="D74" i="9" s="1"/>
  <c r="D74" i="10" s="1"/>
  <c r="D74" i="11" s="1"/>
  <c r="D74" i="12" s="1"/>
  <c r="D74" i="13" s="1"/>
  <c r="D74" i="14" s="1"/>
  <c r="D74" i="15" s="1"/>
  <c r="D76" i="5"/>
  <c r="D76" i="6"/>
  <c r="D76" i="7" s="1"/>
  <c r="D76" i="8" s="1"/>
  <c r="D76" i="9" s="1"/>
  <c r="D76" i="10" s="1"/>
  <c r="D76" i="11" s="1"/>
  <c r="D76" i="12" s="1"/>
  <c r="D76" i="13" s="1"/>
  <c r="D76" i="14" s="1"/>
  <c r="D76" i="15" s="1"/>
  <c r="D76" i="16" s="1"/>
  <c r="D77" i="5"/>
  <c r="D77" i="6"/>
  <c r="D77" i="7" s="1"/>
  <c r="D77" i="8" s="1"/>
  <c r="D77" i="9" s="1"/>
  <c r="D77" i="10" s="1"/>
  <c r="D79" i="5"/>
  <c r="D79" i="6"/>
  <c r="D79" i="7" s="1"/>
  <c r="D79" i="8" s="1"/>
  <c r="D79" i="9" s="1"/>
  <c r="D80" i="5"/>
  <c r="D80" i="6" s="1"/>
  <c r="D80" i="7" s="1"/>
  <c r="D80" i="8" s="1"/>
  <c r="D80" i="9" s="1"/>
  <c r="D80" i="10" s="1"/>
  <c r="D80" i="11" s="1"/>
  <c r="D80" i="12" s="1"/>
  <c r="D82" i="5"/>
  <c r="D82" i="6" s="1"/>
  <c r="D82" i="7" s="1"/>
  <c r="D82" i="8" s="1"/>
  <c r="D82" i="9" s="1"/>
  <c r="D82" i="10" s="1"/>
  <c r="D82" i="11" s="1"/>
  <c r="D82" i="12" s="1"/>
  <c r="D82" i="13" s="1"/>
  <c r="D82" i="14" s="1"/>
  <c r="D83" i="5"/>
  <c r="D83" i="6" s="1"/>
  <c r="D83" i="7" s="1"/>
  <c r="D83" i="8" s="1"/>
  <c r="D83" i="9" s="1"/>
  <c r="D83" i="10" s="1"/>
  <c r="D83" i="11" s="1"/>
  <c r="D86" i="5"/>
  <c r="D86" i="6" s="1"/>
  <c r="D86" i="7" s="1"/>
  <c r="D86" i="8" s="1"/>
  <c r="D86" i="9" s="1"/>
  <c r="D86" i="10" s="1"/>
  <c r="D86" i="11" s="1"/>
  <c r="D86" i="12" s="1"/>
  <c r="D86" i="13" s="1"/>
  <c r="D86" i="14" s="1"/>
  <c r="D86" i="15" s="1"/>
  <c r="D86" i="16" s="1"/>
  <c r="D87" i="5"/>
  <c r="D87" i="6" s="1"/>
  <c r="D87" i="7" s="1"/>
  <c r="D87" i="8" s="1"/>
  <c r="D87" i="9" s="1"/>
  <c r="D87" i="10" s="1"/>
  <c r="D87" i="11" s="1"/>
  <c r="D87" i="12" s="1"/>
  <c r="D87" i="13" s="1"/>
  <c r="D87" i="14" s="1"/>
  <c r="D87" i="15" s="1"/>
  <c r="D87" i="16" s="1"/>
  <c r="D88" i="5"/>
  <c r="D88" i="6" s="1"/>
  <c r="D88" i="7" s="1"/>
  <c r="D88" i="8" s="1"/>
  <c r="D88" i="9" s="1"/>
  <c r="D88" i="10" s="1"/>
  <c r="D88" i="11" s="1"/>
  <c r="D88" i="12" s="1"/>
  <c r="D88" i="13" s="1"/>
  <c r="D88" i="14" s="1"/>
  <c r="D88" i="15" s="1"/>
  <c r="D89" i="5"/>
  <c r="D89" i="6" s="1"/>
  <c r="D89" i="7" s="1"/>
  <c r="D89" i="8" s="1"/>
  <c r="D89" i="9" s="1"/>
  <c r="D89" i="10" s="1"/>
  <c r="D90" i="5"/>
  <c r="D90" i="6" s="1"/>
  <c r="D90" i="7" s="1"/>
  <c r="D90" i="8" s="1"/>
  <c r="D90" i="9" s="1"/>
  <c r="D90" i="10" s="1"/>
  <c r="D90" i="11" s="1"/>
  <c r="D90" i="12" s="1"/>
  <c r="D90" i="13" s="1"/>
  <c r="D90" i="14" s="1"/>
  <c r="D90" i="15" s="1"/>
  <c r="D90" i="16" s="1"/>
  <c r="D91" i="5"/>
  <c r="D91" i="6" s="1"/>
  <c r="D91" i="7" s="1"/>
  <c r="D91" i="8" s="1"/>
  <c r="D91" i="9" s="1"/>
  <c r="D91" i="10" s="1"/>
  <c r="D91" i="11" s="1"/>
  <c r="D91" i="12" s="1"/>
  <c r="D91" i="13" s="1"/>
  <c r="D91" i="14" s="1"/>
  <c r="D91" i="15" s="1"/>
  <c r="D91" i="16" s="1"/>
  <c r="D92" i="5"/>
  <c r="D92" i="6" s="1"/>
  <c r="D92" i="7" s="1"/>
  <c r="D92" i="8" s="1"/>
  <c r="D92" i="9" s="1"/>
  <c r="D92" i="10" s="1"/>
  <c r="D92" i="11" s="1"/>
  <c r="D94" i="5"/>
  <c r="D94" i="6" s="1"/>
  <c r="D94" i="7" s="1"/>
  <c r="D95" i="5"/>
  <c r="D95" i="6" s="1"/>
  <c r="D95" i="7" s="1"/>
  <c r="D95" i="8" s="1"/>
  <c r="D95" i="9" s="1"/>
  <c r="D95" i="10" s="1"/>
  <c r="D95" i="11" s="1"/>
  <c r="D95" i="12" s="1"/>
  <c r="D95" i="13" s="1"/>
  <c r="D95" i="14" s="1"/>
  <c r="D95" i="15" s="1"/>
  <c r="D95" i="16" s="1"/>
  <c r="D96" i="5"/>
  <c r="D96" i="6" s="1"/>
  <c r="D96" i="7" s="1"/>
  <c r="D96" i="8" s="1"/>
  <c r="D96" i="9" s="1"/>
  <c r="D96" i="10" s="1"/>
  <c r="D96" i="11" s="1"/>
  <c r="D96" i="12" s="1"/>
  <c r="D96" i="13" s="1"/>
  <c r="D96" i="14" s="1"/>
  <c r="D97" i="5"/>
  <c r="D97" i="6"/>
  <c r="D97" i="7" s="1"/>
  <c r="D97" i="8" s="1"/>
  <c r="D97" i="9" s="1"/>
  <c r="D97" i="10" s="1"/>
  <c r="D97" i="11" s="1"/>
  <c r="D100" i="5"/>
  <c r="D100" i="6"/>
  <c r="D100" i="7" s="1"/>
  <c r="D100" i="8" s="1"/>
  <c r="D100" i="9" s="1"/>
  <c r="D100" i="10" s="1"/>
  <c r="D100" i="11" s="1"/>
  <c r="D100" i="12" s="1"/>
  <c r="D101" i="5"/>
  <c r="D101" i="6"/>
  <c r="D101" i="7" s="1"/>
  <c r="D101" i="8" s="1"/>
  <c r="D101" i="9" s="1"/>
  <c r="D101" i="10" s="1"/>
  <c r="D101" i="11" s="1"/>
  <c r="D101" i="12" s="1"/>
  <c r="D101" i="13" s="1"/>
  <c r="D101" i="14" s="1"/>
  <c r="D101" i="15" s="1"/>
  <c r="D101" i="16" s="1"/>
  <c r="D102" i="5"/>
  <c r="D102" i="6" s="1"/>
  <c r="D102" i="7" s="1"/>
  <c r="D102" i="8" s="1"/>
  <c r="D102" i="9" s="1"/>
  <c r="D102" i="10" s="1"/>
  <c r="D102" i="11" s="1"/>
  <c r="D102" i="12" s="1"/>
  <c r="D102" i="13" s="1"/>
  <c r="D103" i="5"/>
  <c r="D103" i="6" s="1"/>
  <c r="D103" i="7" s="1"/>
  <c r="D103" i="8" s="1"/>
  <c r="D103" i="9" s="1"/>
  <c r="D103" i="10" s="1"/>
  <c r="D103" i="11" s="1"/>
  <c r="D103" i="12" s="1"/>
  <c r="D103" i="13" s="1"/>
  <c r="D103" i="14" s="1"/>
  <c r="D103" i="15" s="1"/>
  <c r="D104" i="5"/>
  <c r="D104" i="6" s="1"/>
  <c r="D104" i="7" s="1"/>
  <c r="D104" i="8" s="1"/>
  <c r="D104" i="9" s="1"/>
  <c r="D104" i="10" s="1"/>
  <c r="D104" i="11" s="1"/>
  <c r="D105" i="5"/>
  <c r="D105" i="6" s="1"/>
  <c r="D106" i="5"/>
  <c r="D106" i="6" s="1"/>
  <c r="D106" i="7" s="1"/>
  <c r="D106" i="8" s="1"/>
  <c r="D106" i="9" s="1"/>
  <c r="D106" i="10" s="1"/>
  <c r="D106" i="11" s="1"/>
  <c r="D106" i="12" s="1"/>
  <c r="D106" i="13" s="1"/>
  <c r="D106" i="14" s="1"/>
  <c r="D106" i="15" s="1"/>
  <c r="D106" i="16" s="1"/>
  <c r="D109" i="5"/>
  <c r="D109" i="6" s="1"/>
  <c r="D109" i="7" s="1"/>
  <c r="D109" i="8" s="1"/>
  <c r="D110" i="5"/>
  <c r="D110" i="6" s="1"/>
  <c r="D110" i="7" s="1"/>
  <c r="D110" i="8" s="1"/>
  <c r="D110" i="9" s="1"/>
  <c r="D110" i="10" s="1"/>
  <c r="D110" i="11" s="1"/>
  <c r="D110" i="12" s="1"/>
  <c r="D110" i="13" s="1"/>
  <c r="D110" i="14" s="1"/>
  <c r="D110" i="15" s="1"/>
  <c r="D110" i="16" s="1"/>
  <c r="D111" i="5"/>
  <c r="D111" i="6" s="1"/>
  <c r="D111" i="7" s="1"/>
  <c r="D111" i="8" s="1"/>
  <c r="D111" i="9" s="1"/>
  <c r="D111" i="10" s="1"/>
  <c r="D111" i="11" s="1"/>
  <c r="D112" i="5"/>
  <c r="D112" i="6" s="1"/>
  <c r="D112" i="7" s="1"/>
  <c r="D112" i="8" s="1"/>
  <c r="D112" i="9" s="1"/>
  <c r="D112" i="10" s="1"/>
  <c r="D112" i="11" s="1"/>
  <c r="D112" i="12" s="1"/>
  <c r="D112" i="13" s="1"/>
  <c r="D112" i="14" s="1"/>
  <c r="D112" i="15" s="1"/>
  <c r="D112" i="16" s="1"/>
  <c r="D113" i="5"/>
  <c r="D113" i="6" s="1"/>
  <c r="D113" i="7" s="1"/>
  <c r="D113" i="8" s="1"/>
  <c r="D113" i="9" s="1"/>
  <c r="D113" i="10" s="1"/>
  <c r="D113" i="11" s="1"/>
  <c r="D113" i="12" s="1"/>
  <c r="D113" i="13" s="1"/>
  <c r="D113" i="14" s="1"/>
  <c r="D114" i="5"/>
  <c r="D114" i="6" s="1"/>
  <c r="D114" i="7" s="1"/>
  <c r="D114" i="8" s="1"/>
  <c r="D114" i="9" s="1"/>
  <c r="D114" i="10" s="1"/>
  <c r="D114" i="11" s="1"/>
  <c r="D114" i="12" s="1"/>
  <c r="D114" i="13" s="1"/>
  <c r="D115" i="5"/>
  <c r="D115" i="6" s="1"/>
  <c r="D115" i="7" s="1"/>
  <c r="D115" i="8" s="1"/>
  <c r="D115" i="9" s="1"/>
  <c r="D115" i="10" s="1"/>
  <c r="D115" i="11" s="1"/>
  <c r="D115" i="12" s="1"/>
  <c r="D115" i="13" s="1"/>
  <c r="D115" i="14" s="1"/>
  <c r="D115" i="15" s="1"/>
  <c r="D115" i="16" s="1"/>
  <c r="D116" i="5"/>
  <c r="D116" i="6" s="1"/>
  <c r="D116" i="7" s="1"/>
  <c r="D116" i="8" s="1"/>
  <c r="D116" i="9" s="1"/>
  <c r="D116" i="10" s="1"/>
  <c r="D116" i="11" s="1"/>
  <c r="D116" i="12" s="1"/>
  <c r="D116" i="13" s="1"/>
  <c r="D116" i="14" s="1"/>
  <c r="D116" i="15" s="1"/>
  <c r="D116" i="16" s="1"/>
  <c r="D118" i="5"/>
  <c r="D119" i="5"/>
  <c r="D119" i="6" s="1"/>
  <c r="D119" i="7" s="1"/>
  <c r="D119" i="8" s="1"/>
  <c r="D119" i="9" s="1"/>
  <c r="D119" i="10" s="1"/>
  <c r="D119" i="11"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1" i="7" s="1"/>
  <c r="V22" i="5"/>
  <c r="V22" i="6" s="1"/>
  <c r="V22" i="7" s="1"/>
  <c r="V22" i="8" s="1"/>
  <c r="V22" i="9" s="1"/>
  <c r="V22" i="10" s="1"/>
  <c r="V22" i="11" s="1"/>
  <c r="V22" i="12" s="1"/>
  <c r="V22" i="13" s="1"/>
  <c r="V22" i="14" s="1"/>
  <c r="V22" i="15" s="1"/>
  <c r="V22" i="16" s="1"/>
  <c r="V23" i="5"/>
  <c r="V23" i="6" s="1"/>
  <c r="V23" i="7" s="1"/>
  <c r="V23" i="8" s="1"/>
  <c r="V23" i="9" s="1"/>
  <c r="V23" i="10" s="1"/>
  <c r="V23" i="11" s="1"/>
  <c r="V23" i="12" s="1"/>
  <c r="V23" i="13" s="1"/>
  <c r="V23" i="14" s="1"/>
  <c r="V23" i="15" s="1"/>
  <c r="V23" i="16" s="1"/>
  <c r="V24" i="5"/>
  <c r="V24" i="6" s="1"/>
  <c r="V24" i="7" s="1"/>
  <c r="V24" i="8" s="1"/>
  <c r="V25" i="5"/>
  <c r="V25" i="6" s="1"/>
  <c r="V25" i="7" s="1"/>
  <c r="V25" i="8" s="1"/>
  <c r="V25" i="9" s="1"/>
  <c r="V25" i="10" s="1"/>
  <c r="V25" i="11" s="1"/>
  <c r="V25" i="12" s="1"/>
  <c r="V25" i="13" s="1"/>
  <c r="V25" i="14"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6" i="5"/>
  <c r="V36" i="6" s="1"/>
  <c r="V36" i="7" s="1"/>
  <c r="V36" i="8" s="1"/>
  <c r="V36" i="9" s="1"/>
  <c r="V36" i="10" s="1"/>
  <c r="V36" i="11" s="1"/>
  <c r="V36" i="12" s="1"/>
  <c r="V36" i="13" s="1"/>
  <c r="V36" i="14" s="1"/>
  <c r="V36" i="15" s="1"/>
  <c r="V36" i="16" s="1"/>
  <c r="V37" i="5"/>
  <c r="V37" i="6" s="1"/>
  <c r="V37" i="7" s="1"/>
  <c r="V37" i="8" s="1"/>
  <c r="V37" i="9" s="1"/>
  <c r="V37" i="10" s="1"/>
  <c r="V37" i="11" s="1"/>
  <c r="V37" i="12" s="1"/>
  <c r="V37" i="13" s="1"/>
  <c r="V37" i="14" s="1"/>
  <c r="V37" i="15" s="1"/>
  <c r="V37" i="16" s="1"/>
  <c r="V38" i="5"/>
  <c r="V38" i="6" s="1"/>
  <c r="V38" i="7" s="1"/>
  <c r="V38" i="8" s="1"/>
  <c r="V38" i="9" s="1"/>
  <c r="V38" i="10" s="1"/>
  <c r="V38" i="11" s="1"/>
  <c r="V38" i="12" s="1"/>
  <c r="V38" i="13" s="1"/>
  <c r="V38" i="14" s="1"/>
  <c r="V38" i="15" s="1"/>
  <c r="V39" i="5"/>
  <c r="V39" i="6" s="1"/>
  <c r="V39" i="7" s="1"/>
  <c r="V39" i="8" s="1"/>
  <c r="V39" i="9" s="1"/>
  <c r="V39" i="10" s="1"/>
  <c r="V39" i="11" s="1"/>
  <c r="V40" i="5"/>
  <c r="V40" i="6" s="1"/>
  <c r="V40" i="7" s="1"/>
  <c r="V40" i="8" s="1"/>
  <c r="V40" i="9" s="1"/>
  <c r="V40" i="10" s="1"/>
  <c r="V40" i="11" s="1"/>
  <c r="V40" i="12" s="1"/>
  <c r="V40" i="13" s="1"/>
  <c r="V40" i="14" s="1"/>
  <c r="V40" i="15" s="1"/>
  <c r="V40" i="16" s="1"/>
  <c r="V41" i="5"/>
  <c r="V41" i="6" s="1"/>
  <c r="V41" i="7" s="1"/>
  <c r="V45" i="5"/>
  <c r="V45" i="6" s="1"/>
  <c r="V45" i="7" s="1"/>
  <c r="V46" i="5"/>
  <c r="V46" i="6" s="1"/>
  <c r="V46" i="7" s="1"/>
  <c r="V46" i="8" s="1"/>
  <c r="V46" i="9" s="1"/>
  <c r="V46" i="10" s="1"/>
  <c r="V46" i="11" s="1"/>
  <c r="V46" i="12" s="1"/>
  <c r="V47" i="5"/>
  <c r="V47" i="6" s="1"/>
  <c r="V47" i="7" s="1"/>
  <c r="V47" i="8" s="1"/>
  <c r="V47" i="9" s="1"/>
  <c r="V47" i="10" s="1"/>
  <c r="V47" i="11" s="1"/>
  <c r="V47" i="12" s="1"/>
  <c r="V47" i="13" s="1"/>
  <c r="V47" i="14" s="1"/>
  <c r="V47" i="15" s="1"/>
  <c r="V47" i="16" s="1"/>
  <c r="V48" i="5"/>
  <c r="V48" i="6" s="1"/>
  <c r="V48" i="7" s="1"/>
  <c r="V48" i="8" s="1"/>
  <c r="V48" i="9" s="1"/>
  <c r="V48" i="10" s="1"/>
  <c r="V48" i="11" s="1"/>
  <c r="V48" i="12" s="1"/>
  <c r="V48" i="13" s="1"/>
  <c r="V48" i="14" s="1"/>
  <c r="V48" i="15" s="1"/>
  <c r="V48" i="16" s="1"/>
  <c r="V50" i="5"/>
  <c r="V50" i="6" s="1"/>
  <c r="V50" i="7" s="1"/>
  <c r="V50" i="8" s="1"/>
  <c r="V50" i="9" s="1"/>
  <c r="V50" i="10" s="1"/>
  <c r="V50" i="11" s="1"/>
  <c r="V50" i="12" s="1"/>
  <c r="V50" i="13" s="1"/>
  <c r="V50" i="14" s="1"/>
  <c r="V51" i="5"/>
  <c r="V51" i="6" s="1"/>
  <c r="V51" i="7" s="1"/>
  <c r="V51" i="8" s="1"/>
  <c r="V51" i="9" s="1"/>
  <c r="V51" i="10" s="1"/>
  <c r="V51" i="11" s="1"/>
  <c r="V52" i="5"/>
  <c r="V52" i="6" s="1"/>
  <c r="V52" i="7" s="1"/>
  <c r="V52" i="8" s="1"/>
  <c r="V52" i="9" s="1"/>
  <c r="V52" i="10" s="1"/>
  <c r="V53" i="5"/>
  <c r="V53" i="6" s="1"/>
  <c r="V53" i="7" s="1"/>
  <c r="V53" i="8" s="1"/>
  <c r="V53" i="9" s="1"/>
  <c r="V53" i="10" s="1"/>
  <c r="V53" i="11" s="1"/>
  <c r="V53" i="12" s="1"/>
  <c r="V53" i="13" s="1"/>
  <c r="V53" i="14" s="1"/>
  <c r="V53" i="15" s="1"/>
  <c r="V53" i="16"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59" i="11" s="1"/>
  <c r="V59" i="12" s="1"/>
  <c r="V59" i="13" s="1"/>
  <c r="V59" i="14" s="1"/>
  <c r="V59" i="15" s="1"/>
  <c r="V59" i="16"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c r="V70" i="7" s="1"/>
  <c r="V70" i="8" s="1"/>
  <c r="V70" i="9" s="1"/>
  <c r="V70" i="10" s="1"/>
  <c r="V70" i="11" s="1"/>
  <c r="V70" i="12" s="1"/>
  <c r="V70" i="13" s="1"/>
  <c r="V70" i="14" s="1"/>
  <c r="V70" i="15" s="1"/>
  <c r="V71" i="5"/>
  <c r="V71" i="6"/>
  <c r="V71" i="7" s="1"/>
  <c r="V71" i="8" s="1"/>
  <c r="V71" i="9" s="1"/>
  <c r="V71" i="10" s="1"/>
  <c r="V71" i="11" s="1"/>
  <c r="V71" i="12" s="1"/>
  <c r="V71" i="13" s="1"/>
  <c r="V71" i="14" s="1"/>
  <c r="V71" i="15" s="1"/>
  <c r="V71" i="16" s="1"/>
  <c r="V72" i="5"/>
  <c r="V72" i="6"/>
  <c r="V72" i="7" s="1"/>
  <c r="V72" i="8" s="1"/>
  <c r="V72" i="9" s="1"/>
  <c r="V72" i="10" s="1"/>
  <c r="V72" i="11" s="1"/>
  <c r="V72" i="12" s="1"/>
  <c r="V72" i="13" s="1"/>
  <c r="V72" i="14" s="1"/>
  <c r="V72" i="15" s="1"/>
  <c r="V72" i="16" s="1"/>
  <c r="V73" i="5"/>
  <c r="V73" i="6"/>
  <c r="V73" i="7" s="1"/>
  <c r="V73" i="8" s="1"/>
  <c r="V73" i="9" s="1"/>
  <c r="V73" i="10" s="1"/>
  <c r="V73" i="11" s="1"/>
  <c r="V73" i="12" s="1"/>
  <c r="V73" i="13" s="1"/>
  <c r="V73" i="14" s="1"/>
  <c r="V73" i="15" s="1"/>
  <c r="V73" i="16" s="1"/>
  <c r="V74" i="5"/>
  <c r="V74" i="6"/>
  <c r="V74" i="7" s="1"/>
  <c r="V74" i="8" s="1"/>
  <c r="V74" i="9" s="1"/>
  <c r="V74" i="10" s="1"/>
  <c r="V74" i="11" s="1"/>
  <c r="V75" i="5"/>
  <c r="V75" i="6"/>
  <c r="V75" i="7" s="1"/>
  <c r="V75" i="8" s="1"/>
  <c r="V75" i="9" s="1"/>
  <c r="V75" i="10" s="1"/>
  <c r="V75" i="11" s="1"/>
  <c r="V75" i="12" s="1"/>
  <c r="V75" i="13" s="1"/>
  <c r="V76" i="5"/>
  <c r="V76" i="6" s="1"/>
  <c r="V76" i="7"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5" i="6" s="1"/>
  <c r="V85" i="7" s="1"/>
  <c r="V85" i="8" s="1"/>
  <c r="V85" i="9" s="1"/>
  <c r="V85" i="10" s="1"/>
  <c r="V85" i="11" s="1"/>
  <c r="V85" i="12" s="1"/>
  <c r="V85" i="13" s="1"/>
  <c r="V85" i="14" s="1"/>
  <c r="V85" i="15" s="1"/>
  <c r="V85" i="16" s="1"/>
  <c r="V86" i="5"/>
  <c r="V86" i="6" s="1"/>
  <c r="V86" i="7" s="1"/>
  <c r="V86" i="8" s="1"/>
  <c r="V86" i="9" s="1"/>
  <c r="V86" i="10" s="1"/>
  <c r="V86" i="11" s="1"/>
  <c r="V86" i="12" s="1"/>
  <c r="V86" i="13" s="1"/>
  <c r="V86" i="14" s="1"/>
  <c r="V86" i="15" s="1"/>
  <c r="V86" i="16" s="1"/>
  <c r="V87" i="5"/>
  <c r="V87" i="6" s="1"/>
  <c r="V87" i="7" s="1"/>
  <c r="V87" i="8" s="1"/>
  <c r="V87" i="9" s="1"/>
  <c r="V88" i="5"/>
  <c r="V88" i="6" s="1"/>
  <c r="V88" i="7" s="1"/>
  <c r="V88" i="8" s="1"/>
  <c r="V88" i="9" s="1"/>
  <c r="V88" i="10" s="1"/>
  <c r="V88" i="11" s="1"/>
  <c r="V88" i="12" s="1"/>
  <c r="V88" i="13" s="1"/>
  <c r="V88" i="14" s="1"/>
  <c r="V88" i="15" s="1"/>
  <c r="V88" i="16" s="1"/>
  <c r="V92" i="5"/>
  <c r="V92" i="6" s="1"/>
  <c r="V92" i="7" s="1"/>
  <c r="V92" i="8" s="1"/>
  <c r="V92" i="9" s="1"/>
  <c r="V92" i="10" s="1"/>
  <c r="V92" i="11" s="1"/>
  <c r="V92" i="12" s="1"/>
  <c r="V92" i="13" s="1"/>
  <c r="V92" i="14" s="1"/>
  <c r="V92" i="15" s="1"/>
  <c r="V92" i="16" s="1"/>
  <c r="V93" i="5"/>
  <c r="V93" i="6" s="1"/>
  <c r="V93" i="7" s="1"/>
  <c r="V93" i="8" s="1"/>
  <c r="V93" i="9" s="1"/>
  <c r="V93" i="10" s="1"/>
  <c r="V93" i="11" s="1"/>
  <c r="V93" i="12" s="1"/>
  <c r="V93" i="13" s="1"/>
  <c r="V93" i="14" s="1"/>
  <c r="V93" i="15" s="1"/>
  <c r="V93" i="16" s="1"/>
  <c r="V94" i="5"/>
  <c r="V94" i="6" s="1"/>
  <c r="V94" i="7" s="1"/>
  <c r="V95" i="5"/>
  <c r="V95" i="6" s="1"/>
  <c r="V95" i="7" s="1"/>
  <c r="V95" i="8" s="1"/>
  <c r="V95" i="9" s="1"/>
  <c r="V95" i="10" s="1"/>
  <c r="V95" i="11" s="1"/>
  <c r="V95" i="12" s="1"/>
  <c r="V95" i="13" s="1"/>
  <c r="V95" i="14" s="1"/>
  <c r="V95" i="15" s="1"/>
  <c r="V95" i="16" s="1"/>
  <c r="V97" i="5"/>
  <c r="V97" i="6" s="1"/>
  <c r="V97" i="7" s="1"/>
  <c r="V97" i="8" s="1"/>
  <c r="V97" i="9" s="1"/>
  <c r="V97" i="10" s="1"/>
  <c r="V97" i="11" s="1"/>
  <c r="V97" i="12" s="1"/>
  <c r="V97" i="13" s="1"/>
  <c r="V97" i="14" s="1"/>
  <c r="V97" i="15" s="1"/>
  <c r="V97" i="16" s="1"/>
  <c r="V98" i="5"/>
  <c r="V98" i="6" s="1"/>
  <c r="V98" i="7" s="1"/>
  <c r="V98" i="8" s="1"/>
  <c r="V98" i="9" s="1"/>
  <c r="V98" i="10" s="1"/>
  <c r="V98" i="11" s="1"/>
  <c r="V98" i="12" s="1"/>
  <c r="V98" i="13" s="1"/>
  <c r="V98" i="14" s="1"/>
  <c r="V98" i="15" s="1"/>
  <c r="V98" i="16" s="1"/>
  <c r="V99" i="5"/>
  <c r="V99" i="6" s="1"/>
  <c r="V99" i="7" s="1"/>
  <c r="V99" i="8" s="1"/>
  <c r="V99" i="9" s="1"/>
  <c r="V99" i="10" s="1"/>
  <c r="V99" i="11"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7" i="5"/>
  <c r="V107" i="6" s="1"/>
  <c r="V107" i="7" s="1"/>
  <c r="V107" i="8" s="1"/>
  <c r="V107" i="9" s="1"/>
  <c r="V107" i="10" s="1"/>
  <c r="V107" i="11" s="1"/>
  <c r="V107" i="12" s="1"/>
  <c r="V107" i="13" s="1"/>
  <c r="V107" i="14" s="1"/>
  <c r="V107" i="15" s="1"/>
  <c r="V107" i="16"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7" i="5"/>
  <c r="V117" i="6" s="1"/>
  <c r="V117" i="7" s="1"/>
  <c r="V117" i="8" s="1"/>
  <c r="V117" i="9" s="1"/>
  <c r="V117" i="10" s="1"/>
  <c r="V117" i="11" s="1"/>
  <c r="V117" i="12" s="1"/>
  <c r="V117" i="13" s="1"/>
  <c r="V117" i="14" s="1"/>
  <c r="V117" i="15" s="1"/>
  <c r="V117" i="16" s="1"/>
  <c r="V118" i="5"/>
  <c r="V118" i="6" s="1"/>
  <c r="V118" i="7" s="1"/>
  <c r="V118" i="8" s="1"/>
  <c r="V118" i="9" s="1"/>
  <c r="V118" i="10" s="1"/>
  <c r="V118" i="11" s="1"/>
  <c r="V118" i="12" s="1"/>
  <c r="V118" i="13" s="1"/>
  <c r="V118" i="14" s="1"/>
  <c r="V118" i="15" s="1"/>
  <c r="V118" i="16" s="1"/>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4" i="7" s="1"/>
  <c r="V124" i="8" s="1"/>
  <c r="V124" i="9" s="1"/>
  <c r="V124" i="10" s="1"/>
  <c r="V124" i="11" s="1"/>
  <c r="V124" i="12" s="1"/>
  <c r="V124" i="13" s="1"/>
  <c r="V124" i="14" s="1"/>
  <c r="V124" i="15" s="1"/>
  <c r="V124" i="16" s="1"/>
  <c r="V125" i="5"/>
  <c r="V125" i="6" s="1"/>
  <c r="V125" i="7" s="1"/>
  <c r="V125" i="8" s="1"/>
  <c r="V125" i="9" s="1"/>
  <c r="V125" i="10" s="1"/>
  <c r="V125" i="11" s="1"/>
  <c r="V125" i="12" s="1"/>
  <c r="V125" i="13" s="1"/>
  <c r="V125" i="14" s="1"/>
  <c r="V125" i="15" s="1"/>
  <c r="V125" i="16" s="1"/>
  <c r="V126" i="5"/>
  <c r="V126" i="6" s="1"/>
  <c r="V126" i="7" s="1"/>
  <c r="V126" i="8" s="1"/>
  <c r="V126" i="9" s="1"/>
  <c r="V126" i="10" s="1"/>
  <c r="V127" i="5"/>
  <c r="V127" i="6" s="1"/>
  <c r="V127" i="7" s="1"/>
  <c r="V127" i="8" s="1"/>
  <c r="V127" i="9" s="1"/>
  <c r="V127" i="10" s="1"/>
  <c r="V127" i="11"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4" i="11" s="1"/>
  <c r="V134" i="12" s="1"/>
  <c r="V134" i="13" s="1"/>
  <c r="V134" i="14" s="1"/>
  <c r="V134" i="15" s="1"/>
  <c r="V134" i="16" s="1"/>
  <c r="V135" i="5"/>
  <c r="V135" i="6" s="1"/>
  <c r="V135" i="7" s="1"/>
  <c r="V135" i="8" s="1"/>
  <c r="V135" i="9" s="1"/>
  <c r="V135" i="10" s="1"/>
  <c r="V135" i="11" s="1"/>
  <c r="V135" i="12" s="1"/>
  <c r="V135" i="13" s="1"/>
  <c r="V135" i="14" s="1"/>
  <c r="V135" i="15" s="1"/>
  <c r="V135" i="16"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2" i="7" s="1"/>
  <c r="V142" i="8" s="1"/>
  <c r="V142" i="9" s="1"/>
  <c r="V142" i="10" s="1"/>
  <c r="V142" i="11" s="1"/>
  <c r="V142" i="12" s="1"/>
  <c r="V142" i="13" s="1"/>
  <c r="V142" i="14" s="1"/>
  <c r="V142" i="15" s="1"/>
  <c r="V142" i="16" s="1"/>
  <c r="V143" i="5"/>
  <c r="V143" i="6" s="1"/>
  <c r="V143" i="7" s="1"/>
  <c r="V143" i="8" s="1"/>
  <c r="V143" i="9" s="1"/>
  <c r="V143" i="10" s="1"/>
  <c r="V143" i="11" s="1"/>
  <c r="V148" i="5"/>
  <c r="V148" i="6" s="1"/>
  <c r="V148" i="7" s="1"/>
  <c r="V148" i="8" s="1"/>
  <c r="V148" i="9" s="1"/>
  <c r="V148" i="10" s="1"/>
  <c r="V148" i="11" s="1"/>
  <c r="V148" i="12" s="1"/>
  <c r="V148" i="13" s="1"/>
  <c r="V148" i="14" s="1"/>
  <c r="V148" i="15" s="1"/>
  <c r="V148" i="16" s="1"/>
  <c r="V150" i="5"/>
  <c r="V150" i="6" s="1"/>
  <c r="V150" i="7" s="1"/>
  <c r="V151" i="5"/>
  <c r="V151" i="6" s="1"/>
  <c r="V151" i="7" s="1"/>
  <c r="V151" i="8" s="1"/>
  <c r="V151" i="9" s="1"/>
  <c r="V151" i="10" s="1"/>
  <c r="V151" i="11" s="1"/>
  <c r="V151" i="12" s="1"/>
  <c r="V151" i="13" s="1"/>
  <c r="V151" i="14" s="1"/>
  <c r="V151" i="15" s="1"/>
  <c r="V151" i="16" s="1"/>
  <c r="V152" i="5"/>
  <c r="V152" i="6" s="1"/>
  <c r="V152" i="7" s="1"/>
  <c r="V152" i="8" s="1"/>
  <c r="V152" i="9" s="1"/>
  <c r="V152" i="10" s="1"/>
  <c r="V152" i="11" s="1"/>
  <c r="V152" i="12" s="1"/>
  <c r="V152" i="13" s="1"/>
  <c r="V152" i="14" s="1"/>
  <c r="V152" i="15" s="1"/>
  <c r="V152" i="16"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8" i="7" s="1"/>
  <c r="V158" i="8" s="1"/>
  <c r="V158" i="9" s="1"/>
  <c r="V158" i="10" s="1"/>
  <c r="V158" i="11" s="1"/>
  <c r="V158" i="12" s="1"/>
  <c r="V158" i="13" s="1"/>
  <c r="V158" i="14" s="1"/>
  <c r="V158" i="15" s="1"/>
  <c r="V159" i="5"/>
  <c r="V159" i="6" s="1"/>
  <c r="V159" i="7" s="1"/>
  <c r="V159" i="8" s="1"/>
  <c r="V159" i="9" s="1"/>
  <c r="V160" i="5"/>
  <c r="V160" i="6" s="1"/>
  <c r="V160" i="7"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3" i="7" s="1"/>
  <c r="V173" i="8" s="1"/>
  <c r="V173" i="9" s="1"/>
  <c r="V173" i="10" s="1"/>
  <c r="V174" i="5"/>
  <c r="V174" i="6" s="1"/>
  <c r="V174" i="7" s="1"/>
  <c r="V174" i="8" s="1"/>
  <c r="V174" i="9" s="1"/>
  <c r="V174" i="10" s="1"/>
  <c r="V174" i="11" s="1"/>
  <c r="V174" i="12" s="1"/>
  <c r="V174" i="13" s="1"/>
  <c r="V174" i="14" s="1"/>
  <c r="V174" i="15" s="1"/>
  <c r="V174" i="16" s="1"/>
  <c r="V177" i="5"/>
  <c r="V177" i="6" s="1"/>
  <c r="V177" i="7" s="1"/>
  <c r="V177" i="8" s="1"/>
  <c r="V177" i="9" s="1"/>
  <c r="V177" i="10" s="1"/>
  <c r="V177" i="11" s="1"/>
  <c r="V178" i="5"/>
  <c r="V178" i="6" s="1"/>
  <c r="V178" i="7" s="1"/>
  <c r="V178" i="8" s="1"/>
  <c r="V178" i="9" s="1"/>
  <c r="V178" i="10" s="1"/>
  <c r="V178" i="11" s="1"/>
  <c r="V178" i="12" s="1"/>
  <c r="V178" i="13" s="1"/>
  <c r="V178" i="14" s="1"/>
  <c r="V178" i="15" s="1"/>
  <c r="V178" i="16" s="1"/>
  <c r="V179" i="5"/>
  <c r="V179" i="6" s="1"/>
  <c r="V179" i="7" s="1"/>
  <c r="V179" i="8" s="1"/>
  <c r="V179" i="9" s="1"/>
  <c r="V179" i="10" s="1"/>
  <c r="V179" i="11" s="1"/>
  <c r="V179" i="12" s="1"/>
  <c r="V179" i="13" s="1"/>
  <c r="V179" i="14" s="1"/>
  <c r="V179" i="15" s="1"/>
  <c r="V179" i="16" s="1"/>
  <c r="V180" i="5"/>
  <c r="V180" i="6" s="1"/>
  <c r="V180" i="7" s="1"/>
  <c r="V180" i="8" s="1"/>
  <c r="V180" i="9" s="1"/>
  <c r="V180" i="10" s="1"/>
  <c r="V180" i="11" s="1"/>
  <c r="V180" i="12" s="1"/>
  <c r="V180" i="13" s="1"/>
  <c r="V180" i="14" s="1"/>
  <c r="V180" i="15" s="1"/>
  <c r="V180" i="1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8" i="8" s="1"/>
  <c r="V188" i="9" s="1"/>
  <c r="V188" i="10" s="1"/>
  <c r="V188" i="11" s="1"/>
  <c r="V188" i="12" s="1"/>
  <c r="V188" i="13" s="1"/>
  <c r="V189" i="5"/>
  <c r="V189" i="6" s="1"/>
  <c r="V189" i="7" s="1"/>
  <c r="V189" i="8" s="1"/>
  <c r="V189" i="9" s="1"/>
  <c r="V189" i="10" s="1"/>
  <c r="V189" i="11"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6" i="5"/>
  <c r="V196" i="6" s="1"/>
  <c r="V196" i="7" s="1"/>
  <c r="V196" i="8" s="1"/>
  <c r="V196" i="9" s="1"/>
  <c r="V196" i="10" s="1"/>
  <c r="V196" i="11" s="1"/>
  <c r="V196" i="12" s="1"/>
  <c r="V196" i="13" s="1"/>
  <c r="V196" i="14" s="1"/>
  <c r="V196" i="15" s="1"/>
  <c r="V196" i="16" s="1"/>
  <c r="V197" i="5"/>
  <c r="V197" i="6" s="1"/>
  <c r="V197" i="7" s="1"/>
  <c r="V197" i="8" s="1"/>
  <c r="V197" i="9" s="1"/>
  <c r="V198" i="5"/>
  <c r="V198" i="6" s="1"/>
  <c r="V198" i="7" s="1"/>
  <c r="V198" i="8" s="1"/>
  <c r="V198" i="9" s="1"/>
  <c r="V198" i="10" s="1"/>
  <c r="V198" i="11" s="1"/>
  <c r="V198" i="12" s="1"/>
  <c r="V198" i="13" s="1"/>
  <c r="V198" i="14" s="1"/>
  <c r="V198" i="15" s="1"/>
  <c r="V198" i="16" s="1"/>
  <c r="V199" i="5"/>
  <c r="V199" i="6" s="1"/>
  <c r="V199" i="7" s="1"/>
  <c r="V199" i="8" s="1"/>
  <c r="V199" i="9" s="1"/>
  <c r="V199" i="10" s="1"/>
  <c r="V199" i="11" s="1"/>
  <c r="V199" i="12" s="1"/>
  <c r="V199" i="13" s="1"/>
  <c r="V199" i="14" s="1"/>
  <c r="V199" i="15" s="1"/>
  <c r="V199" i="16" s="1"/>
  <c r="V200" i="5"/>
  <c r="V200" i="6" s="1"/>
  <c r="V200" i="7" s="1"/>
  <c r="V200" i="8" s="1"/>
  <c r="V200" i="9" s="1"/>
  <c r="V200" i="10" s="1"/>
  <c r="V200" i="11" s="1"/>
  <c r="V200" i="12" s="1"/>
  <c r="V200" i="13" s="1"/>
  <c r="V200" i="14" s="1"/>
  <c r="V200" i="15" s="1"/>
  <c r="V200" i="16" s="1"/>
  <c r="V201" i="5"/>
  <c r="V201" i="6" s="1"/>
  <c r="V201" i="7" s="1"/>
  <c r="V201" i="8" s="1"/>
  <c r="V201" i="9" s="1"/>
  <c r="V201" i="10" s="1"/>
  <c r="V201" i="11" s="1"/>
  <c r="V201" i="12" s="1"/>
  <c r="V201" i="13" s="1"/>
  <c r="V201" i="14" s="1"/>
  <c r="V201" i="15" s="1"/>
  <c r="V201" i="16" s="1"/>
  <c r="V202" i="5"/>
  <c r="V202" i="6" s="1"/>
  <c r="V202" i="7" s="1"/>
  <c r="V202" i="8" s="1"/>
  <c r="V202" i="9" s="1"/>
  <c r="V202" i="10" s="1"/>
  <c r="V202" i="11" s="1"/>
  <c r="V202" i="12" s="1"/>
  <c r="V202" i="13" s="1"/>
  <c r="V202" i="14" s="1"/>
  <c r="V202" i="15" s="1"/>
  <c r="V202" i="16" s="1"/>
  <c r="V204" i="5"/>
  <c r="V204" i="6" s="1"/>
  <c r="V204" i="7" s="1"/>
  <c r="V204" i="8" s="1"/>
  <c r="V204" i="9" s="1"/>
  <c r="V204" i="10" s="1"/>
  <c r="V204" i="11" s="1"/>
  <c r="V204" i="12" s="1"/>
  <c r="V204" i="13" s="1"/>
  <c r="V204" i="14" s="1"/>
  <c r="V204" i="15" s="1"/>
  <c r="V204" i="16" s="1"/>
  <c r="V203" i="16" s="1"/>
  <c r="V205" i="5"/>
  <c r="V205" i="6" s="1"/>
  <c r="V205" i="7" s="1"/>
  <c r="V205" i="8" s="1"/>
  <c r="V205" i="9" s="1"/>
  <c r="V205" i="10" s="1"/>
  <c r="V205" i="11" s="1"/>
  <c r="V205" i="12" s="1"/>
  <c r="V205" i="13" s="1"/>
  <c r="V205" i="14" s="1"/>
  <c r="V205" i="15" s="1"/>
  <c r="V205" i="16" s="1"/>
  <c r="V212" i="5"/>
  <c r="V212" i="6" s="1"/>
  <c r="V212" i="7" s="1"/>
  <c r="V212" i="8" s="1"/>
  <c r="V212" i="9" s="1"/>
  <c r="V212" i="10" s="1"/>
  <c r="V212" i="11" s="1"/>
  <c r="V212" i="12" s="1"/>
  <c r="V212" i="13" s="1"/>
  <c r="V212" i="14" s="1"/>
  <c r="V212" i="15" s="1"/>
  <c r="V212" i="16" s="1"/>
  <c r="V213" i="5"/>
  <c r="V213" i="6" s="1"/>
  <c r="V213" i="7" s="1"/>
  <c r="V214" i="5"/>
  <c r="V214" i="6" s="1"/>
  <c r="V214" i="7" s="1"/>
  <c r="V214" i="8" s="1"/>
  <c r="V214" i="9" s="1"/>
  <c r="V214" i="10" s="1"/>
  <c r="V214" i="11"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3" i="8" s="1"/>
  <c r="V223" i="9" s="1"/>
  <c r="V223" i="10" s="1"/>
  <c r="V223" i="11" s="1"/>
  <c r="V223" i="12" s="1"/>
  <c r="V223" i="13" s="1"/>
  <c r="V223" i="14" s="1"/>
  <c r="V223" i="15" s="1"/>
  <c r="V223" i="16" s="1"/>
  <c r="V224" i="5"/>
  <c r="V224" i="6" s="1"/>
  <c r="V224" i="7" s="1"/>
  <c r="V224" i="8" s="1"/>
  <c r="V224" i="9" s="1"/>
  <c r="V224" i="10" s="1"/>
  <c r="V225" i="5"/>
  <c r="V225" i="6" s="1"/>
  <c r="V225" i="7" s="1"/>
  <c r="V225" i="8" s="1"/>
  <c r="V225" i="9" s="1"/>
  <c r="V225" i="10" s="1"/>
  <c r="V225" i="11" s="1"/>
  <c r="V228" i="5"/>
  <c r="V228" i="6" s="1"/>
  <c r="V228" i="7" s="1"/>
  <c r="V228" i="8" s="1"/>
  <c r="V228" i="9" s="1"/>
  <c r="V228" i="10" s="1"/>
  <c r="V228" i="11" s="1"/>
  <c r="V229" i="5"/>
  <c r="V229" i="6" s="1"/>
  <c r="V229" i="7" s="1"/>
  <c r="V229" i="8" s="1"/>
  <c r="V229" i="9" s="1"/>
  <c r="V229" i="10" s="1"/>
  <c r="V230" i="5"/>
  <c r="V230" i="6" s="1"/>
  <c r="V230" i="7" s="1"/>
  <c r="V230" i="8" s="1"/>
  <c r="V230" i="9" s="1"/>
  <c r="V230" i="10" s="1"/>
  <c r="V230" i="11" s="1"/>
  <c r="V230" i="12" s="1"/>
  <c r="V230" i="13" s="1"/>
  <c r="V230" i="14" s="1"/>
  <c r="V230" i="15" s="1"/>
  <c r="V236" i="5"/>
  <c r="V236" i="6" s="1"/>
  <c r="V236" i="7" s="1"/>
  <c r="V236" i="8" s="1"/>
  <c r="V236" i="9" s="1"/>
  <c r="V236" i="10" s="1"/>
  <c r="V236" i="11" s="1"/>
  <c r="V236" i="12" s="1"/>
  <c r="V236" i="13" s="1"/>
  <c r="V236" i="14" s="1"/>
  <c r="V236" i="15" s="1"/>
  <c r="V236" i="16" s="1"/>
  <c r="V237" i="5"/>
  <c r="V237" i="6" s="1"/>
  <c r="V237" i="7" s="1"/>
  <c r="V237" i="8" s="1"/>
  <c r="V237" i="9" s="1"/>
  <c r="V237" i="10" s="1"/>
  <c r="V237" i="11" s="1"/>
  <c r="V238" i="5"/>
  <c r="V238" i="6" s="1"/>
  <c r="V238" i="7" s="1"/>
  <c r="V238" i="8" s="1"/>
  <c r="V238" i="9" s="1"/>
  <c r="V238" i="10" s="1"/>
  <c r="V238" i="11" s="1"/>
  <c r="V238" i="12" s="1"/>
  <c r="V238" i="13" s="1"/>
  <c r="V238" i="14" s="1"/>
  <c r="V238" i="15" s="1"/>
  <c r="V238" i="16" s="1"/>
  <c r="V239" i="5"/>
  <c r="V239" i="6" s="1"/>
  <c r="V239" i="7" s="1"/>
  <c r="V239" i="8" s="1"/>
  <c r="V239" i="9"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4" i="5"/>
  <c r="V244" i="6" s="1"/>
  <c r="V244" i="7" s="1"/>
  <c r="V244" i="8" s="1"/>
  <c r="V244" i="9" s="1"/>
  <c r="V244" i="10" s="1"/>
  <c r="V244" i="11" s="1"/>
  <c r="V244" i="12" s="1"/>
  <c r="V244" i="13" s="1"/>
  <c r="V244" i="14" s="1"/>
  <c r="V244" i="15" s="1"/>
  <c r="V244" i="16" s="1"/>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c r="V255" i="7" s="1"/>
  <c r="V255" i="8" s="1"/>
  <c r="V255" i="9"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3" i="5"/>
  <c r="E13" i="6" s="1"/>
  <c r="E13" i="7" s="1"/>
  <c r="E13" i="8" s="1"/>
  <c r="E13" i="9" s="1"/>
  <c r="E13" i="10" s="1"/>
  <c r="E13" i="11" s="1"/>
  <c r="E13" i="12" s="1"/>
  <c r="E13" i="13" s="1"/>
  <c r="E13" i="14" s="1"/>
  <c r="E13" i="15" s="1"/>
  <c r="E13" i="16" s="1"/>
  <c r="E14" i="5"/>
  <c r="E14" i="6" s="1"/>
  <c r="E14" i="7" s="1"/>
  <c r="E14" i="8" s="1"/>
  <c r="E14" i="9" s="1"/>
  <c r="E14" i="10" s="1"/>
  <c r="E14" i="11" s="1"/>
  <c r="E14" i="12" s="1"/>
  <c r="E14" i="13" s="1"/>
  <c r="E14" i="14" s="1"/>
  <c r="E14" i="15" s="1"/>
  <c r="E14" i="16" s="1"/>
  <c r="E15" i="5"/>
  <c r="E15" i="6" s="1"/>
  <c r="E15" i="7" s="1"/>
  <c r="E15" i="8" s="1"/>
  <c r="E15" i="9" s="1"/>
  <c r="E15" i="10" s="1"/>
  <c r="E15" i="11" s="1"/>
  <c r="E15" i="12" s="1"/>
  <c r="E15" i="13" s="1"/>
  <c r="E23" i="5"/>
  <c r="E23" i="6" s="1"/>
  <c r="E23" i="7" s="1"/>
  <c r="E23" i="8" s="1"/>
  <c r="E23" i="9" s="1"/>
  <c r="E23" i="10" s="1"/>
  <c r="E23" i="11" s="1"/>
  <c r="E23" i="12" s="1"/>
  <c r="E23" i="13" s="1"/>
  <c r="E23" i="14" s="1"/>
  <c r="E23" i="15" s="1"/>
  <c r="E23" i="16" s="1"/>
  <c r="E24" i="5"/>
  <c r="E24" i="6" s="1"/>
  <c r="E24" i="7" s="1"/>
  <c r="E24" i="8" s="1"/>
  <c r="E24" i="9" s="1"/>
  <c r="E24" i="10" s="1"/>
  <c r="E24" i="11" s="1"/>
  <c r="E24" i="12" s="1"/>
  <c r="E24" i="13" s="1"/>
  <c r="E24" i="14" s="1"/>
  <c r="E24" i="15" s="1"/>
  <c r="E24" i="16" s="1"/>
  <c r="E26" i="5"/>
  <c r="E26" i="6" s="1"/>
  <c r="E26" i="7" s="1"/>
  <c r="E26" i="8" s="1"/>
  <c r="E26" i="9" s="1"/>
  <c r="E26" i="10" s="1"/>
  <c r="E26" i="11" s="1"/>
  <c r="E26" i="12" s="1"/>
  <c r="E26" i="13" s="1"/>
  <c r="E26" i="14" s="1"/>
  <c r="E26" i="15" s="1"/>
  <c r="E26" i="16" s="1"/>
  <c r="E27" i="5"/>
  <c r="E27" i="6" s="1"/>
  <c r="E27" i="7" s="1"/>
  <c r="E27" i="8" s="1"/>
  <c r="E27" i="9" s="1"/>
  <c r="E27" i="10" s="1"/>
  <c r="E30" i="5"/>
  <c r="E30" i="6" s="1"/>
  <c r="E30" i="7" s="1"/>
  <c r="E30" i="8" s="1"/>
  <c r="E30" i="9" s="1"/>
  <c r="E30" i="10" s="1"/>
  <c r="E30" i="11" s="1"/>
  <c r="E30" i="12" s="1"/>
  <c r="E30" i="13" s="1"/>
  <c r="E30" i="14" s="1"/>
  <c r="E30" i="15" s="1"/>
  <c r="E31" i="5"/>
  <c r="E31" i="6" s="1"/>
  <c r="E31" i="7" s="1"/>
  <c r="E31" i="8" s="1"/>
  <c r="E31" i="9" s="1"/>
  <c r="E31" i="10" s="1"/>
  <c r="E31" i="11" s="1"/>
  <c r="E31" i="12" s="1"/>
  <c r="E31" i="13" s="1"/>
  <c r="E31" i="14" s="1"/>
  <c r="E31" i="15" s="1"/>
  <c r="E31" i="16" s="1"/>
  <c r="E33" i="5"/>
  <c r="E33" i="6" s="1"/>
  <c r="E33" i="7" s="1"/>
  <c r="E33" i="8" s="1"/>
  <c r="E33" i="9" s="1"/>
  <c r="E33" i="10" s="1"/>
  <c r="E33" i="11" s="1"/>
  <c r="E33" i="12" s="1"/>
  <c r="E33" i="13" s="1"/>
  <c r="E33" i="14" s="1"/>
  <c r="E33" i="15" s="1"/>
  <c r="E33" i="16" s="1"/>
  <c r="E34" i="5"/>
  <c r="E34" i="6" s="1"/>
  <c r="E34" i="7" s="1"/>
  <c r="E34" i="8" s="1"/>
  <c r="E34" i="9" s="1"/>
  <c r="E34" i="10" s="1"/>
  <c r="E34" i="11" s="1"/>
  <c r="E34" i="12" s="1"/>
  <c r="E34" i="13" s="1"/>
  <c r="E36" i="5"/>
  <c r="E36" i="6" s="1"/>
  <c r="E36" i="7" s="1"/>
  <c r="E36" i="8" s="1"/>
  <c r="E36" i="9" s="1"/>
  <c r="E36" i="10" s="1"/>
  <c r="E36" i="11" s="1"/>
  <c r="E36" i="12" s="1"/>
  <c r="E36" i="13" s="1"/>
  <c r="E36" i="14" s="1"/>
  <c r="E36" i="15" s="1"/>
  <c r="E37" i="5"/>
  <c r="E37" i="6" s="1"/>
  <c r="E37" i="7" s="1"/>
  <c r="E37" i="8" s="1"/>
  <c r="E37" i="9" s="1"/>
  <c r="E37" i="10" s="1"/>
  <c r="E37" i="11" s="1"/>
  <c r="E37" i="12" s="1"/>
  <c r="E37" i="13" s="1"/>
  <c r="E37" i="14" s="1"/>
  <c r="E37" i="15" s="1"/>
  <c r="E37" i="16" s="1"/>
  <c r="E41" i="5"/>
  <c r="E41" i="6"/>
  <c r="E41" i="7" s="1"/>
  <c r="E41" i="8" s="1"/>
  <c r="E41" i="15"/>
  <c r="E43" i="5"/>
  <c r="E43" i="6" s="1"/>
  <c r="E43" i="7" s="1"/>
  <c r="E43" i="8" s="1"/>
  <c r="E43" i="9" s="1"/>
  <c r="E43" i="10" s="1"/>
  <c r="E43" i="11" s="1"/>
  <c r="E43" i="12" s="1"/>
  <c r="E43" i="13" s="1"/>
  <c r="E43" i="14" s="1"/>
  <c r="E43" i="15" s="1"/>
  <c r="E43" i="16" s="1"/>
  <c r="E44" i="5"/>
  <c r="E44" i="6" s="1"/>
  <c r="E44" i="7" s="1"/>
  <c r="E44" i="8" s="1"/>
  <c r="E44" i="9" s="1"/>
  <c r="E44" i="10" s="1"/>
  <c r="E44" i="11" s="1"/>
  <c r="E44" i="12" s="1"/>
  <c r="E44" i="13" s="1"/>
  <c r="E44" i="14" s="1"/>
  <c r="E44" i="15" s="1"/>
  <c r="E44" i="16" s="1"/>
  <c r="E46" i="5"/>
  <c r="E46" i="6" s="1"/>
  <c r="E46" i="7" s="1"/>
  <c r="E47" i="5"/>
  <c r="E47" i="6" s="1"/>
  <c r="E47" i="7" s="1"/>
  <c r="E47" i="8" s="1"/>
  <c r="E47" i="9" s="1"/>
  <c r="E47" i="10" s="1"/>
  <c r="E47" i="11" s="1"/>
  <c r="E47" i="12" s="1"/>
  <c r="E47" i="13" s="1"/>
  <c r="E47" i="14" s="1"/>
  <c r="E47" i="15" s="1"/>
  <c r="E47" i="16" s="1"/>
  <c r="E49" i="5"/>
  <c r="E49" i="6" s="1"/>
  <c r="E49" i="7" s="1"/>
  <c r="E49" i="8" s="1"/>
  <c r="E49" i="9" s="1"/>
  <c r="E49" i="10" s="1"/>
  <c r="E49" i="11" s="1"/>
  <c r="E49" i="12" s="1"/>
  <c r="E49" i="13" s="1"/>
  <c r="E49" i="14" s="1"/>
  <c r="E49" i="15" s="1"/>
  <c r="E50" i="5"/>
  <c r="E50" i="6" s="1"/>
  <c r="E50" i="7" s="1"/>
  <c r="E50" i="8" s="1"/>
  <c r="E50" i="9" s="1"/>
  <c r="E50" i="10" s="1"/>
  <c r="E50" i="11" s="1"/>
  <c r="E50" i="12" s="1"/>
  <c r="E50" i="13" s="1"/>
  <c r="E50" i="14" s="1"/>
  <c r="E50" i="15" s="1"/>
  <c r="E50" i="16" s="1"/>
  <c r="E52" i="5"/>
  <c r="E52" i="6" s="1"/>
  <c r="E52" i="7" s="1"/>
  <c r="E52" i="8" s="1"/>
  <c r="E52" i="9" s="1"/>
  <c r="E52" i="10" s="1"/>
  <c r="E52" i="11" s="1"/>
  <c r="E53" i="5"/>
  <c r="E53" i="6" s="1"/>
  <c r="E53" i="7" s="1"/>
  <c r="E53" i="8" s="1"/>
  <c r="E53" i="9" s="1"/>
  <c r="E53" i="10" s="1"/>
  <c r="E53" i="11" s="1"/>
  <c r="E53" i="12" s="1"/>
  <c r="E53" i="13" s="1"/>
  <c r="E53" i="14" s="1"/>
  <c r="E53" i="15" s="1"/>
  <c r="E53" i="16" s="1"/>
  <c r="E55" i="5"/>
  <c r="E55" i="6" s="1"/>
  <c r="E55" i="7" s="1"/>
  <c r="E55" i="8" s="1"/>
  <c r="E55" i="9" s="1"/>
  <c r="E55" i="10" s="1"/>
  <c r="E55" i="11" s="1"/>
  <c r="E55" i="12" s="1"/>
  <c r="E55" i="13" s="1"/>
  <c r="E55" i="14" s="1"/>
  <c r="E55" i="15" s="1"/>
  <c r="E56" i="5"/>
  <c r="E56" i="6" s="1"/>
  <c r="E56" i="7" s="1"/>
  <c r="E58" i="5"/>
  <c r="E58" i="6" s="1"/>
  <c r="E58" i="7" s="1"/>
  <c r="E58" i="8" s="1"/>
  <c r="E58" i="9" s="1"/>
  <c r="E58" i="10" s="1"/>
  <c r="E59" i="5"/>
  <c r="E59" i="6" s="1"/>
  <c r="E59" i="7" s="1"/>
  <c r="E59" i="8" s="1"/>
  <c r="E59" i="9" s="1"/>
  <c r="E59" i="10" s="1"/>
  <c r="E59" i="11" s="1"/>
  <c r="E59" i="12" s="1"/>
  <c r="E59" i="13" s="1"/>
  <c r="E59" i="14" s="1"/>
  <c r="E59" i="15" s="1"/>
  <c r="E59" i="16" s="1"/>
  <c r="E61" i="5"/>
  <c r="E61" i="6" s="1"/>
  <c r="E61" i="7" s="1"/>
  <c r="E61" i="8" s="1"/>
  <c r="E61" i="9" s="1"/>
  <c r="E61" i="10" s="1"/>
  <c r="E61" i="11" s="1"/>
  <c r="E61" i="12" s="1"/>
  <c r="E61" i="13" s="1"/>
  <c r="E61" i="14" s="1"/>
  <c r="E61" i="15" s="1"/>
  <c r="E62" i="5"/>
  <c r="E62" i="6" s="1"/>
  <c r="E62" i="7" s="1"/>
  <c r="E62" i="8" s="1"/>
  <c r="E62" i="9" s="1"/>
  <c r="E62" i="10" s="1"/>
  <c r="E62" i="11" s="1"/>
  <c r="E62" i="12" s="1"/>
  <c r="E62" i="13" s="1"/>
  <c r="E64" i="5"/>
  <c r="E64" i="6" s="1"/>
  <c r="E64" i="7" s="1"/>
  <c r="E64" i="8" s="1"/>
  <c r="E64" i="9" s="1"/>
  <c r="E64" i="10" s="1"/>
  <c r="E64" i="11" s="1"/>
  <c r="E64" i="12" s="1"/>
  <c r="E64" i="13" s="1"/>
  <c r="E64" i="14" s="1"/>
  <c r="E64" i="15" s="1"/>
  <c r="E64" i="16" s="1"/>
  <c r="E65" i="5"/>
  <c r="E65" i="6" s="1"/>
  <c r="E65" i="7" s="1"/>
  <c r="E65" i="8" s="1"/>
  <c r="E65" i="9" s="1"/>
  <c r="E65" i="10" s="1"/>
  <c r="E65" i="11" s="1"/>
  <c r="E65" i="12" s="1"/>
  <c r="E65" i="13" s="1"/>
  <c r="E65" i="14" s="1"/>
  <c r="E65" i="15" s="1"/>
  <c r="E65" i="16" s="1"/>
  <c r="E67" i="5"/>
  <c r="E67" i="6" s="1"/>
  <c r="E67" i="7" s="1"/>
  <c r="E67" i="8" s="1"/>
  <c r="E67" i="9" s="1"/>
  <c r="E67" i="10" s="1"/>
  <c r="E67" i="11" s="1"/>
  <c r="E67" i="12" s="1"/>
  <c r="E67" i="13" s="1"/>
  <c r="E67" i="14" s="1"/>
  <c r="E67" i="15" s="1"/>
  <c r="E67" i="16" s="1"/>
  <c r="E68" i="5"/>
  <c r="E68" i="6" s="1"/>
  <c r="E68" i="7" s="1"/>
  <c r="E70" i="5"/>
  <c r="E70" i="6" s="1"/>
  <c r="E70" i="7" s="1"/>
  <c r="E70" i="8" s="1"/>
  <c r="E70" i="9" s="1"/>
  <c r="E70" i="10" s="1"/>
  <c r="E70" i="11" s="1"/>
  <c r="E71" i="5"/>
  <c r="E71" i="6" s="1"/>
  <c r="E71" i="7" s="1"/>
  <c r="E71" i="8" s="1"/>
  <c r="E71" i="9" s="1"/>
  <c r="E71" i="10" s="1"/>
  <c r="E71" i="11" s="1"/>
  <c r="E71" i="12" s="1"/>
  <c r="E71" i="13" s="1"/>
  <c r="E71" i="14" s="1"/>
  <c r="E71" i="15" s="1"/>
  <c r="E71" i="16" s="1"/>
  <c r="E73" i="5"/>
  <c r="E73" i="6" s="1"/>
  <c r="E73" i="7" s="1"/>
  <c r="E73" i="8" s="1"/>
  <c r="E73" i="9" s="1"/>
  <c r="E73" i="10" s="1"/>
  <c r="E73" i="11" s="1"/>
  <c r="E73" i="12" s="1"/>
  <c r="E73" i="13" s="1"/>
  <c r="E73" i="14" s="1"/>
  <c r="E73" i="15" s="1"/>
  <c r="E73" i="16" s="1"/>
  <c r="E74" i="5"/>
  <c r="E74" i="6" s="1"/>
  <c r="E74" i="7" s="1"/>
  <c r="E74" i="8" s="1"/>
  <c r="E74" i="9" s="1"/>
  <c r="E74" i="10" s="1"/>
  <c r="E74" i="11" s="1"/>
  <c r="E74" i="12" s="1"/>
  <c r="E74" i="13" s="1"/>
  <c r="E74" i="14" s="1"/>
  <c r="E74" i="15" s="1"/>
  <c r="E76" i="5"/>
  <c r="E76" i="6" s="1"/>
  <c r="E76" i="7" s="1"/>
  <c r="E77" i="5"/>
  <c r="E77" i="6" s="1"/>
  <c r="E77" i="7" s="1"/>
  <c r="E77" i="8" s="1"/>
  <c r="E77" i="9" s="1"/>
  <c r="E77" i="10" s="1"/>
  <c r="E77" i="11" s="1"/>
  <c r="E77" i="12" s="1"/>
  <c r="E77" i="13" s="1"/>
  <c r="E77" i="14" s="1"/>
  <c r="E77" i="15" s="1"/>
  <c r="E77" i="16" s="1"/>
  <c r="E79" i="5"/>
  <c r="E79" i="6" s="1"/>
  <c r="E79" i="7" s="1"/>
  <c r="E79" i="8" s="1"/>
  <c r="E79" i="9" s="1"/>
  <c r="E79" i="10" s="1"/>
  <c r="E79" i="11" s="1"/>
  <c r="E79" i="12" s="1"/>
  <c r="E79" i="13" s="1"/>
  <c r="E79" i="14" s="1"/>
  <c r="E79" i="15" s="1"/>
  <c r="E79" i="16" s="1"/>
  <c r="E80" i="5"/>
  <c r="E80" i="6" s="1"/>
  <c r="E80" i="7" s="1"/>
  <c r="E80" i="8" s="1"/>
  <c r="E80" i="9" s="1"/>
  <c r="E80" i="10" s="1"/>
  <c r="E80" i="11" s="1"/>
  <c r="E80" i="12" s="1"/>
  <c r="E80" i="13" s="1"/>
  <c r="E80" i="14" s="1"/>
  <c r="E80" i="15" s="1"/>
  <c r="E80" i="16" s="1"/>
  <c r="E82" i="5"/>
  <c r="E82" i="6" s="1"/>
  <c r="E82" i="7" s="1"/>
  <c r="E82" i="8" s="1"/>
  <c r="E82" i="9" s="1"/>
  <c r="E82" i="10" s="1"/>
  <c r="E82" i="11" s="1"/>
  <c r="E83" i="5"/>
  <c r="E83" i="6" s="1"/>
  <c r="E83" i="7" s="1"/>
  <c r="E83" i="8" s="1"/>
  <c r="E83" i="9" s="1"/>
  <c r="E83" i="10" s="1"/>
  <c r="E83" i="11" s="1"/>
  <c r="E83" i="12" s="1"/>
  <c r="E83" i="13" s="1"/>
  <c r="E83" i="14" s="1"/>
  <c r="E83" i="15" s="1"/>
  <c r="E83" i="16" s="1"/>
  <c r="E86" i="5"/>
  <c r="E86" i="6" s="1"/>
  <c r="E86" i="7" s="1"/>
  <c r="E86" i="8" s="1"/>
  <c r="E86" i="9" s="1"/>
  <c r="E86" i="10" s="1"/>
  <c r="E86" i="11" s="1"/>
  <c r="E86" i="12" s="1"/>
  <c r="E86" i="13" s="1"/>
  <c r="E86" i="14" s="1"/>
  <c r="E86" i="15" s="1"/>
  <c r="E86" i="16" s="1"/>
  <c r="E87" i="5"/>
  <c r="E87" i="6" s="1"/>
  <c r="E87" i="7" s="1"/>
  <c r="E87" i="8" s="1"/>
  <c r="E87" i="9" s="1"/>
  <c r="E87" i="10" s="1"/>
  <c r="E87" i="11" s="1"/>
  <c r="E87" i="12" s="1"/>
  <c r="E87" i="13" s="1"/>
  <c r="E87" i="14" s="1"/>
  <c r="E87" i="15" s="1"/>
  <c r="E87" i="16" s="1"/>
  <c r="E88" i="5"/>
  <c r="E88" i="6" s="1"/>
  <c r="E88" i="7" s="1"/>
  <c r="E88" i="8" s="1"/>
  <c r="E88" i="9" s="1"/>
  <c r="E88" i="10" s="1"/>
  <c r="E88" i="11" s="1"/>
  <c r="E88" i="12" s="1"/>
  <c r="E88" i="13" s="1"/>
  <c r="E88" i="14" s="1"/>
  <c r="E88" i="15" s="1"/>
  <c r="E88" i="16" s="1"/>
  <c r="E89" i="5"/>
  <c r="E89" i="6" s="1"/>
  <c r="E89" i="7" s="1"/>
  <c r="E89" i="8" s="1"/>
  <c r="E89" i="9" s="1"/>
  <c r="E89" i="10" s="1"/>
  <c r="E89" i="11" s="1"/>
  <c r="E89" i="12" s="1"/>
  <c r="E89" i="13" s="1"/>
  <c r="E90" i="5"/>
  <c r="E90" i="6" s="1"/>
  <c r="E90" i="7" s="1"/>
  <c r="E90" i="8" s="1"/>
  <c r="E90" i="9" s="1"/>
  <c r="E90" i="10" s="1"/>
  <c r="E90" i="11" s="1"/>
  <c r="E90" i="12" s="1"/>
  <c r="E90" i="13" s="1"/>
  <c r="E90" i="14" s="1"/>
  <c r="E90" i="15" s="1"/>
  <c r="E90" i="16" s="1"/>
  <c r="E91" i="5"/>
  <c r="E91" i="6" s="1"/>
  <c r="E91" i="7" s="1"/>
  <c r="E91" i="8" s="1"/>
  <c r="E91" i="9" s="1"/>
  <c r="E91" i="10" s="1"/>
  <c r="E91" i="11" s="1"/>
  <c r="E91" i="12" s="1"/>
  <c r="E91" i="13" s="1"/>
  <c r="E91" i="14" s="1"/>
  <c r="E91" i="15" s="1"/>
  <c r="E91" i="16" s="1"/>
  <c r="E92" i="5"/>
  <c r="E92" i="6" s="1"/>
  <c r="E92" i="7" s="1"/>
  <c r="E92" i="8" s="1"/>
  <c r="E92" i="9" s="1"/>
  <c r="E92" i="10" s="1"/>
  <c r="E92" i="11" s="1"/>
  <c r="E92" i="12" s="1"/>
  <c r="E92" i="13" s="1"/>
  <c r="E92" i="14" s="1"/>
  <c r="E92" i="15" s="1"/>
  <c r="E92" i="16" s="1"/>
  <c r="E94" i="5"/>
  <c r="E94" i="6" s="1"/>
  <c r="E94" i="7" s="1"/>
  <c r="E94" i="8" s="1"/>
  <c r="E94" i="9" s="1"/>
  <c r="E94" i="10" s="1"/>
  <c r="E94" i="11" s="1"/>
  <c r="E94" i="12" s="1"/>
  <c r="E94" i="13" s="1"/>
  <c r="E94" i="14" s="1"/>
  <c r="E94" i="15" s="1"/>
  <c r="E95" i="5"/>
  <c r="E95" i="6"/>
  <c r="E95" i="7" s="1"/>
  <c r="E95" i="8" s="1"/>
  <c r="E95" i="9" s="1"/>
  <c r="E95" i="10" s="1"/>
  <c r="E95" i="11" s="1"/>
  <c r="E95" i="12" s="1"/>
  <c r="E95" i="13" s="1"/>
  <c r="E95" i="14" s="1"/>
  <c r="E95" i="15" s="1"/>
  <c r="E95" i="16" s="1"/>
  <c r="E96" i="5"/>
  <c r="E96" i="6" s="1"/>
  <c r="E96" i="7" s="1"/>
  <c r="E96" i="8" s="1"/>
  <c r="E96" i="9" s="1"/>
  <c r="E96" i="10" s="1"/>
  <c r="E97" i="5"/>
  <c r="E97" i="6" s="1"/>
  <c r="E97" i="7" s="1"/>
  <c r="E97" i="8" s="1"/>
  <c r="E97" i="9" s="1"/>
  <c r="E97" i="10" s="1"/>
  <c r="E97" i="11" s="1"/>
  <c r="E97" i="12" s="1"/>
  <c r="E97" i="13" s="1"/>
  <c r="E97" i="14" s="1"/>
  <c r="E97" i="15" s="1"/>
  <c r="E97" i="16" s="1"/>
  <c r="E100" i="5"/>
  <c r="E100" i="6" s="1"/>
  <c r="E100" i="7" s="1"/>
  <c r="E100" i="8" s="1"/>
  <c r="E100" i="9" s="1"/>
  <c r="E100" i="10" s="1"/>
  <c r="E100" i="11" s="1"/>
  <c r="E101" i="5"/>
  <c r="E101" i="6" s="1"/>
  <c r="E101" i="7" s="1"/>
  <c r="E101" i="8" s="1"/>
  <c r="E101" i="9" s="1"/>
  <c r="E101" i="10" s="1"/>
  <c r="E101" i="11" s="1"/>
  <c r="E101" i="12" s="1"/>
  <c r="E101" i="13" s="1"/>
  <c r="E101" i="14" s="1"/>
  <c r="E101" i="15" s="1"/>
  <c r="E101" i="16" s="1"/>
  <c r="E102" i="5"/>
  <c r="E102" i="6" s="1"/>
  <c r="E102" i="7" s="1"/>
  <c r="E102" i="8" s="1"/>
  <c r="E102" i="9" s="1"/>
  <c r="E102" i="10" s="1"/>
  <c r="E102" i="11" s="1"/>
  <c r="E102" i="12" s="1"/>
  <c r="E102" i="13" s="1"/>
  <c r="E102" i="14" s="1"/>
  <c r="E102" i="15" s="1"/>
  <c r="E102" i="16" s="1"/>
  <c r="E103" i="5"/>
  <c r="E103" i="6" s="1"/>
  <c r="E103" i="7" s="1"/>
  <c r="E103" i="8" s="1"/>
  <c r="E103" i="9" s="1"/>
  <c r="E103" i="10" s="1"/>
  <c r="E103" i="11" s="1"/>
  <c r="E103" i="12" s="1"/>
  <c r="E103" i="13" s="1"/>
  <c r="E103" i="14" s="1"/>
  <c r="E103" i="15" s="1"/>
  <c r="E103" i="16" s="1"/>
  <c r="E104" i="5"/>
  <c r="E104" i="6" s="1"/>
  <c r="E104" i="7" s="1"/>
  <c r="E104" i="8" s="1"/>
  <c r="E104" i="9" s="1"/>
  <c r="E104" i="10" s="1"/>
  <c r="E104" i="11" s="1"/>
  <c r="E104" i="12" s="1"/>
  <c r="E104" i="13" s="1"/>
  <c r="E104" i="14" s="1"/>
  <c r="E104" i="15" s="1"/>
  <c r="E104" i="16" s="1"/>
  <c r="E105" i="5"/>
  <c r="E105" i="6" s="1"/>
  <c r="E105" i="7" s="1"/>
  <c r="E106" i="5"/>
  <c r="E106" i="6" s="1"/>
  <c r="E106" i="7" s="1"/>
  <c r="E106" i="8" s="1"/>
  <c r="E106" i="9" s="1"/>
  <c r="E106" i="10" s="1"/>
  <c r="E106" i="11" s="1"/>
  <c r="E106" i="12" s="1"/>
  <c r="E106" i="13" s="1"/>
  <c r="E106" i="14" s="1"/>
  <c r="E106" i="15" s="1"/>
  <c r="E106" i="16" s="1"/>
  <c r="E109" i="5"/>
  <c r="E109" i="6" s="1"/>
  <c r="E109" i="7" s="1"/>
  <c r="E109" i="8" s="1"/>
  <c r="E109" i="9" s="1"/>
  <c r="E109" i="10" s="1"/>
  <c r="E109" i="11" s="1"/>
  <c r="E109" i="12" s="1"/>
  <c r="E109" i="13" s="1"/>
  <c r="E109" i="14" s="1"/>
  <c r="E109" i="15" s="1"/>
  <c r="E109" i="16" s="1"/>
  <c r="E110" i="5"/>
  <c r="E110" i="6" s="1"/>
  <c r="E110" i="7" s="1"/>
  <c r="E110" i="8" s="1"/>
  <c r="E110" i="9" s="1"/>
  <c r="E110" i="10" s="1"/>
  <c r="E110" i="11" s="1"/>
  <c r="E110" i="12" s="1"/>
  <c r="E110" i="13" s="1"/>
  <c r="E110" i="14" s="1"/>
  <c r="E110" i="15" s="1"/>
  <c r="E110" i="16" s="1"/>
  <c r="E111" i="5"/>
  <c r="E111" i="6" s="1"/>
  <c r="E111" i="7" s="1"/>
  <c r="E111" i="8" s="1"/>
  <c r="E111" i="9" s="1"/>
  <c r="E111" i="10" s="1"/>
  <c r="E111" i="11" s="1"/>
  <c r="E111" i="12" s="1"/>
  <c r="E111" i="13" s="1"/>
  <c r="E111" i="14" s="1"/>
  <c r="E111" i="15" s="1"/>
  <c r="E111" i="16" s="1"/>
  <c r="E112" i="5"/>
  <c r="E112" i="6" s="1"/>
  <c r="E112" i="7" s="1"/>
  <c r="E112" i="8" s="1"/>
  <c r="E112" i="9" s="1"/>
  <c r="E112" i="10" s="1"/>
  <c r="E112" i="11" s="1"/>
  <c r="E112" i="12" s="1"/>
  <c r="E112" i="13" s="1"/>
  <c r="E112" i="14" s="1"/>
  <c r="E112" i="15" s="1"/>
  <c r="E112" i="16" s="1"/>
  <c r="E113" i="5"/>
  <c r="E113" i="6" s="1"/>
  <c r="E113" i="7" s="1"/>
  <c r="E113" i="8" s="1"/>
  <c r="E113" i="9" s="1"/>
  <c r="E113" i="10" s="1"/>
  <c r="E113" i="11" s="1"/>
  <c r="E113" i="12" s="1"/>
  <c r="E113" i="13" s="1"/>
  <c r="E113" i="14" s="1"/>
  <c r="E113" i="15" s="1"/>
  <c r="E113" i="16" s="1"/>
  <c r="E114" i="5"/>
  <c r="E114" i="6" s="1"/>
  <c r="E114" i="7" s="1"/>
  <c r="E114" i="8" s="1"/>
  <c r="E114" i="9" s="1"/>
  <c r="E114" i="10" s="1"/>
  <c r="E114" i="11" s="1"/>
  <c r="E114" i="12" s="1"/>
  <c r="E114" i="13" s="1"/>
  <c r="E114" i="14" s="1"/>
  <c r="E114" i="15" s="1"/>
  <c r="E114" i="16" s="1"/>
  <c r="E115" i="5"/>
  <c r="E115" i="6"/>
  <c r="E115" i="7" s="1"/>
  <c r="E115" i="8" s="1"/>
  <c r="E115" i="9" s="1"/>
  <c r="E115" i="10" s="1"/>
  <c r="E115" i="11" s="1"/>
  <c r="E115" i="12" s="1"/>
  <c r="E115" i="13" s="1"/>
  <c r="E115" i="14" s="1"/>
  <c r="E115" i="15" s="1"/>
  <c r="E115" i="16" s="1"/>
  <c r="E116" i="5"/>
  <c r="E116" i="6" s="1"/>
  <c r="E116" i="7" s="1"/>
  <c r="E116" i="8" s="1"/>
  <c r="E116" i="9" s="1"/>
  <c r="E116" i="10" s="1"/>
  <c r="E116" i="11" s="1"/>
  <c r="E116" i="12" s="1"/>
  <c r="E116" i="13" s="1"/>
  <c r="E116" i="14" s="1"/>
  <c r="E116" i="15" s="1"/>
  <c r="E116" i="16" s="1"/>
  <c r="E118" i="5"/>
  <c r="E118" i="6" s="1"/>
  <c r="E118" i="7" s="1"/>
  <c r="E118" i="8" s="1"/>
  <c r="E118" i="9" s="1"/>
  <c r="E118" i="10" s="1"/>
  <c r="E118" i="11" s="1"/>
  <c r="E119" i="5"/>
  <c r="E119" i="6" s="1"/>
  <c r="E119" i="7" s="1"/>
  <c r="E119" i="8" s="1"/>
  <c r="E119" i="9" s="1"/>
  <c r="E119" i="10" s="1"/>
  <c r="E119" i="11" s="1"/>
  <c r="E119" i="12" s="1"/>
  <c r="E119" i="13" s="1"/>
  <c r="E119" i="14" s="1"/>
  <c r="E119" i="15" s="1"/>
  <c r="E119" i="1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1" i="7" s="1"/>
  <c r="W21" i="8" s="1"/>
  <c r="W21" i="9" s="1"/>
  <c r="W21" i="10" s="1"/>
  <c r="W21" i="11" s="1"/>
  <c r="W21" i="12" s="1"/>
  <c r="W21" i="13" s="1"/>
  <c r="W21" i="14" s="1"/>
  <c r="W21" i="15" s="1"/>
  <c r="W21" i="16" s="1"/>
  <c r="W22" i="5"/>
  <c r="W22" i="6" s="1"/>
  <c r="W22" i="7" s="1"/>
  <c r="W22" i="8" s="1"/>
  <c r="W22" i="9" s="1"/>
  <c r="W22" i="10" s="1"/>
  <c r="W22" i="11" s="1"/>
  <c r="W22" i="12" s="1"/>
  <c r="W22" i="13" s="1"/>
  <c r="W22" i="14" s="1"/>
  <c r="W22" i="15" s="1"/>
  <c r="W22" i="16" s="1"/>
  <c r="W23" i="5"/>
  <c r="W23" i="6" s="1"/>
  <c r="W23" i="7" s="1"/>
  <c r="W23" i="8" s="1"/>
  <c r="W23" i="9" s="1"/>
  <c r="W23" i="10" s="1"/>
  <c r="W23" i="11" s="1"/>
  <c r="W23" i="12" s="1"/>
  <c r="W23" i="13" s="1"/>
  <c r="W23" i="14" s="1"/>
  <c r="W23" i="15" s="1"/>
  <c r="W23" i="16" s="1"/>
  <c r="W24" i="5"/>
  <c r="W24" i="6" s="1"/>
  <c r="W24" i="7" s="1"/>
  <c r="W24" i="8" s="1"/>
  <c r="W24" i="9" s="1"/>
  <c r="W24" i="10" s="1"/>
  <c r="W24" i="11" s="1"/>
  <c r="W24" i="12" s="1"/>
  <c r="W24" i="13" s="1"/>
  <c r="W24" i="14" s="1"/>
  <c r="W24" i="15" s="1"/>
  <c r="W24" i="16" s="1"/>
  <c r="W25" i="5"/>
  <c r="W25" i="6"/>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7" i="12" s="1"/>
  <c r="W37" i="13" s="1"/>
  <c r="W37" i="14" s="1"/>
  <c r="W37" i="15" s="1"/>
  <c r="W37" i="16" s="1"/>
  <c r="W38" i="5"/>
  <c r="W38" i="6" s="1"/>
  <c r="W38" i="7" s="1"/>
  <c r="W38" i="8" s="1"/>
  <c r="W38" i="9" s="1"/>
  <c r="W38" i="10" s="1"/>
  <c r="W38" i="11" s="1"/>
  <c r="W38" i="12" s="1"/>
  <c r="W38" i="13" s="1"/>
  <c r="W38" i="14" s="1"/>
  <c r="W38" i="15" s="1"/>
  <c r="W38" i="16" s="1"/>
  <c r="W39" i="5"/>
  <c r="W39" i="6" s="1"/>
  <c r="W39" i="7" s="1"/>
  <c r="W39" i="8" s="1"/>
  <c r="W39" i="9" s="1"/>
  <c r="W39" i="10" s="1"/>
  <c r="W39" i="11" s="1"/>
  <c r="W39" i="12" s="1"/>
  <c r="W39" i="13" s="1"/>
  <c r="W39" i="14"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6" i="7" s="1"/>
  <c r="W46" i="8" s="1"/>
  <c r="W46" i="9" s="1"/>
  <c r="W46" i="10" s="1"/>
  <c r="W47" i="5"/>
  <c r="W47" i="6" s="1"/>
  <c r="W47" i="7" s="1"/>
  <c r="W47" i="8" s="1"/>
  <c r="W47" i="9" s="1"/>
  <c r="W47" i="10" s="1"/>
  <c r="W47" i="11" s="1"/>
  <c r="W47" i="12" s="1"/>
  <c r="W47" i="13" s="1"/>
  <c r="W47" i="14" s="1"/>
  <c r="W47" i="15" s="1"/>
  <c r="W47" i="16" s="1"/>
  <c r="W48" i="5"/>
  <c r="W48" i="6" s="1"/>
  <c r="W48" i="7" s="1"/>
  <c r="W48" i="8" s="1"/>
  <c r="W48" i="9" s="1"/>
  <c r="W48" i="10" s="1"/>
  <c r="W48" i="11" s="1"/>
  <c r="W48" i="12" s="1"/>
  <c r="W48" i="13" s="1"/>
  <c r="W48" i="14" s="1"/>
  <c r="W48" i="15" s="1"/>
  <c r="W48" i="16" s="1"/>
  <c r="W50" i="5"/>
  <c r="W50" i="6" s="1"/>
  <c r="W50" i="7" s="1"/>
  <c r="W50" i="8" s="1"/>
  <c r="W50" i="9" s="1"/>
  <c r="W50" i="10" s="1"/>
  <c r="W50" i="11" s="1"/>
  <c r="W50" i="12" s="1"/>
  <c r="W50" i="13" s="1"/>
  <c r="W50" i="14" s="1"/>
  <c r="W50" i="15" s="1"/>
  <c r="W50" i="16" s="1"/>
  <c r="W51" i="5"/>
  <c r="W51" i="6" s="1"/>
  <c r="W51" i="7" s="1"/>
  <c r="W52" i="5"/>
  <c r="W52" i="6" s="1"/>
  <c r="W52" i="7" s="1"/>
  <c r="W52" i="8" s="1"/>
  <c r="W52" i="9" s="1"/>
  <c r="W52" i="10" s="1"/>
  <c r="W52" i="11" s="1"/>
  <c r="W52" i="12" s="1"/>
  <c r="W52" i="13" s="1"/>
  <c r="W52" i="14" s="1"/>
  <c r="W52" i="15" s="1"/>
  <c r="W52" i="16" s="1"/>
  <c r="W53" i="5"/>
  <c r="W53" i="6"/>
  <c r="W53" i="7" s="1"/>
  <c r="W53" i="8" s="1"/>
  <c r="W53" i="9" s="1"/>
  <c r="W53" i="10" s="1"/>
  <c r="W53" i="11"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59" i="12" s="1"/>
  <c r="W59" i="13" s="1"/>
  <c r="W59" i="14" s="1"/>
  <c r="W59" i="15"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1" i="7" s="1"/>
  <c r="W71" i="8" s="1"/>
  <c r="W71" i="9" s="1"/>
  <c r="W71" i="10" s="1"/>
  <c r="W71" i="11" s="1"/>
  <c r="W71" i="12" s="1"/>
  <c r="W71" i="13" s="1"/>
  <c r="W71" i="14" s="1"/>
  <c r="W71" i="15" s="1"/>
  <c r="W71" i="16" s="1"/>
  <c r="W72" i="5"/>
  <c r="W72" i="6" s="1"/>
  <c r="W72" i="7" s="1"/>
  <c r="W72" i="8" s="1"/>
  <c r="W72" i="9" s="1"/>
  <c r="W72" i="10" s="1"/>
  <c r="W72" i="11" s="1"/>
  <c r="W72" i="12" s="1"/>
  <c r="W72" i="13" s="1"/>
  <c r="W72" i="14" s="1"/>
  <c r="W72" i="15" s="1"/>
  <c r="W72" i="16" s="1"/>
  <c r="W73" i="5"/>
  <c r="W73" i="6"/>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5" i="5"/>
  <c r="W85" i="6" s="1"/>
  <c r="W85" i="7" s="1"/>
  <c r="W85" i="8" s="1"/>
  <c r="W85" i="9" s="1"/>
  <c r="W85" i="10" s="1"/>
  <c r="W85" i="11" s="1"/>
  <c r="W85" i="12" s="1"/>
  <c r="W85" i="13" s="1"/>
  <c r="W85" i="14" s="1"/>
  <c r="W85" i="15" s="1"/>
  <c r="W85" i="16" s="1"/>
  <c r="W86" i="5"/>
  <c r="W86" i="6" s="1"/>
  <c r="W86" i="7" s="1"/>
  <c r="W86" i="8" s="1"/>
  <c r="W86" i="9" s="1"/>
  <c r="W86" i="10" s="1"/>
  <c r="W86" i="11" s="1"/>
  <c r="W86" i="12" s="1"/>
  <c r="W86" i="13" s="1"/>
  <c r="W86" i="14" s="1"/>
  <c r="W86" i="15" s="1"/>
  <c r="W86" i="16" s="1"/>
  <c r="W87" i="5"/>
  <c r="W87" i="6"/>
  <c r="W87" i="7" s="1"/>
  <c r="W87" i="8" s="1"/>
  <c r="W87" i="9" s="1"/>
  <c r="W87" i="10" s="1"/>
  <c r="W87" i="11" s="1"/>
  <c r="W87" i="12" s="1"/>
  <c r="W87" i="13" s="1"/>
  <c r="W87" i="14" s="1"/>
  <c r="W87" i="15" s="1"/>
  <c r="W88" i="5"/>
  <c r="W88" i="6"/>
  <c r="W88" i="7" s="1"/>
  <c r="W88" i="8" s="1"/>
  <c r="W88" i="9" s="1"/>
  <c r="W88" i="10" s="1"/>
  <c r="W88" i="11" s="1"/>
  <c r="W88" i="12" s="1"/>
  <c r="W88" i="13" s="1"/>
  <c r="W88" i="14" s="1"/>
  <c r="W88" i="15" s="1"/>
  <c r="W88" i="16" s="1"/>
  <c r="W92" i="5"/>
  <c r="W92" i="6"/>
  <c r="W92" i="7" s="1"/>
  <c r="W92" i="8" s="1"/>
  <c r="W92" i="9" s="1"/>
  <c r="W92" i="10" s="1"/>
  <c r="W92" i="11" s="1"/>
  <c r="W92" i="12" s="1"/>
  <c r="W92" i="13" s="1"/>
  <c r="W92" i="14" s="1"/>
  <c r="W92" i="15" s="1"/>
  <c r="W92" i="16" s="1"/>
  <c r="W93" i="5"/>
  <c r="W93" i="6"/>
  <c r="W93" i="7" s="1"/>
  <c r="W93" i="8" s="1"/>
  <c r="W93" i="9" s="1"/>
  <c r="W93" i="10" s="1"/>
  <c r="W93" i="11" s="1"/>
  <c r="W93" i="12" s="1"/>
  <c r="W93" i="13" s="1"/>
  <c r="W93" i="14" s="1"/>
  <c r="W93" i="15" s="1"/>
  <c r="W93" i="16" s="1"/>
  <c r="W94" i="5"/>
  <c r="W94" i="6" s="1"/>
  <c r="W94" i="7" s="1"/>
  <c r="W94" i="8" s="1"/>
  <c r="W94" i="9" s="1"/>
  <c r="W94" i="10" s="1"/>
  <c r="W94" i="11" s="1"/>
  <c r="W94" i="12" s="1"/>
  <c r="W94" i="13" s="1"/>
  <c r="W94" i="14" s="1"/>
  <c r="W94" i="15" s="1"/>
  <c r="W94" i="16" s="1"/>
  <c r="W95" i="5"/>
  <c r="W95" i="6" s="1"/>
  <c r="W95" i="7" s="1"/>
  <c r="W95" i="8" s="1"/>
  <c r="W95" i="9" s="1"/>
  <c r="W95" i="10" s="1"/>
  <c r="W95" i="11" s="1"/>
  <c r="W97" i="5"/>
  <c r="W97" i="6" s="1"/>
  <c r="W97" i="7" s="1"/>
  <c r="W97" i="8" s="1"/>
  <c r="W97" i="9" s="1"/>
  <c r="W97" i="10" s="1"/>
  <c r="W97" i="11" s="1"/>
  <c r="W97" i="12" s="1"/>
  <c r="W97" i="13" s="1"/>
  <c r="W97" i="14" s="1"/>
  <c r="W97" i="15" s="1"/>
  <c r="W97" i="16" s="1"/>
  <c r="W98" i="5"/>
  <c r="W98" i="6" s="1"/>
  <c r="W98" i="7" s="1"/>
  <c r="W98" i="8" s="1"/>
  <c r="W98" i="9" s="1"/>
  <c r="W98" i="10" s="1"/>
  <c r="W98" i="11" s="1"/>
  <c r="W98" i="12" s="1"/>
  <c r="W98" i="13" s="1"/>
  <c r="W98" i="14" s="1"/>
  <c r="W98" i="15" s="1"/>
  <c r="W98" i="16" s="1"/>
  <c r="W99" i="5"/>
  <c r="W99" i="6" s="1"/>
  <c r="W99" i="7" s="1"/>
  <c r="W99" i="8" s="1"/>
  <c r="W99" i="9" s="1"/>
  <c r="W99" i="10" s="1"/>
  <c r="W99" i="11" s="1"/>
  <c r="W99" i="12" s="1"/>
  <c r="W99" i="13" s="1"/>
  <c r="W99" i="14" s="1"/>
  <c r="W99" i="15" s="1"/>
  <c r="W99" i="16" s="1"/>
  <c r="W100" i="5"/>
  <c r="W100" i="6" s="1"/>
  <c r="W100" i="7"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6" i="5"/>
  <c r="W106" i="6" s="1"/>
  <c r="W106" i="7" s="1"/>
  <c r="W106" i="8" s="1"/>
  <c r="W106" i="9" s="1"/>
  <c r="W106" i="10" s="1"/>
  <c r="W106" i="11" s="1"/>
  <c r="W106" i="12" s="1"/>
  <c r="W106" i="13" s="1"/>
  <c r="W106" i="14" s="1"/>
  <c r="W106" i="15" s="1"/>
  <c r="W107" i="5"/>
  <c r="W107" i="6" s="1"/>
  <c r="W107" i="7" s="1"/>
  <c r="W107" i="8" s="1"/>
  <c r="W107" i="9" s="1"/>
  <c r="W107" i="10" s="1"/>
  <c r="W107" i="11" s="1"/>
  <c r="W108" i="5"/>
  <c r="W108" i="6" s="1"/>
  <c r="W108" i="7" s="1"/>
  <c r="W108" i="8" s="1"/>
  <c r="W108" i="9" s="1"/>
  <c r="W108" i="10" s="1"/>
  <c r="W108" i="11" s="1"/>
  <c r="W108" i="12" s="1"/>
  <c r="W108" i="13" s="1"/>
  <c r="W115" i="5"/>
  <c r="W115" i="6" s="1"/>
  <c r="W115" i="7" s="1"/>
  <c r="W116" i="5"/>
  <c r="W116" i="6" s="1"/>
  <c r="W116" i="7" s="1"/>
  <c r="W116" i="8" s="1"/>
  <c r="W116" i="9" s="1"/>
  <c r="W116" i="10" s="1"/>
  <c r="W116" i="11" s="1"/>
  <c r="W116" i="12" s="1"/>
  <c r="W116" i="13" s="1"/>
  <c r="W116" i="14" s="1"/>
  <c r="W116" i="15"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3" i="7" s="1"/>
  <c r="W133" i="8" s="1"/>
  <c r="W133" i="9" s="1"/>
  <c r="W133" i="10" s="1"/>
  <c r="W133" i="11"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2" i="11" s="1"/>
  <c r="W143" i="5"/>
  <c r="W143" i="6" s="1"/>
  <c r="W143" i="7" s="1"/>
  <c r="W143" i="8" s="1"/>
  <c r="W143" i="9" s="1"/>
  <c r="W143" i="10" s="1"/>
  <c r="W143" i="11" s="1"/>
  <c r="W143" i="12" s="1"/>
  <c r="W143" i="13" s="1"/>
  <c r="W143" i="14" s="1"/>
  <c r="W143" i="15" s="1"/>
  <c r="W143" i="16" s="1"/>
  <c r="W148" i="5"/>
  <c r="W148" i="6" s="1"/>
  <c r="W148" i="7" s="1"/>
  <c r="W148" i="8" s="1"/>
  <c r="W148" i="9" s="1"/>
  <c r="W148" i="10" s="1"/>
  <c r="W148" i="11" s="1"/>
  <c r="W148" i="12"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2" i="11" s="1"/>
  <c r="W152" i="12" s="1"/>
  <c r="W152" i="13" s="1"/>
  <c r="W152" i="14" s="1"/>
  <c r="W152" i="15" s="1"/>
  <c r="W152" i="16" s="1"/>
  <c r="W153" i="5"/>
  <c r="W153" i="6" s="1"/>
  <c r="W153" i="7" s="1"/>
  <c r="W153" i="8" s="1"/>
  <c r="W153" i="9" s="1"/>
  <c r="W153" i="10" s="1"/>
  <c r="W153" i="11" s="1"/>
  <c r="W153" i="12" s="1"/>
  <c r="W153" i="13" s="1"/>
  <c r="W153" i="14" s="1"/>
  <c r="W153" i="15" s="1"/>
  <c r="W153" i="16" s="1"/>
  <c r="W156" i="5"/>
  <c r="W156" i="6"/>
  <c r="W156" i="7" s="1"/>
  <c r="W156" i="8" s="1"/>
  <c r="W156" i="9" s="1"/>
  <c r="W156" i="10" s="1"/>
  <c r="W156" i="11" s="1"/>
  <c r="W156" i="12" s="1"/>
  <c r="W156" i="13" s="1"/>
  <c r="W156" i="14" s="1"/>
  <c r="W156" i="15" s="1"/>
  <c r="W156" i="16" s="1"/>
  <c r="W158" i="5"/>
  <c r="W158" i="6"/>
  <c r="W158" i="7" s="1"/>
  <c r="W158" i="8" s="1"/>
  <c r="W158" i="9" s="1"/>
  <c r="W158" i="10" s="1"/>
  <c r="W159" i="5"/>
  <c r="W159" i="6"/>
  <c r="W159" i="7" s="1"/>
  <c r="W160" i="5"/>
  <c r="W160" i="6"/>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c r="W165" i="7" s="1"/>
  <c r="W165" i="8" s="1"/>
  <c r="W165" i="9" s="1"/>
  <c r="W165" i="10" s="1"/>
  <c r="W165" i="11"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4" i="8" s="1"/>
  <c r="W174" i="9" s="1"/>
  <c r="W174" i="10" s="1"/>
  <c r="W174" i="11" s="1"/>
  <c r="W174" i="12" s="1"/>
  <c r="W177" i="5"/>
  <c r="W177" i="6" s="1"/>
  <c r="W177" i="7" s="1"/>
  <c r="W177" i="8" s="1"/>
  <c r="W177" i="9" s="1"/>
  <c r="W177" i="10" s="1"/>
  <c r="W177" i="11" s="1"/>
  <c r="W177" i="12" s="1"/>
  <c r="W177" i="13" s="1"/>
  <c r="W177" i="14" s="1"/>
  <c r="W177" i="15" s="1"/>
  <c r="W177" i="16" s="1"/>
  <c r="W178" i="5"/>
  <c r="W178" i="6" s="1"/>
  <c r="W178" i="7" s="1"/>
  <c r="W178" i="8" s="1"/>
  <c r="W178" i="9" s="1"/>
  <c r="W178" i="10" s="1"/>
  <c r="W178" i="11" s="1"/>
  <c r="W178" i="12" s="1"/>
  <c r="W178" i="13" s="1"/>
  <c r="W178" i="14" s="1"/>
  <c r="W178" i="15" s="1"/>
  <c r="W178" i="16"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2" i="5"/>
  <c r="W182" i="6"/>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8" i="11" s="1"/>
  <c r="W188" i="12" s="1"/>
  <c r="W188" i="13" s="1"/>
  <c r="W188" i="14" s="1"/>
  <c r="W188" i="15" s="1"/>
  <c r="W188" i="16" s="1"/>
  <c r="W189" i="5"/>
  <c r="W189" i="6" s="1"/>
  <c r="W189" i="7" s="1"/>
  <c r="W189" i="8" s="1"/>
  <c r="W189" i="9" s="1"/>
  <c r="W189" i="10" s="1"/>
  <c r="W190" i="5"/>
  <c r="W190" i="6" s="1"/>
  <c r="W190" i="7" s="1"/>
  <c r="W190" i="8" s="1"/>
  <c r="W190" i="9" s="1"/>
  <c r="W190" i="10" s="1"/>
  <c r="W190" i="11" s="1"/>
  <c r="W190" i="12" s="1"/>
  <c r="W190" i="13" s="1"/>
  <c r="W191" i="5"/>
  <c r="W191" i="6" s="1"/>
  <c r="W191" i="7" s="1"/>
  <c r="W191" i="8" s="1"/>
  <c r="W191" i="9" s="1"/>
  <c r="W191" i="10" s="1"/>
  <c r="W191" i="11" s="1"/>
  <c r="W191" i="12" s="1"/>
  <c r="W191" i="13" s="1"/>
  <c r="W191" i="14" s="1"/>
  <c r="W191" i="15" s="1"/>
  <c r="W191" i="16" s="1"/>
  <c r="W196" i="5"/>
  <c r="W196" i="6" s="1"/>
  <c r="W196" i="7" s="1"/>
  <c r="W196" i="8" s="1"/>
  <c r="W196" i="9" s="1"/>
  <c r="W196" i="10" s="1"/>
  <c r="W196" i="11" s="1"/>
  <c r="W196" i="12" s="1"/>
  <c r="W196" i="13" s="1"/>
  <c r="W196" i="14" s="1"/>
  <c r="W196" i="15" s="1"/>
  <c r="W196" i="16" s="1"/>
  <c r="W197" i="5"/>
  <c r="W197" i="6" s="1"/>
  <c r="W197" i="7" s="1"/>
  <c r="W197" i="8" s="1"/>
  <c r="W197" i="9" s="1"/>
  <c r="W198" i="5"/>
  <c r="W198" i="6" s="1"/>
  <c r="W198" i="7" s="1"/>
  <c r="W198" i="8" s="1"/>
  <c r="W198" i="9" s="1"/>
  <c r="W198" i="10" s="1"/>
  <c r="W198" i="11" s="1"/>
  <c r="W198" i="12" s="1"/>
  <c r="W198" i="13" s="1"/>
  <c r="W198" i="14" s="1"/>
  <c r="W198" i="15" s="1"/>
  <c r="W198" i="16"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4" i="5"/>
  <c r="W204" i="6"/>
  <c r="W204" i="7" s="1"/>
  <c r="W204" i="8" s="1"/>
  <c r="W204" i="9" s="1"/>
  <c r="W204" i="10" s="1"/>
  <c r="W204" i="11" s="1"/>
  <c r="W204" i="12" s="1"/>
  <c r="W204" i="13" s="1"/>
  <c r="W204" i="14" s="1"/>
  <c r="W204" i="15" s="1"/>
  <c r="W204" i="16" s="1"/>
  <c r="W205" i="5"/>
  <c r="W205" i="6"/>
  <c r="W205" i="7" s="1"/>
  <c r="W205" i="8" s="1"/>
  <c r="W205" i="9" s="1"/>
  <c r="W205" i="10" s="1"/>
  <c r="W205" i="11" s="1"/>
  <c r="W205" i="12" s="1"/>
  <c r="W205" i="13" s="1"/>
  <c r="W205" i="14" s="1"/>
  <c r="W205" i="15" s="1"/>
  <c r="W205" i="16" s="1"/>
  <c r="W212" i="5"/>
  <c r="W212" i="6" s="1"/>
  <c r="W212" i="7" s="1"/>
  <c r="W212" i="8" s="1"/>
  <c r="W212" i="9" s="1"/>
  <c r="W212" i="10" s="1"/>
  <c r="W212" i="11" s="1"/>
  <c r="W212" i="12" s="1"/>
  <c r="W213" i="5"/>
  <c r="W213" i="6" s="1"/>
  <c r="W213" i="7" s="1"/>
  <c r="W213" i="8" s="1"/>
  <c r="W213" i="9" s="1"/>
  <c r="W213" i="10" s="1"/>
  <c r="W213" i="11" s="1"/>
  <c r="W213" i="12" s="1"/>
  <c r="W213" i="13" s="1"/>
  <c r="W213" i="14" s="1"/>
  <c r="W213" i="15" s="1"/>
  <c r="W213" i="16" s="1"/>
  <c r="W214" i="5"/>
  <c r="W214" i="6"/>
  <c r="W214" i="7" s="1"/>
  <c r="W214" i="8" s="1"/>
  <c r="W214" i="9" s="1"/>
  <c r="W214" i="10" s="1"/>
  <c r="W214" i="11" s="1"/>
  <c r="W214" i="12" s="1"/>
  <c r="W214" i="13" s="1"/>
  <c r="W214" i="14" s="1"/>
  <c r="W214" i="15" s="1"/>
  <c r="W214" i="16" s="1"/>
  <c r="W215" i="5"/>
  <c r="W215" i="6"/>
  <c r="W215" i="7" s="1"/>
  <c r="W215" i="8" s="1"/>
  <c r="W215" i="9" s="1"/>
  <c r="W215" i="10" s="1"/>
  <c r="W215" i="11" s="1"/>
  <c r="W215" i="12" s="1"/>
  <c r="W215" i="13" s="1"/>
  <c r="W215" i="14" s="1"/>
  <c r="W215" i="15" s="1"/>
  <c r="W215" i="16" s="1"/>
  <c r="W216" i="5"/>
  <c r="W216" i="6" s="1"/>
  <c r="W216" i="7" s="1"/>
  <c r="W216" i="8" s="1"/>
  <c r="W216" i="9" s="1"/>
  <c r="W216" i="10" s="1"/>
  <c r="W216" i="11" s="1"/>
  <c r="W216" i="12" s="1"/>
  <c r="W216" i="13" s="1"/>
  <c r="W216" i="14" s="1"/>
  <c r="W216" i="15" s="1"/>
  <c r="W216" i="16" s="1"/>
  <c r="W217" i="5"/>
  <c r="W217" i="6" s="1"/>
  <c r="W217" i="7" s="1"/>
  <c r="W218" i="5"/>
  <c r="W218" i="6" s="1"/>
  <c r="W218" i="7" s="1"/>
  <c r="W218" i="8" s="1"/>
  <c r="W218" i="9" s="1"/>
  <c r="W218" i="10" s="1"/>
  <c r="W218" i="11" s="1"/>
  <c r="W218" i="12" s="1"/>
  <c r="W218" i="13" s="1"/>
  <c r="W218" i="14" s="1"/>
  <c r="W218" i="15" s="1"/>
  <c r="W218" i="16" s="1"/>
  <c r="W223" i="5"/>
  <c r="W223" i="6" s="1"/>
  <c r="W223" i="7" s="1"/>
  <c r="W223" i="8" s="1"/>
  <c r="W223" i="9" s="1"/>
  <c r="W223" i="10" s="1"/>
  <c r="W223" i="11" s="1"/>
  <c r="W223" i="12" s="1"/>
  <c r="W223" i="13" s="1"/>
  <c r="W223" i="14" s="1"/>
  <c r="W223" i="15"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8" i="8" s="1"/>
  <c r="W228" i="9" s="1"/>
  <c r="W228" i="10" s="1"/>
  <c r="W228" i="11" s="1"/>
  <c r="W228" i="12" s="1"/>
  <c r="W228" i="13" s="1"/>
  <c r="W228" i="14" s="1"/>
  <c r="W228" i="15" s="1"/>
  <c r="W228" i="16" s="1"/>
  <c r="W229" i="5"/>
  <c r="W229" i="6" s="1"/>
  <c r="W229" i="7" s="1"/>
  <c r="W229" i="8" s="1"/>
  <c r="W229" i="9" s="1"/>
  <c r="W229" i="10" s="1"/>
  <c r="W229" i="11" s="1"/>
  <c r="W229" i="12" s="1"/>
  <c r="W229" i="13" s="1"/>
  <c r="W229" i="14" s="1"/>
  <c r="W229" i="15" s="1"/>
  <c r="W230" i="5"/>
  <c r="W230" i="6" s="1"/>
  <c r="W230" i="7" s="1"/>
  <c r="W230" i="8" s="1"/>
  <c r="W230" i="9" s="1"/>
  <c r="W230" i="10" s="1"/>
  <c r="W236" i="5"/>
  <c r="W236" i="6" s="1"/>
  <c r="W236" i="7" s="1"/>
  <c r="W236" i="8" s="1"/>
  <c r="W236" i="9" s="1"/>
  <c r="W236" i="10" s="1"/>
  <c r="W236" i="11" s="1"/>
  <c r="W236" i="12" s="1"/>
  <c r="W236" i="13" s="1"/>
  <c r="W236" i="14" s="1"/>
  <c r="W236" i="15" s="1"/>
  <c r="W236" i="16" s="1"/>
  <c r="W237" i="5"/>
  <c r="W237" i="6" s="1"/>
  <c r="W237" i="7" s="1"/>
  <c r="W237" i="8" s="1"/>
  <c r="W237" i="9" s="1"/>
  <c r="W237" i="10" s="1"/>
  <c r="W237" i="11" s="1"/>
  <c r="W237" i="12" s="1"/>
  <c r="W237" i="13" s="1"/>
  <c r="W237" i="14" s="1"/>
  <c r="W237" i="15" s="1"/>
  <c r="W237" i="16" s="1"/>
  <c r="W238" i="5"/>
  <c r="W238" i="6" s="1"/>
  <c r="W238" i="7" s="1"/>
  <c r="W238" i="8" s="1"/>
  <c r="W238" i="9" s="1"/>
  <c r="W238" i="10" s="1"/>
  <c r="W238" i="11" s="1"/>
  <c r="W238" i="12" s="1"/>
  <c r="W238" i="13" s="1"/>
  <c r="W238" i="14" s="1"/>
  <c r="W239" i="5"/>
  <c r="W239" i="6" s="1"/>
  <c r="W239" i="7" s="1"/>
  <c r="W239" i="8" s="1"/>
  <c r="W239" i="9"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4" i="6" s="1"/>
  <c r="W244" i="7" s="1"/>
  <c r="W244" i="8" s="1"/>
  <c r="W244" i="9" s="1"/>
  <c r="W244" i="10" s="1"/>
  <c r="W244" i="11" s="1"/>
  <c r="W244" i="12" s="1"/>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C86" i="16"/>
  <c r="C87" i="16"/>
  <c r="C88" i="16"/>
  <c r="C89" i="16"/>
  <c r="C90" i="16"/>
  <c r="C91" i="16"/>
  <c r="C92" i="16"/>
  <c r="C94" i="16"/>
  <c r="C95" i="16"/>
  <c r="F95" i="16" s="1"/>
  <c r="C96" i="16"/>
  <c r="C97" i="16"/>
  <c r="C93" i="16" s="1"/>
  <c r="C100" i="16"/>
  <c r="C101" i="16"/>
  <c r="C102" i="16"/>
  <c r="C103" i="16"/>
  <c r="C104" i="16"/>
  <c r="C105" i="16"/>
  <c r="C106" i="16"/>
  <c r="C109" i="16"/>
  <c r="C110" i="16"/>
  <c r="C111" i="16"/>
  <c r="C112" i="16"/>
  <c r="C113" i="16"/>
  <c r="C114" i="16"/>
  <c r="C115" i="16"/>
  <c r="C116" i="16"/>
  <c r="C118" i="16"/>
  <c r="C119"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X71" i="16" s="1"/>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6" i="16"/>
  <c r="U197" i="16"/>
  <c r="U198" i="16"/>
  <c r="U199" i="16"/>
  <c r="U200" i="16"/>
  <c r="U201" i="16"/>
  <c r="U202" i="16"/>
  <c r="U204" i="16"/>
  <c r="U205"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23" i="5"/>
  <c r="BD12" i="5" s="1"/>
  <c r="I24" i="5"/>
  <c r="G24" i="6" s="1"/>
  <c r="I24" i="6" s="1"/>
  <c r="G24" i="7" s="1"/>
  <c r="I24" i="7" s="1"/>
  <c r="G24" i="8" s="1"/>
  <c r="I24" i="8" s="1"/>
  <c r="G24" i="9" s="1"/>
  <c r="I24" i="9" s="1"/>
  <c r="G24" i="10" s="1"/>
  <c r="I24" i="10" s="1"/>
  <c r="G24" i="11" s="1"/>
  <c r="I24" i="11" s="1"/>
  <c r="G24" i="12" s="1"/>
  <c r="I24" i="12" s="1"/>
  <c r="G24" i="13" s="1"/>
  <c r="I24" i="13" s="1"/>
  <c r="G24" i="14" s="1"/>
  <c r="I24" i="14" s="1"/>
  <c r="G24" i="15" s="1"/>
  <c r="I24" i="15" s="1"/>
  <c r="G24" i="16" s="1"/>
  <c r="I24" i="16" s="1"/>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G27" i="6" s="1"/>
  <c r="I27" i="6" s="1"/>
  <c r="G27" i="7" s="1"/>
  <c r="I27" i="7" s="1"/>
  <c r="G27" i="8" s="1"/>
  <c r="I27" i="8" s="1"/>
  <c r="G27" i="9" s="1"/>
  <c r="I27" i="9" s="1"/>
  <c r="G27" i="10" s="1"/>
  <c r="I27" i="10" s="1"/>
  <c r="G27" i="11" s="1"/>
  <c r="I27" i="11" s="1"/>
  <c r="G27" i="12" s="1"/>
  <c r="I27" i="12" s="1"/>
  <c r="G27" i="13" s="1"/>
  <c r="I27" i="13" s="1"/>
  <c r="G27" i="14" s="1"/>
  <c r="I27" i="14" s="1"/>
  <c r="G27" i="15" s="1"/>
  <c r="I27" i="15" s="1"/>
  <c r="G27" i="16" s="1"/>
  <c r="I27" i="16" s="1"/>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G33" i="12" s="1"/>
  <c r="I33" i="12" s="1"/>
  <c r="G33" i="13" s="1"/>
  <c r="I33" i="13" s="1"/>
  <c r="G33" i="14" s="1"/>
  <c r="I33" i="14" s="1"/>
  <c r="G33" i="15" s="1"/>
  <c r="I33" i="15" s="1"/>
  <c r="G33" i="16" s="1"/>
  <c r="I34" i="5"/>
  <c r="G34" i="6" s="1"/>
  <c r="I34" i="6" s="1"/>
  <c r="G34" i="7" s="1"/>
  <c r="I34" i="7" s="1"/>
  <c r="G34" i="8" s="1"/>
  <c r="I34" i="8" s="1"/>
  <c r="G34" i="9" s="1"/>
  <c r="I34" i="9" s="1"/>
  <c r="G34" i="10" s="1"/>
  <c r="I34" i="10" s="1"/>
  <c r="G34" i="11" s="1"/>
  <c r="I34" i="11" s="1"/>
  <c r="G34" i="12" s="1"/>
  <c r="I34" i="12" s="1"/>
  <c r="G34" i="13" s="1"/>
  <c r="I34" i="13" s="1"/>
  <c r="G34" i="14" s="1"/>
  <c r="I34" i="14" s="1"/>
  <c r="I36" i="5"/>
  <c r="G36" i="6" s="1"/>
  <c r="I36" i="6" s="1"/>
  <c r="G36" i="7" s="1"/>
  <c r="I36" i="7" s="1"/>
  <c r="G36" i="8" s="1"/>
  <c r="I36" i="8" s="1"/>
  <c r="G36" i="9" s="1"/>
  <c r="I36" i="9" s="1"/>
  <c r="G36" i="10" s="1"/>
  <c r="I36" i="10" s="1"/>
  <c r="G36" i="11" s="1"/>
  <c r="I36" i="11" s="1"/>
  <c r="G36" i="12" s="1"/>
  <c r="I36" i="12" s="1"/>
  <c r="G36" i="13" s="1"/>
  <c r="I36" i="13" s="1"/>
  <c r="G36" i="14" s="1"/>
  <c r="I36" i="14" s="1"/>
  <c r="G36" i="15" s="1"/>
  <c r="I37" i="5"/>
  <c r="G37" i="6" s="1"/>
  <c r="I37" i="6" s="1"/>
  <c r="G37" i="7" s="1"/>
  <c r="I37" i="7" s="1"/>
  <c r="G37" i="8" s="1"/>
  <c r="I37" i="8" s="1"/>
  <c r="G37" i="9" s="1"/>
  <c r="I37" i="9" s="1"/>
  <c r="G37" i="10" s="1"/>
  <c r="I41" i="5"/>
  <c r="G41" i="6" s="1"/>
  <c r="I41" i="6" s="1"/>
  <c r="G41" i="7" s="1"/>
  <c r="I41" i="7" s="1"/>
  <c r="G41" i="8" s="1"/>
  <c r="I41" i="8" s="1"/>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BD16" i="15" s="1"/>
  <c r="I44" i="5"/>
  <c r="G44" i="6"/>
  <c r="I44" i="6" s="1"/>
  <c r="G44" i="7" s="1"/>
  <c r="I44" i="7" s="1"/>
  <c r="G44" i="8" s="1"/>
  <c r="I44" i="8" s="1"/>
  <c r="G44" i="9" s="1"/>
  <c r="I44" i="9" s="1"/>
  <c r="G44" i="10" s="1"/>
  <c r="I44" i="10" s="1"/>
  <c r="G44" i="11" s="1"/>
  <c r="I44" i="11" s="1"/>
  <c r="G44" i="12" s="1"/>
  <c r="I44" i="12" s="1"/>
  <c r="G44" i="13" s="1"/>
  <c r="I44" i="13" s="1"/>
  <c r="G44" i="14" s="1"/>
  <c r="I44" i="14" s="1"/>
  <c r="G44" i="15" s="1"/>
  <c r="I44" i="15" s="1"/>
  <c r="G44" i="16" s="1"/>
  <c r="I44" i="16" s="1"/>
  <c r="I46" i="5"/>
  <c r="G46" i="6"/>
  <c r="I46" i="6" s="1"/>
  <c r="G46" i="7" s="1"/>
  <c r="I46" i="7" s="1"/>
  <c r="G46" i="8" s="1"/>
  <c r="I46" i="8" s="1"/>
  <c r="G46" i="9" s="1"/>
  <c r="I46" i="9" s="1"/>
  <c r="G46" i="10" s="1"/>
  <c r="I46" i="10" s="1"/>
  <c r="G46" i="11" s="1"/>
  <c r="I46" i="11" s="1"/>
  <c r="G46" i="12" s="1"/>
  <c r="I46" i="12" s="1"/>
  <c r="G46" i="13" s="1"/>
  <c r="I47" i="5"/>
  <c r="G47" i="6"/>
  <c r="I47" i="6" s="1"/>
  <c r="G47" i="7" s="1"/>
  <c r="I47" i="7" s="1"/>
  <c r="G47" i="8" s="1"/>
  <c r="I47" i="8" s="1"/>
  <c r="G47" i="9" s="1"/>
  <c r="I47" i="9" s="1"/>
  <c r="G47" i="10" s="1"/>
  <c r="I47" i="10" s="1"/>
  <c r="I49" i="5"/>
  <c r="G49" i="6"/>
  <c r="I49" i="6" s="1"/>
  <c r="G49" i="7" s="1"/>
  <c r="I49" i="7" s="1"/>
  <c r="G49" i="8" s="1"/>
  <c r="I49" i="8" s="1"/>
  <c r="G49" i="9" s="1"/>
  <c r="I49" i="9" s="1"/>
  <c r="G49" i="10" s="1"/>
  <c r="I49" i="10" s="1"/>
  <c r="G49" i="11" s="1"/>
  <c r="I49" i="11" s="1"/>
  <c r="G49" i="12" s="1"/>
  <c r="I49" i="12" s="1"/>
  <c r="G49" i="13" s="1"/>
  <c r="I49" i="13" s="1"/>
  <c r="G49" i="14" s="1"/>
  <c r="I49" i="14" s="1"/>
  <c r="G49" i="15" s="1"/>
  <c r="I49" i="15" s="1"/>
  <c r="I50" i="5"/>
  <c r="I52" i="5"/>
  <c r="G52" i="6" s="1"/>
  <c r="I52" i="6" s="1"/>
  <c r="G52" i="7" s="1"/>
  <c r="I52" i="7" s="1"/>
  <c r="G52" i="8" s="1"/>
  <c r="I52" i="8" s="1"/>
  <c r="G52" i="9" s="1"/>
  <c r="I52" i="9" s="1"/>
  <c r="G52" i="10" s="1"/>
  <c r="I52" i="10" s="1"/>
  <c r="G52" i="11" s="1"/>
  <c r="I52" i="11" s="1"/>
  <c r="G52" i="12" s="1"/>
  <c r="I52" i="12" s="1"/>
  <c r="G52" i="13"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5" i="6" s="1"/>
  <c r="I56" i="5"/>
  <c r="G56" i="6" s="1"/>
  <c r="I56" i="6" s="1"/>
  <c r="G56" i="7" s="1"/>
  <c r="I56" i="7" s="1"/>
  <c r="G56" i="8" s="1"/>
  <c r="I56" i="8" s="1"/>
  <c r="G56" i="9" s="1"/>
  <c r="I56" i="9" s="1"/>
  <c r="G56" i="10" s="1"/>
  <c r="I56" i="10" s="1"/>
  <c r="G56" i="11" s="1"/>
  <c r="I56" i="11" s="1"/>
  <c r="G56" i="12" s="1"/>
  <c r="I56" i="12" s="1"/>
  <c r="G56" i="13" s="1"/>
  <c r="I56" i="13" s="1"/>
  <c r="G56" i="14"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I61" i="5"/>
  <c r="G61" i="6" s="1"/>
  <c r="I62" i="5"/>
  <c r="G62" i="6" s="1"/>
  <c r="I62" i="6" s="1"/>
  <c r="G62" i="7" s="1"/>
  <c r="I62" i="7" s="1"/>
  <c r="G62" i="8" s="1"/>
  <c r="I62" i="8" s="1"/>
  <c r="G62" i="9" s="1"/>
  <c r="I62" i="9" s="1"/>
  <c r="G62" i="10" s="1"/>
  <c r="I62" i="10" s="1"/>
  <c r="G62" i="11" s="1"/>
  <c r="I62" i="11" s="1"/>
  <c r="G62" i="12" s="1"/>
  <c r="I62" i="12" s="1"/>
  <c r="G62" i="13" s="1"/>
  <c r="I62" i="13" s="1"/>
  <c r="G62" i="14" s="1"/>
  <c r="I62" i="14" s="1"/>
  <c r="G62" i="15" s="1"/>
  <c r="I62" i="15" s="1"/>
  <c r="G62" i="16" s="1"/>
  <c r="I62" i="16" s="1"/>
  <c r="I64" i="5"/>
  <c r="G64" i="6" s="1"/>
  <c r="I64" i="6" s="1"/>
  <c r="I65" i="5"/>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I68" i="5"/>
  <c r="G68" i="6"/>
  <c r="I70" i="5"/>
  <c r="G70" i="6" s="1"/>
  <c r="I71" i="5"/>
  <c r="G71" i="6" s="1"/>
  <c r="I71" i="6" s="1"/>
  <c r="G71" i="7" s="1"/>
  <c r="I71" i="7" s="1"/>
  <c r="G71" i="8" s="1"/>
  <c r="I71" i="8" s="1"/>
  <c r="G71" i="9" s="1"/>
  <c r="I71" i="9" s="1"/>
  <c r="G71" i="10" s="1"/>
  <c r="I71" i="10" s="1"/>
  <c r="G71" i="11" s="1"/>
  <c r="I71" i="11" s="1"/>
  <c r="G71" i="12" s="1"/>
  <c r="I71" i="12" s="1"/>
  <c r="G71" i="13" s="1"/>
  <c r="I71" i="13" s="1"/>
  <c r="G71" i="14" s="1"/>
  <c r="I71" i="14" s="1"/>
  <c r="G71" i="15" s="1"/>
  <c r="I71" i="15" s="1"/>
  <c r="G71" i="16" s="1"/>
  <c r="I71" i="16"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G73" i="16" s="1"/>
  <c r="I73" i="16" s="1"/>
  <c r="I74" i="5"/>
  <c r="I76" i="5"/>
  <c r="G76" i="6" s="1"/>
  <c r="I77" i="5"/>
  <c r="G77" i="6" s="1"/>
  <c r="I77" i="6" s="1"/>
  <c r="G77" i="7" s="1"/>
  <c r="I77" i="7" s="1"/>
  <c r="G77" i="8" s="1"/>
  <c r="I77" i="8" s="1"/>
  <c r="G77" i="9" s="1"/>
  <c r="I77" i="9" s="1"/>
  <c r="G77" i="10" s="1"/>
  <c r="I77" i="10" s="1"/>
  <c r="G77" i="11" s="1"/>
  <c r="I77" i="11" s="1"/>
  <c r="G77" i="12" s="1"/>
  <c r="I77" i="12" s="1"/>
  <c r="G77" i="13" s="1"/>
  <c r="I77" i="13" s="1"/>
  <c r="G77" i="14" s="1"/>
  <c r="I77" i="14" s="1"/>
  <c r="G77" i="15" s="1"/>
  <c r="I77" i="15" s="1"/>
  <c r="G77" i="16" s="1"/>
  <c r="I79" i="5"/>
  <c r="G79" i="6" s="1"/>
  <c r="I80" i="5"/>
  <c r="G80" i="6" s="1"/>
  <c r="I80" i="6" s="1"/>
  <c r="G80" i="7" s="1"/>
  <c r="I80" i="7" s="1"/>
  <c r="G80" i="8" s="1"/>
  <c r="I80" i="8" s="1"/>
  <c r="G80" i="9" s="1"/>
  <c r="I80" i="9" s="1"/>
  <c r="G80" i="10" s="1"/>
  <c r="I80" i="10" s="1"/>
  <c r="G80" i="11" s="1"/>
  <c r="I80" i="11" s="1"/>
  <c r="G80" i="12" s="1"/>
  <c r="I80" i="12" s="1"/>
  <c r="G80" i="13" s="1"/>
  <c r="I80" i="13" s="1"/>
  <c r="G80" i="14" s="1"/>
  <c r="I80" i="14" s="1"/>
  <c r="G80" i="15" s="1"/>
  <c r="I80" i="15" s="1"/>
  <c r="G80" i="16" s="1"/>
  <c r="I82" i="5"/>
  <c r="G82" i="6" s="1"/>
  <c r="I82" i="6" s="1"/>
  <c r="I83" i="5"/>
  <c r="G83" i="6" s="1"/>
  <c r="I83" i="6" s="1"/>
  <c r="G83" i="7" s="1"/>
  <c r="I83" i="7" s="1"/>
  <c r="I86" i="5"/>
  <c r="G86" i="6" s="1"/>
  <c r="I86" i="6" s="1"/>
  <c r="I87" i="5"/>
  <c r="G87" i="6"/>
  <c r="I87" i="6" s="1"/>
  <c r="G87" i="7" s="1"/>
  <c r="I87" i="7" s="1"/>
  <c r="G87" i="8" s="1"/>
  <c r="I87" i="8" s="1"/>
  <c r="G87" i="9" s="1"/>
  <c r="I87" i="9" s="1"/>
  <c r="G87" i="10" s="1"/>
  <c r="I87" i="10" s="1"/>
  <c r="G87" i="11" s="1"/>
  <c r="I87" i="11" s="1"/>
  <c r="G87" i="12" s="1"/>
  <c r="I87" i="12" s="1"/>
  <c r="G87" i="13" s="1"/>
  <c r="I87" i="13" s="1"/>
  <c r="G87" i="14" s="1"/>
  <c r="I87" i="14" s="1"/>
  <c r="I88" i="5"/>
  <c r="G88" i="6"/>
  <c r="I88" i="6" s="1"/>
  <c r="G88" i="7" s="1"/>
  <c r="I88" i="7" s="1"/>
  <c r="G88" i="8" s="1"/>
  <c r="I88" i="8" s="1"/>
  <c r="G88" i="9" s="1"/>
  <c r="I88" i="9" s="1"/>
  <c r="G88" i="10" s="1"/>
  <c r="I88" i="10" s="1"/>
  <c r="G88" i="11" s="1"/>
  <c r="I88" i="11" s="1"/>
  <c r="G88" i="12" s="1"/>
  <c r="I88" i="12" s="1"/>
  <c r="G88" i="13" s="1"/>
  <c r="I88" i="13" s="1"/>
  <c r="G88" i="14" s="1"/>
  <c r="I88" i="14" s="1"/>
  <c r="G88" i="15" s="1"/>
  <c r="I88" i="15" s="1"/>
  <c r="G88" i="16" s="1"/>
  <c r="I88"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90" i="5"/>
  <c r="G90" i="6" s="1"/>
  <c r="I90" i="6" s="1"/>
  <c r="AR13" i="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I94" i="5"/>
  <c r="G94" i="6"/>
  <c r="I94" i="6" s="1"/>
  <c r="G94" i="7" s="1"/>
  <c r="I94" i="7" s="1"/>
  <c r="G94" i="8" s="1"/>
  <c r="I94" i="8" s="1"/>
  <c r="G94" i="9" s="1"/>
  <c r="I94" i="9" s="1"/>
  <c r="G94" i="10" s="1"/>
  <c r="I94" i="10" s="1"/>
  <c r="G94" i="11" s="1"/>
  <c r="I94" i="11" s="1"/>
  <c r="G94" i="12" s="1"/>
  <c r="I94" i="12" s="1"/>
  <c r="G94" i="13" s="1"/>
  <c r="I94" i="13" s="1"/>
  <c r="G94" i="14" s="1"/>
  <c r="I94" i="14" s="1"/>
  <c r="G94" i="15" s="1"/>
  <c r="I94" i="15" s="1"/>
  <c r="G94" i="16" s="1"/>
  <c r="I95" i="5"/>
  <c r="G95" i="6"/>
  <c r="I96" i="5"/>
  <c r="G96" i="6" s="1"/>
  <c r="I96" i="6" s="1"/>
  <c r="G96" i="7" s="1"/>
  <c r="I96" i="7" s="1"/>
  <c r="G96" i="8" s="1"/>
  <c r="I96" i="8" s="1"/>
  <c r="G96" i="9" s="1"/>
  <c r="I96" i="9" s="1"/>
  <c r="G96" i="10" s="1"/>
  <c r="I96" i="10" s="1"/>
  <c r="G96" i="11" s="1"/>
  <c r="I96" i="11" s="1"/>
  <c r="G96" i="12" s="1"/>
  <c r="I96" i="12" s="1"/>
  <c r="G96" i="13" s="1"/>
  <c r="I96" i="13" s="1"/>
  <c r="G96" i="14" s="1"/>
  <c r="I96" i="14" s="1"/>
  <c r="G96" i="15" s="1"/>
  <c r="I96" i="15" s="1"/>
  <c r="G96" i="16" s="1"/>
  <c r="I96" i="16" s="1"/>
  <c r="I97" i="5"/>
  <c r="G97" i="6" s="1"/>
  <c r="I97" i="6" s="1"/>
  <c r="G97" i="7" s="1"/>
  <c r="I97" i="7" s="1"/>
  <c r="G97" i="8" s="1"/>
  <c r="I97" i="8" s="1"/>
  <c r="G97" i="9" s="1"/>
  <c r="I97" i="9" s="1"/>
  <c r="G97" i="10" s="1"/>
  <c r="I97" i="10" s="1"/>
  <c r="G97" i="11" s="1"/>
  <c r="I97" i="11" s="1"/>
  <c r="G97" i="12" s="1"/>
  <c r="I97" i="12" s="1"/>
  <c r="G97" i="13" s="1"/>
  <c r="I97" i="13" s="1"/>
  <c r="G97" i="14" s="1"/>
  <c r="I97" i="14" s="1"/>
  <c r="G97" i="15" s="1"/>
  <c r="I97" i="15" s="1"/>
  <c r="G97" i="16" s="1"/>
  <c r="I97" i="16" s="1"/>
  <c r="I100" i="5"/>
  <c r="G100" i="6" s="1"/>
  <c r="I100" i="6" s="1"/>
  <c r="G100" i="7" s="1"/>
  <c r="I100" i="7" s="1"/>
  <c r="G100" i="8" s="1"/>
  <c r="I100" i="8" s="1"/>
  <c r="G100" i="9" s="1"/>
  <c r="I100" i="9" s="1"/>
  <c r="I101" i="5"/>
  <c r="G101" i="6" s="1"/>
  <c r="I101" i="6" s="1"/>
  <c r="G101" i="7" s="1"/>
  <c r="I101" i="7" s="1"/>
  <c r="I102" i="5"/>
  <c r="G102" i="6" s="1"/>
  <c r="I102" i="6" s="1"/>
  <c r="G102" i="7" s="1"/>
  <c r="I102" i="7" s="1"/>
  <c r="I103" i="5"/>
  <c r="G103" i="6" s="1"/>
  <c r="I103" i="6" s="1"/>
  <c r="G103" i="7" s="1"/>
  <c r="I103" i="7" s="1"/>
  <c r="G103" i="8" s="1"/>
  <c r="I103" i="8" s="1"/>
  <c r="G103" i="9" s="1"/>
  <c r="I103" i="9" s="1"/>
  <c r="G103" i="10" s="1"/>
  <c r="I103" i="10" s="1"/>
  <c r="G103" i="11" s="1"/>
  <c r="I103" i="11" s="1"/>
  <c r="G103" i="12" s="1"/>
  <c r="I103" i="12" s="1"/>
  <c r="G103" i="13" s="1"/>
  <c r="I103" i="13" s="1"/>
  <c r="G103" i="14" s="1"/>
  <c r="I103" i="14" s="1"/>
  <c r="G103" i="15" s="1"/>
  <c r="I103" i="15" s="1"/>
  <c r="G103" i="16" s="1"/>
  <c r="I103" i="16" s="1"/>
  <c r="I104" i="5"/>
  <c r="G104" i="6" s="1"/>
  <c r="I104" i="6" s="1"/>
  <c r="G104" i="7" s="1"/>
  <c r="I104" i="7" s="1"/>
  <c r="G104" i="8" s="1"/>
  <c r="I104" i="8" s="1"/>
  <c r="G104" i="9" s="1"/>
  <c r="I104" i="9" s="1"/>
  <c r="G104" i="10" s="1"/>
  <c r="I104" i="10" s="1"/>
  <c r="G104" i="11" s="1"/>
  <c r="I104" i="11" s="1"/>
  <c r="G104" i="12" s="1"/>
  <c r="I104" i="12" s="1"/>
  <c r="G104" i="13" s="1"/>
  <c r="I104" i="13" s="1"/>
  <c r="G104" i="14" s="1"/>
  <c r="I104" i="14" s="1"/>
  <c r="G104" i="15" s="1"/>
  <c r="I104" i="15" s="1"/>
  <c r="G104" i="16" s="1"/>
  <c r="I104" i="16" s="1"/>
  <c r="I105" i="5"/>
  <c r="G105" i="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I111" i="5"/>
  <c r="G111" i="6"/>
  <c r="I111" i="6" s="1"/>
  <c r="G111" i="7" s="1"/>
  <c r="I111" i="7" s="1"/>
  <c r="G111" i="8" s="1"/>
  <c r="I111" i="8" s="1"/>
  <c r="G111" i="9" s="1"/>
  <c r="I111" i="9" s="1"/>
  <c r="G111" i="10" s="1"/>
  <c r="I112" i="5"/>
  <c r="G112" i="6"/>
  <c r="I112" i="6" s="1"/>
  <c r="G112" i="7" s="1"/>
  <c r="I112" i="7" s="1"/>
  <c r="G112" i="8" s="1"/>
  <c r="I112" i="8" s="1"/>
  <c r="G112" i="9" s="1"/>
  <c r="I112" i="9" s="1"/>
  <c r="G112" i="10" s="1"/>
  <c r="I112" i="10" s="1"/>
  <c r="G112" i="11" s="1"/>
  <c r="I112" i="11" s="1"/>
  <c r="G112" i="12" s="1"/>
  <c r="I112" i="12" s="1"/>
  <c r="G112" i="13" s="1"/>
  <c r="I112" i="13" s="1"/>
  <c r="G112" i="14" s="1"/>
  <c r="I112" i="14" s="1"/>
  <c r="G112" i="15" s="1"/>
  <c r="I112" i="15" s="1"/>
  <c r="G112" i="16" s="1"/>
  <c r="I112" i="16" s="1"/>
  <c r="I113" i="5"/>
  <c r="I114" i="5"/>
  <c r="G114" i="6" s="1"/>
  <c r="I114" i="6" s="1"/>
  <c r="G114" i="7" s="1"/>
  <c r="I114" i="7" s="1"/>
  <c r="G114" i="8" s="1"/>
  <c r="I114" i="8" s="1"/>
  <c r="G114" i="9" s="1"/>
  <c r="I114" i="9" s="1"/>
  <c r="G114" i="10" s="1"/>
  <c r="I114" i="10" s="1"/>
  <c r="G114" i="11" s="1"/>
  <c r="I114" i="11" s="1"/>
  <c r="G114" i="12" s="1"/>
  <c r="I114" i="12" s="1"/>
  <c r="G114" i="13" s="1"/>
  <c r="I114" i="13" s="1"/>
  <c r="G114" i="14" s="1"/>
  <c r="I114" i="14" s="1"/>
  <c r="G114" i="15" s="1"/>
  <c r="I114" i="15" s="1"/>
  <c r="G114" i="16" s="1"/>
  <c r="I114" i="16" s="1"/>
  <c r="I115" i="5"/>
  <c r="G115" i="6" s="1"/>
  <c r="I115" i="6" s="1"/>
  <c r="G115" i="7" s="1"/>
  <c r="I115" i="7" s="1"/>
  <c r="G115" i="8" s="1"/>
  <c r="I115" i="8" s="1"/>
  <c r="G115" i="9" s="1"/>
  <c r="I115" i="9" s="1"/>
  <c r="G115" i="10" s="1"/>
  <c r="I115" i="10" s="1"/>
  <c r="G115" i="11" s="1"/>
  <c r="I115" i="11" s="1"/>
  <c r="G115" i="12" s="1"/>
  <c r="I115" i="12" s="1"/>
  <c r="G115" i="13" s="1"/>
  <c r="I115" i="13" s="1"/>
  <c r="G115" i="14" s="1"/>
  <c r="I115" i="14" s="1"/>
  <c r="G115" i="15" s="1"/>
  <c r="I115" i="15" s="1"/>
  <c r="G115" i="16" s="1"/>
  <c r="I115"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AA17" i="5"/>
  <c r="Y17" i="6" s="1"/>
  <c r="AA17" i="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5" i="5"/>
  <c r="Y25" i="6" s="1"/>
  <c r="AA25" i="6" s="1"/>
  <c r="Y25" i="7" s="1"/>
  <c r="AA25" i="7" s="1"/>
  <c r="Y25" i="8" s="1"/>
  <c r="AA25" i="8" s="1"/>
  <c r="Y25" i="9" s="1"/>
  <c r="AA25" i="9" s="1"/>
  <c r="Y25" i="10" s="1"/>
  <c r="AA25" i="10" s="1"/>
  <c r="Y25" i="11" s="1"/>
  <c r="AA25" i="11" s="1"/>
  <c r="Y25" i="12" s="1"/>
  <c r="AA25" i="12" s="1"/>
  <c r="Y25" i="13" s="1"/>
  <c r="AA25" i="13" s="1"/>
  <c r="Y25" i="14" s="1"/>
  <c r="AA25" i="14" s="1"/>
  <c r="Y25" i="15" s="1"/>
  <c r="AA25" i="15" s="1"/>
  <c r="Y25" i="16" s="1"/>
  <c r="AA26" i="5"/>
  <c r="Y26" i="6" s="1"/>
  <c r="AA26" i="6" s="1"/>
  <c r="Y26" i="7" s="1"/>
  <c r="AA26" i="7" s="1"/>
  <c r="Y26" i="8" s="1"/>
  <c r="AA26" i="8" s="1"/>
  <c r="Y26" i="9" s="1"/>
  <c r="AA26" i="9" s="1"/>
  <c r="Y26" i="10" s="1"/>
  <c r="AA26" i="10" s="1"/>
  <c r="Y26" i="11" s="1"/>
  <c r="AA26" i="11" s="1"/>
  <c r="Y26" i="12" s="1"/>
  <c r="AA26" i="12" s="1"/>
  <c r="Y26" i="13" s="1"/>
  <c r="AA26" i="13" s="1"/>
  <c r="Y26" i="14" s="1"/>
  <c r="AA26" i="14" s="1"/>
  <c r="Y26" i="15" s="1"/>
  <c r="AA26" i="15" s="1"/>
  <c r="Y26" i="16" s="1"/>
  <c r="AA26" i="16" s="1"/>
  <c r="AA27" i="5"/>
  <c r="Y27" i="6" s="1"/>
  <c r="AA27" i="6" s="1"/>
  <c r="Y27" i="7" s="1"/>
  <c r="AA27" i="7" s="1"/>
  <c r="Y27" i="8" s="1"/>
  <c r="AA27" i="8" s="1"/>
  <c r="Y27" i="9" s="1"/>
  <c r="AA27" i="9" s="1"/>
  <c r="Y27" i="10" s="1"/>
  <c r="AA27" i="10" s="1"/>
  <c r="Y27" i="11" s="1"/>
  <c r="AA27" i="11" s="1"/>
  <c r="Y27" i="12" s="1"/>
  <c r="AA27" i="12" s="1"/>
  <c r="Y27" i="13" s="1"/>
  <c r="AA27" i="13" s="1"/>
  <c r="Y27" i="14" s="1"/>
  <c r="AA27" i="14" s="1"/>
  <c r="Y27" i="15" s="1"/>
  <c r="AA27" i="15" s="1"/>
  <c r="Y27" i="16" s="1"/>
  <c r="AA27" i="16" s="1"/>
  <c r="AA28" i="5"/>
  <c r="Y28" i="6" s="1"/>
  <c r="AA28" i="6" s="1"/>
  <c r="Y28" i="7" s="1"/>
  <c r="AA28" i="7" s="1"/>
  <c r="Y28" i="8" s="1"/>
  <c r="AA28" i="8" s="1"/>
  <c r="Y28" i="9" s="1"/>
  <c r="AA28" i="9" s="1"/>
  <c r="Y28" i="10" s="1"/>
  <c r="AA28" i="10" s="1"/>
  <c r="Y28" i="11" s="1"/>
  <c r="AA28" i="11" s="1"/>
  <c r="Y28" i="12" s="1"/>
  <c r="AA28" i="12" s="1"/>
  <c r="Y28" i="13" s="1"/>
  <c r="AA28" i="13" s="1"/>
  <c r="Y28" i="14" s="1"/>
  <c r="AA28" i="14"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Y29" i="16" s="1"/>
  <c r="AA29" i="16"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Y33" i="14" s="1"/>
  <c r="AA33" i="14"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AA37" i="5"/>
  <c r="Y37" i="6" s="1"/>
  <c r="AA37" i="6" s="1"/>
  <c r="Y37" i="7" s="1"/>
  <c r="AA37" i="7" s="1"/>
  <c r="Y37" i="8" s="1"/>
  <c r="AA37" i="8" s="1"/>
  <c r="Y37" i="9" s="1"/>
  <c r="AA37" i="9" s="1"/>
  <c r="Y37" i="10" s="1"/>
  <c r="AA37" i="10" s="1"/>
  <c r="Y37" i="11" s="1"/>
  <c r="AA37" i="11" s="1"/>
  <c r="Y37" i="12" s="1"/>
  <c r="AA37" i="12" s="1"/>
  <c r="Y37" i="13" s="1"/>
  <c r="AA37" i="13" s="1"/>
  <c r="Y37" i="14" s="1"/>
  <c r="AA37" i="14" s="1"/>
  <c r="Y37" i="15" s="1"/>
  <c r="AA37" i="15" s="1"/>
  <c r="Y37" i="16" s="1"/>
  <c r="AA37" i="1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Y39" i="13" s="1"/>
  <c r="AA39" i="13" s="1"/>
  <c r="Y39" i="14"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AA45" i="5"/>
  <c r="Y45" i="6" s="1"/>
  <c r="AA46" i="5"/>
  <c r="Y46" i="6" s="1"/>
  <c r="AA46" i="6" s="1"/>
  <c r="Y46" i="7" s="1"/>
  <c r="AA46" i="7" s="1"/>
  <c r="Y46" i="8" s="1"/>
  <c r="AA46" i="8" s="1"/>
  <c r="Y46" i="9" s="1"/>
  <c r="AA46" i="9" s="1"/>
  <c r="Y46" i="10" s="1"/>
  <c r="AA46" i="10" s="1"/>
  <c r="Y46" i="11" s="1"/>
  <c r="AA46" i="11" s="1"/>
  <c r="Y46" i="12" s="1"/>
  <c r="AA46" i="12" s="1"/>
  <c r="Y46" i="13" s="1"/>
  <c r="AA46" i="13" s="1"/>
  <c r="Y46" i="14" s="1"/>
  <c r="AA46" i="14" s="1"/>
  <c r="Y46" i="15" s="1"/>
  <c r="AA46" i="15" s="1"/>
  <c r="Y46" i="16" s="1"/>
  <c r="AA46" i="16" s="1"/>
  <c r="AA47" i="5"/>
  <c r="Y47" i="6" s="1"/>
  <c r="AA47" i="6" s="1"/>
  <c r="Y47" i="7" s="1"/>
  <c r="AA47" i="7" s="1"/>
  <c r="Y47" i="8" s="1"/>
  <c r="AA47" i="8" s="1"/>
  <c r="Y47" i="9" s="1"/>
  <c r="AA47" i="9" s="1"/>
  <c r="Y47" i="10" s="1"/>
  <c r="AA47" i="10" s="1"/>
  <c r="Y47" i="11" s="1"/>
  <c r="AA47" i="11" s="1"/>
  <c r="Y47" i="12" s="1"/>
  <c r="AA47" i="12" s="1"/>
  <c r="Y47" i="13" s="1"/>
  <c r="AA47" i="13" s="1"/>
  <c r="Y47" i="14" s="1"/>
  <c r="AA47" i="14" s="1"/>
  <c r="Y47" i="15" s="1"/>
  <c r="AA47" i="15" s="1"/>
  <c r="Y47" i="16" s="1"/>
  <c r="AA47" i="1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1" i="5"/>
  <c r="Y51" i="6" s="1"/>
  <c r="AA51" i="6" s="1"/>
  <c r="Y51" i="7" s="1"/>
  <c r="AA51" i="7" s="1"/>
  <c r="Y51" i="8" s="1"/>
  <c r="AA51" i="8" s="1"/>
  <c r="Y51" i="9" s="1"/>
  <c r="AA51" i="9" s="1"/>
  <c r="Y51" i="10" s="1"/>
  <c r="AA51" i="10" s="1"/>
  <c r="Y51" i="11" s="1"/>
  <c r="AA51" i="11" s="1"/>
  <c r="Y51" i="12" s="1"/>
  <c r="AA51" i="12" s="1"/>
  <c r="Y51" i="13" s="1"/>
  <c r="AA51" i="13" s="1"/>
  <c r="Y51" i="14" s="1"/>
  <c r="AA51" i="14" s="1"/>
  <c r="Y51" i="15" s="1"/>
  <c r="AA51" i="15" s="1"/>
  <c r="Y51" i="16" s="1"/>
  <c r="AA51" i="16" s="1"/>
  <c r="AA52" i="5"/>
  <c r="Y52" i="6" s="1"/>
  <c r="AA52" i="6" s="1"/>
  <c r="Y52" i="7" s="1"/>
  <c r="AA52" i="7" s="1"/>
  <c r="Y52" i="8" s="1"/>
  <c r="AA52" i="8" s="1"/>
  <c r="Y52" i="9" s="1"/>
  <c r="AA52" i="9" s="1"/>
  <c r="Y52" i="10" s="1"/>
  <c r="AA52" i="10" s="1"/>
  <c r="Y52" i="11" s="1"/>
  <c r="AA52" i="11" s="1"/>
  <c r="Y52" i="12" s="1"/>
  <c r="AA52" i="12" s="1"/>
  <c r="Y52" i="13" s="1"/>
  <c r="AA52" i="13" s="1"/>
  <c r="Y52" i="14" s="1"/>
  <c r="AA52" i="14" s="1"/>
  <c r="Y52" i="15" s="1"/>
  <c r="AA52" i="15" s="1"/>
  <c r="Y52" i="16" s="1"/>
  <c r="AA52" i="16"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AA59" i="5"/>
  <c r="Y59" i="6" s="1"/>
  <c r="AA59" i="6" s="1"/>
  <c r="Y59" i="7" s="1"/>
  <c r="AA59" i="7" s="1"/>
  <c r="Y59" i="8" s="1"/>
  <c r="AA59" i="8" s="1"/>
  <c r="Y59" i="9" s="1"/>
  <c r="AA59" i="9" s="1"/>
  <c r="Y59" i="10" s="1"/>
  <c r="AA59" i="10" s="1"/>
  <c r="Y59" i="11" s="1"/>
  <c r="AA59" i="11" s="1"/>
  <c r="Y59" i="12" s="1"/>
  <c r="AA59" i="12" s="1"/>
  <c r="Y59" i="13" s="1"/>
  <c r="AA59" i="13" s="1"/>
  <c r="Y59" i="14" s="1"/>
  <c r="AA59" i="14" s="1"/>
  <c r="Y59" i="15" s="1"/>
  <c r="AA59" i="15" s="1"/>
  <c r="Y59" i="16" s="1"/>
  <c r="AA59" i="16" s="1"/>
  <c r="AA60" i="5"/>
  <c r="Y60" i="6" s="1"/>
  <c r="AA60" i="6" s="1"/>
  <c r="Y60" i="7" s="1"/>
  <c r="AA61" i="5"/>
  <c r="Y61" i="6" s="1"/>
  <c r="AA61" i="6" s="1"/>
  <c r="Y61" i="7" s="1"/>
  <c r="AA61" i="7" s="1"/>
  <c r="Y61" i="8" s="1"/>
  <c r="AA61" i="8" s="1"/>
  <c r="Y61" i="9" s="1"/>
  <c r="AA61" i="9" s="1"/>
  <c r="Y61" i="10" s="1"/>
  <c r="AA61" i="10" s="1"/>
  <c r="Y61" i="11" s="1"/>
  <c r="AA61" i="11" s="1"/>
  <c r="Y61" i="12" s="1"/>
  <c r="AA61" i="12" s="1"/>
  <c r="Y61" i="13" s="1"/>
  <c r="AA61" i="13" s="1"/>
  <c r="Y61" i="14" s="1"/>
  <c r="AA61" i="14" s="1"/>
  <c r="Y61" i="15" s="1"/>
  <c r="AA61" i="15" s="1"/>
  <c r="Y61" i="16" s="1"/>
  <c r="AA61" i="16" s="1"/>
  <c r="AA66" i="5"/>
  <c r="Y66" i="6" s="1"/>
  <c r="AA66" i="6" s="1"/>
  <c r="Y66" i="7" s="1"/>
  <c r="AA66" i="7" s="1"/>
  <c r="Y66" i="8" s="1"/>
  <c r="AA66" i="8" s="1"/>
  <c r="Y66" i="9" s="1"/>
  <c r="AA66" i="9" s="1"/>
  <c r="Y66" i="10" s="1"/>
  <c r="AA66" i="10" s="1"/>
  <c r="Y66" i="11" s="1"/>
  <c r="AA66" i="11" s="1"/>
  <c r="Y66" i="12" s="1"/>
  <c r="AA66" i="12" s="1"/>
  <c r="Y66" i="13" s="1"/>
  <c r="AA66" i="13" s="1"/>
  <c r="Y66" i="14" s="1"/>
  <c r="AA66" i="14" s="1"/>
  <c r="Y66" i="15" s="1"/>
  <c r="AA66" i="15" s="1"/>
  <c r="Y66" i="16" s="1"/>
  <c r="AA66" i="16"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Y68" i="8" s="1"/>
  <c r="AA68" i="8" s="1"/>
  <c r="Y68" i="9" s="1"/>
  <c r="AA68" i="9" s="1"/>
  <c r="Y68" i="10" s="1"/>
  <c r="AA68" i="10" s="1"/>
  <c r="Y68" i="11" s="1"/>
  <c r="AA68" i="11" s="1"/>
  <c r="Y68" i="12" s="1"/>
  <c r="AA68" i="12" s="1"/>
  <c r="Y68" i="13" s="1"/>
  <c r="AA68" i="13" s="1"/>
  <c r="Y68" i="14" s="1"/>
  <c r="AA68" i="14" s="1"/>
  <c r="Y68" i="15" s="1"/>
  <c r="AA68" i="15" s="1"/>
  <c r="Y68" i="16" s="1"/>
  <c r="AA68" i="16" s="1"/>
  <c r="AA70" i="5"/>
  <c r="Y70" i="6" s="1"/>
  <c r="AA71" i="5"/>
  <c r="Y71" i="6" s="1"/>
  <c r="AA71" i="6" s="1"/>
  <c r="Y71" i="7" s="1"/>
  <c r="AA71" i="7" s="1"/>
  <c r="Y71" i="8" s="1"/>
  <c r="AA71" i="8" s="1"/>
  <c r="Y71" i="9" s="1"/>
  <c r="AA71" i="9" s="1"/>
  <c r="Y71" i="10" s="1"/>
  <c r="AA71" i="10" s="1"/>
  <c r="Y71" i="11" s="1"/>
  <c r="AA71" i="11" s="1"/>
  <c r="Y71" i="12" s="1"/>
  <c r="AA71" i="12" s="1"/>
  <c r="Y71" i="13" s="1"/>
  <c r="AA71" i="13" s="1"/>
  <c r="Y71" i="14" s="1"/>
  <c r="AA71" i="14" s="1"/>
  <c r="Y71" i="15" s="1"/>
  <c r="AA71" i="15" s="1"/>
  <c r="Y71" i="16" s="1"/>
  <c r="AA71" i="16" s="1"/>
  <c r="AA72" i="5"/>
  <c r="Y72" i="6" s="1"/>
  <c r="AA72" i="6" s="1"/>
  <c r="Y72" i="7" s="1"/>
  <c r="AA72" i="7" s="1"/>
  <c r="Y72" i="8" s="1"/>
  <c r="AA72" i="8" s="1"/>
  <c r="Y72" i="9" s="1"/>
  <c r="AA72" i="9" s="1"/>
  <c r="Y72" i="10" s="1"/>
  <c r="AA72" i="10" s="1"/>
  <c r="Y72" i="11" s="1"/>
  <c r="AA72" i="11" s="1"/>
  <c r="Y72" i="12" s="1"/>
  <c r="AA72" i="12" s="1"/>
  <c r="Y72" i="13" s="1"/>
  <c r="AA72" i="13" s="1"/>
  <c r="Y72" i="14" s="1"/>
  <c r="AA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Y76" i="9" s="1"/>
  <c r="AA76" i="9" s="1"/>
  <c r="Y76" i="10" s="1"/>
  <c r="AA76" i="10" s="1"/>
  <c r="Y76" i="11" s="1"/>
  <c r="AA76" i="11" s="1"/>
  <c r="Y76" i="12" s="1"/>
  <c r="AA76" i="12" s="1"/>
  <c r="Y76" i="13" s="1"/>
  <c r="AA76" i="13" s="1"/>
  <c r="Y76" i="14" s="1"/>
  <c r="AA76" i="14" s="1"/>
  <c r="Y76" i="15" s="1"/>
  <c r="AA76" i="15" s="1"/>
  <c r="Y76" i="16" s="1"/>
  <c r="AA76" i="16" s="1"/>
  <c r="AA77" i="5"/>
  <c r="Y77" i="6" s="1"/>
  <c r="AA77" i="6" s="1"/>
  <c r="Y77" i="7" s="1"/>
  <c r="AA77" i="7" s="1"/>
  <c r="Y77" i="8" s="1"/>
  <c r="AA77" i="8" s="1"/>
  <c r="Y77" i="9" s="1"/>
  <c r="AA77" i="9" s="1"/>
  <c r="Y77" i="10" s="1"/>
  <c r="AA77" i="10" s="1"/>
  <c r="Y77" i="11" s="1"/>
  <c r="AA77" i="11" s="1"/>
  <c r="Y77" i="12" s="1"/>
  <c r="AA77" i="12" s="1"/>
  <c r="AA78" i="5"/>
  <c r="Y78" i="6" s="1"/>
  <c r="AA78" i="6" s="1"/>
  <c r="Y78" i="7" s="1"/>
  <c r="AA78" i="7" s="1"/>
  <c r="Y78" i="8" s="1"/>
  <c r="AA78" i="8" s="1"/>
  <c r="Y78" i="9" s="1"/>
  <c r="AA78" i="9" s="1"/>
  <c r="Y78" i="10" s="1"/>
  <c r="AA78" i="10" s="1"/>
  <c r="Y78" i="11" s="1"/>
  <c r="AA78" i="11" s="1"/>
  <c r="Y78" i="12" s="1"/>
  <c r="AA78" i="12" s="1"/>
  <c r="Y78" i="13" s="1"/>
  <c r="AA78" i="13" s="1"/>
  <c r="Y78" i="14" s="1"/>
  <c r="AA78" i="14" s="1"/>
  <c r="Y78" i="15" s="1"/>
  <c r="AA78" i="15" s="1"/>
  <c r="Y78" i="16" s="1"/>
  <c r="AA78" i="16" s="1"/>
  <c r="AA79" i="5"/>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AA84" i="5"/>
  <c r="Y84" i="6" s="1"/>
  <c r="AA84" i="6" s="1"/>
  <c r="Y84" i="7" s="1"/>
  <c r="AA84" i="7" s="1"/>
  <c r="Y84" i="8" s="1"/>
  <c r="AA84" i="8" s="1"/>
  <c r="Y84" i="9" s="1"/>
  <c r="AA84" i="9" s="1"/>
  <c r="Y84" i="10" s="1"/>
  <c r="AA84" i="10" s="1"/>
  <c r="Y84" i="11" s="1"/>
  <c r="AA84" i="11" s="1"/>
  <c r="AA85" i="5"/>
  <c r="Y85" i="6"/>
  <c r="AA85" i="6" s="1"/>
  <c r="Y85" i="7" s="1"/>
  <c r="AA85" i="7" s="1"/>
  <c r="Y85" i="8" s="1"/>
  <c r="AA85" i="8" s="1"/>
  <c r="Y85" i="9" s="1"/>
  <c r="AA85" i="9" s="1"/>
  <c r="Y85" i="10" s="1"/>
  <c r="AA85" i="10" s="1"/>
  <c r="Y85" i="11" s="1"/>
  <c r="AA85" i="11" s="1"/>
  <c r="Y85" i="12" s="1"/>
  <c r="AA85" i="12" s="1"/>
  <c r="Y85" i="13" s="1"/>
  <c r="AA85" i="13" s="1"/>
  <c r="Y85" i="14" s="1"/>
  <c r="AA85" i="14" s="1"/>
  <c r="Y85" i="15" s="1"/>
  <c r="AA85" i="15" s="1"/>
  <c r="Y85" i="16" s="1"/>
  <c r="AA85" i="1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3" i="6" s="1"/>
  <c r="Y93" i="7" s="1"/>
  <c r="AA93" i="7" s="1"/>
  <c r="Y93" i="8" s="1"/>
  <c r="AA93" i="8" s="1"/>
  <c r="Y93" i="9" s="1"/>
  <c r="AA93" i="9" s="1"/>
  <c r="Y93" i="10" s="1"/>
  <c r="AA93" i="10" s="1"/>
  <c r="Y93" i="11" s="1"/>
  <c r="AA93" i="11" s="1"/>
  <c r="Y93" i="12" s="1"/>
  <c r="AA93" i="12" s="1"/>
  <c r="Y93" i="13" s="1"/>
  <c r="AA93" i="13" s="1"/>
  <c r="Y93" i="14"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5" i="10" s="1"/>
  <c r="Y95" i="11" s="1"/>
  <c r="AA95" i="11" s="1"/>
  <c r="Y95" i="12" s="1"/>
  <c r="AA95" i="12" s="1"/>
  <c r="Y95" i="13" s="1"/>
  <c r="AA95" i="13" s="1"/>
  <c r="Y95" i="14" s="1"/>
  <c r="AA95" i="14" s="1"/>
  <c r="Y95" i="15" s="1"/>
  <c r="AA95" i="15" s="1"/>
  <c r="Y95" i="16" s="1"/>
  <c r="AA95" i="16"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Y98" i="10" s="1"/>
  <c r="AA98" i="10" s="1"/>
  <c r="Y98" i="11" s="1"/>
  <c r="AA98" i="11" s="1"/>
  <c r="Y98" i="12" s="1"/>
  <c r="AA98" i="12" s="1"/>
  <c r="Y98" i="13" s="1"/>
  <c r="AA98" i="13" s="1"/>
  <c r="Y98" i="14" s="1"/>
  <c r="AA98" i="14" s="1"/>
  <c r="Y98" i="15"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0" i="10" s="1"/>
  <c r="Y100" i="11" s="1"/>
  <c r="AA100" i="11" s="1"/>
  <c r="Y100" i="12" s="1"/>
  <c r="AA100" i="12" s="1"/>
  <c r="Y100" i="13" s="1"/>
  <c r="AA100" i="13" s="1"/>
  <c r="Y100" i="14" s="1"/>
  <c r="AA100" i="14" s="1"/>
  <c r="Y100" i="15" s="1"/>
  <c r="AA100" i="15" s="1"/>
  <c r="Y100" i="16" s="1"/>
  <c r="AA100" i="16" s="1"/>
  <c r="AA101" i="5"/>
  <c r="Y101" i="6"/>
  <c r="AA101" i="6" s="1"/>
  <c r="Y101" i="7" s="1"/>
  <c r="AA101" i="7" s="1"/>
  <c r="Y101" i="8" s="1"/>
  <c r="AA101" i="8" s="1"/>
  <c r="Y101" i="9" s="1"/>
  <c r="AA101" i="9" s="1"/>
  <c r="Y101" i="10"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7" i="7" s="1"/>
  <c r="Y107" i="8" s="1"/>
  <c r="AA107" i="8" s="1"/>
  <c r="Y107" i="9" s="1"/>
  <c r="AA107" i="9" s="1"/>
  <c r="Y107" i="10" s="1"/>
  <c r="AA107" i="10" s="1"/>
  <c r="Y107" i="11" s="1"/>
  <c r="AA107" i="11" s="1"/>
  <c r="Y107" i="12" s="1"/>
  <c r="AA107" i="12" s="1"/>
  <c r="Y107" i="13" s="1"/>
  <c r="AA107" i="13" s="1"/>
  <c r="Y107" i="14" s="1"/>
  <c r="AA107" i="14" s="1"/>
  <c r="Y107" i="15" s="1"/>
  <c r="AA107" i="15" s="1"/>
  <c r="Y107" i="16" s="1"/>
  <c r="AA107" i="16"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Y115" i="10" s="1"/>
  <c r="AA115" i="10" s="1"/>
  <c r="Y115" i="11" s="1"/>
  <c r="AA115" i="11" s="1"/>
  <c r="Y115" i="12" s="1"/>
  <c r="AA115" i="12" s="1"/>
  <c r="Y115" i="13" s="1"/>
  <c r="AA115" i="13" s="1"/>
  <c r="Y115" i="14" s="1"/>
  <c r="AA115" i="14" s="1"/>
  <c r="Y115" i="15" s="1"/>
  <c r="AA115" i="15" s="1"/>
  <c r="Y115" i="16" s="1"/>
  <c r="AA115" i="16" s="1"/>
  <c r="AA116" i="5"/>
  <c r="Y116" i="6" s="1"/>
  <c r="AA116" i="6" s="1"/>
  <c r="Y116" i="7" s="1"/>
  <c r="AA116" i="7" s="1"/>
  <c r="AA117" i="5"/>
  <c r="Y117" i="6"/>
  <c r="AA117" i="6" s="1"/>
  <c r="Y117" i="7" s="1"/>
  <c r="AA117" i="7" s="1"/>
  <c r="Y117" i="8" s="1"/>
  <c r="AA117" i="8" s="1"/>
  <c r="Y117" i="9" s="1"/>
  <c r="AA117" i="9" s="1"/>
  <c r="Y117" i="10" s="1"/>
  <c r="AA117" i="10" s="1"/>
  <c r="Y117" i="11" s="1"/>
  <c r="AA117" i="11" s="1"/>
  <c r="Y117" i="12" s="1"/>
  <c r="AA117" i="12" s="1"/>
  <c r="Y117" i="13" s="1"/>
  <c r="AA117" i="13" s="1"/>
  <c r="Y117" i="14" s="1"/>
  <c r="AA117" i="14" s="1"/>
  <c r="Y117" i="15" s="1"/>
  <c r="AA117" i="15" s="1"/>
  <c r="Y117" i="16" s="1"/>
  <c r="AA117" i="16" s="1"/>
  <c r="AA118" i="5"/>
  <c r="Y118" i="6"/>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Y121" i="16" s="1"/>
  <c r="AA121" i="16"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6" i="5"/>
  <c r="Y126" i="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c r="AA129" i="6" s="1"/>
  <c r="Y129" i="7" s="1"/>
  <c r="AA129" i="7" s="1"/>
  <c r="Y129" i="8" s="1"/>
  <c r="AA129" i="8" s="1"/>
  <c r="Y129" i="9" s="1"/>
  <c r="AA129" i="9" s="1"/>
  <c r="Y129" i="10" s="1"/>
  <c r="AA129" i="10" s="1"/>
  <c r="Y129" i="11" s="1"/>
  <c r="AA129" i="11" s="1"/>
  <c r="Y129" i="12" s="1"/>
  <c r="AA129" i="12" s="1"/>
  <c r="Y129" i="13" s="1"/>
  <c r="AA129" i="13" s="1"/>
  <c r="Y129" i="14" s="1"/>
  <c r="AA129" i="14" s="1"/>
  <c r="AA130" i="5"/>
  <c r="Y130" i="6"/>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Y131" i="13" s="1"/>
  <c r="AA131" i="13" s="1"/>
  <c r="Y131" i="14" s="1"/>
  <c r="AA131" i="14" s="1"/>
  <c r="Y131" i="15" s="1"/>
  <c r="AA131" i="15" s="1"/>
  <c r="Y131" i="16" s="1"/>
  <c r="AA131" i="16"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c r="AA133" i="6" s="1"/>
  <c r="Y133" i="7" s="1"/>
  <c r="AA133" i="7" s="1"/>
  <c r="Y133" i="8" s="1"/>
  <c r="AA133" i="8" s="1"/>
  <c r="Y133" i="9" s="1"/>
  <c r="AA133" i="9" s="1"/>
  <c r="Y133" i="10" s="1"/>
  <c r="AA133" i="10" s="1"/>
  <c r="Y133" i="11" s="1"/>
  <c r="AA133" i="11" s="1"/>
  <c r="Y133" i="12" s="1"/>
  <c r="AA133" i="12" s="1"/>
  <c r="Y133" i="13" s="1"/>
  <c r="AA133" i="13" s="1"/>
  <c r="Y133" i="14" s="1"/>
  <c r="AA133" i="14" s="1"/>
  <c r="Y133" i="15" s="1"/>
  <c r="AA133" i="15" s="1"/>
  <c r="Y133" i="16" s="1"/>
  <c r="AA133" i="16" s="1"/>
  <c r="AA134" i="5"/>
  <c r="Y134" i="6" s="1"/>
  <c r="AA134" i="6" s="1"/>
  <c r="Y134" i="7" s="1"/>
  <c r="AA134" i="7"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Y139" i="13" s="1"/>
  <c r="AA139" i="13" s="1"/>
  <c r="Y139" i="14" s="1"/>
  <c r="AA139" i="14" s="1"/>
  <c r="Y139" i="15" s="1"/>
  <c r="AA139" i="15" s="1"/>
  <c r="Y139" i="16" s="1"/>
  <c r="AA139" i="16"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3" i="5"/>
  <c r="Y143" i="6" s="1"/>
  <c r="AA143" i="6" s="1"/>
  <c r="Y143" i="7" s="1"/>
  <c r="AA143" i="7" s="1"/>
  <c r="Y143" i="8" s="1"/>
  <c r="AA143" i="8" s="1"/>
  <c r="Y143" i="9" s="1"/>
  <c r="AA143" i="9" s="1"/>
  <c r="Y143" i="10" s="1"/>
  <c r="AA143" i="10" s="1"/>
  <c r="Y143" i="11" s="1"/>
  <c r="AA143" i="11" s="1"/>
  <c r="Y143" i="12" s="1"/>
  <c r="AA143" i="12" s="1"/>
  <c r="Y143" i="13" s="1"/>
  <c r="AA143" i="13" s="1"/>
  <c r="Y143" i="14" s="1"/>
  <c r="AA143" i="14" s="1"/>
  <c r="Y143" i="15" s="1"/>
  <c r="AA143" i="15" s="1"/>
  <c r="Y143" i="16" s="1"/>
  <c r="AA143" i="1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G10" i="18" s="1"/>
  <c r="AA150" i="5"/>
  <c r="Y150" i="6" s="1"/>
  <c r="AA150" i="6" s="1"/>
  <c r="Y150" i="7" s="1"/>
  <c r="AA150" i="7" s="1"/>
  <c r="Y150" i="8" s="1"/>
  <c r="AA150" i="8" s="1"/>
  <c r="Y150" i="9" s="1"/>
  <c r="AA150" i="9" s="1"/>
  <c r="Y150" i="10" s="1"/>
  <c r="AA150" i="10" s="1"/>
  <c r="Y150" i="11" s="1"/>
  <c r="AA150" i="11" s="1"/>
  <c r="Y150" i="12" s="1"/>
  <c r="AA150" i="12" s="1"/>
  <c r="Y150" i="13" s="1"/>
  <c r="AA150" i="13" s="1"/>
  <c r="Y150" i="14" s="1"/>
  <c r="AA150" i="14" s="1"/>
  <c r="Y150" i="15" s="1"/>
  <c r="AA150" i="15" s="1"/>
  <c r="Y150" i="16" s="1"/>
  <c r="AA150" i="16" s="1"/>
  <c r="AA151" i="5"/>
  <c r="Y151" i="6" s="1"/>
  <c r="AA152" i="5"/>
  <c r="Y152" i="6" s="1"/>
  <c r="AA152" i="6" s="1"/>
  <c r="Y152" i="7" s="1"/>
  <c r="AA152" i="7" s="1"/>
  <c r="Y152" i="8" s="1"/>
  <c r="AA152" i="8" s="1"/>
  <c r="Y152" i="9" s="1"/>
  <c r="AA152" i="9" s="1"/>
  <c r="Y152" i="10" s="1"/>
  <c r="AA152" i="10" s="1"/>
  <c r="Y152" i="11" s="1"/>
  <c r="AA152" i="11" s="1"/>
  <c r="Y152" i="12" s="1"/>
  <c r="AA152" i="12" s="1"/>
  <c r="Y152" i="13" s="1"/>
  <c r="AA152" i="13" s="1"/>
  <c r="Y152" i="14" s="1"/>
  <c r="AA152" i="14" s="1"/>
  <c r="Y152" i="15" s="1"/>
  <c r="AA152" i="15" s="1"/>
  <c r="Y152" i="16" s="1"/>
  <c r="AA152" i="1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AA159" i="5"/>
  <c r="Y159" i="6" s="1"/>
  <c r="AA159" i="6" s="1"/>
  <c r="Y159" i="7" s="1"/>
  <c r="AA159" i="7" s="1"/>
  <c r="Y159" i="8" s="1"/>
  <c r="AA159" i="8" s="1"/>
  <c r="Y159" i="9" s="1"/>
  <c r="AA159" i="9" s="1"/>
  <c r="Y159" i="10" s="1"/>
  <c r="AA159" i="10" s="1"/>
  <c r="Y159" i="11" s="1"/>
  <c r="AA159" i="11" s="1"/>
  <c r="Y159" i="12" s="1"/>
  <c r="AA159" i="12" s="1"/>
  <c r="Y159" i="13" s="1"/>
  <c r="AA159" i="13" s="1"/>
  <c r="Y159" i="14" s="1"/>
  <c r="AA159" i="14" s="1"/>
  <c r="Y159" i="15" s="1"/>
  <c r="AA159" i="15" s="1"/>
  <c r="AA160" i="5"/>
  <c r="Y160" i="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Y173" i="11" s="1"/>
  <c r="AA173" i="11" s="1"/>
  <c r="Y173" i="12" s="1"/>
  <c r="AA173" i="12" s="1"/>
  <c r="Y173" i="13" s="1"/>
  <c r="AA173" i="13" s="1"/>
  <c r="Y173" i="14" s="1"/>
  <c r="AA173" i="14" s="1"/>
  <c r="Y173" i="15" s="1"/>
  <c r="AA173" i="15" s="1"/>
  <c r="Y173" i="16" s="1"/>
  <c r="AA173" i="16"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Y179" i="11" s="1"/>
  <c r="AA179" i="11" s="1"/>
  <c r="Y179" i="12" s="1"/>
  <c r="AA179" i="12" s="1"/>
  <c r="Y179" i="13" s="1"/>
  <c r="AA179" i="13" s="1"/>
  <c r="Y179" i="14" s="1"/>
  <c r="AA179" i="14" s="1"/>
  <c r="Y179" i="15" s="1"/>
  <c r="AA179" i="15" s="1"/>
  <c r="Y179" i="16" s="1"/>
  <c r="AA179" i="16"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8" i="7" s="1"/>
  <c r="Y188" i="8" s="1"/>
  <c r="AA188" i="8" s="1"/>
  <c r="Y188" i="9" s="1"/>
  <c r="AA188" i="9" s="1"/>
  <c r="Y188" i="10" s="1"/>
  <c r="AA188" i="10" s="1"/>
  <c r="Y188" i="11" s="1"/>
  <c r="AA188" i="11" s="1"/>
  <c r="Y188" i="12" s="1"/>
  <c r="AA188" i="12" s="1"/>
  <c r="Y188" i="13" s="1"/>
  <c r="AA188" i="13" s="1"/>
  <c r="Y188" i="14" s="1"/>
  <c r="AA188" i="14" s="1"/>
  <c r="Y188" i="15" s="1"/>
  <c r="AA188" i="15" s="1"/>
  <c r="Y188" i="16" s="1"/>
  <c r="AA188" i="16"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6" i="5"/>
  <c r="Y196" i="6" s="1"/>
  <c r="AA197" i="5"/>
  <c r="Y197" i="6" s="1"/>
  <c r="AA197" i="6" s="1"/>
  <c r="Y197" i="7" s="1"/>
  <c r="AA197" i="7" s="1"/>
  <c r="Y197" i="8" s="1"/>
  <c r="AA197" i="8" s="1"/>
  <c r="Y197" i="9" s="1"/>
  <c r="AA197" i="9" s="1"/>
  <c r="Y197" i="10" s="1"/>
  <c r="AA197" i="10" s="1"/>
  <c r="Y197" i="11" s="1"/>
  <c r="AA197" i="11" s="1"/>
  <c r="Y197" i="12" s="1"/>
  <c r="AA197" i="12" s="1"/>
  <c r="Y197" i="13" s="1"/>
  <c r="AA197" i="13" s="1"/>
  <c r="Y197" i="14" s="1"/>
  <c r="AA197" i="14" s="1"/>
  <c r="Y197" i="15" s="1"/>
  <c r="AA197" i="15" s="1"/>
  <c r="Y197" i="16" s="1"/>
  <c r="AA197" i="16" s="1"/>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AA199" i="5"/>
  <c r="Y199" i="6" s="1"/>
  <c r="AA199" i="6" s="1"/>
  <c r="Y199" i="7" s="1"/>
  <c r="AA199" i="7" s="1"/>
  <c r="Y199" i="8" s="1"/>
  <c r="AA199" i="8" s="1"/>
  <c r="Y199" i="9" s="1"/>
  <c r="AA199" i="9" s="1"/>
  <c r="Y199" i="10" s="1"/>
  <c r="AA199" i="10" s="1"/>
  <c r="Y199" i="11" s="1"/>
  <c r="AA199" i="11" s="1"/>
  <c r="AA200" i="5"/>
  <c r="Y200" i="6" s="1"/>
  <c r="AA200" i="6" s="1"/>
  <c r="Y200" i="7" s="1"/>
  <c r="AA200" i="7" s="1"/>
  <c r="Y200" i="8" s="1"/>
  <c r="AA200" i="8" s="1"/>
  <c r="Y200" i="9" s="1"/>
  <c r="AA200" i="9" s="1"/>
  <c r="Y200" i="10" s="1"/>
  <c r="AA200" i="10" s="1"/>
  <c r="Y200" i="11" s="1"/>
  <c r="AA200" i="11" s="1"/>
  <c r="Y200" i="12" s="1"/>
  <c r="AA200" i="12" s="1"/>
  <c r="Y200" i="13" s="1"/>
  <c r="AA200" i="13" s="1"/>
  <c r="Y200" i="14" s="1"/>
  <c r="AA200" i="14" s="1"/>
  <c r="Y200" i="15" s="1"/>
  <c r="AA200" i="15" s="1"/>
  <c r="Y200" i="16" s="1"/>
  <c r="AA200" i="16"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4" i="5"/>
  <c r="Y204" i="6"/>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Y204" i="16" s="1"/>
  <c r="AA204" i="16" s="1"/>
  <c r="AA203" i="16" s="1"/>
  <c r="AA205" i="5"/>
  <c r="Y205" i="6" s="1"/>
  <c r="AA205" i="6" s="1"/>
  <c r="Y205" i="7" s="1"/>
  <c r="AA205" i="7" s="1"/>
  <c r="Y205" i="8" s="1"/>
  <c r="AA205" i="8" s="1"/>
  <c r="Y205" i="9" s="1"/>
  <c r="AA205" i="9" s="1"/>
  <c r="Y205" i="10" s="1"/>
  <c r="AA205" i="10" s="1"/>
  <c r="Y205" i="11" s="1"/>
  <c r="AA205" i="11" s="1"/>
  <c r="Y205" i="12" s="1"/>
  <c r="AA205" i="12" s="1"/>
  <c r="Y205" i="13" s="1"/>
  <c r="AA205" i="13" s="1"/>
  <c r="Y205" i="14" s="1"/>
  <c r="AA205" i="14" s="1"/>
  <c r="Y205" i="15" s="1"/>
  <c r="AA205" i="15" s="1"/>
  <c r="Y205" i="16" s="1"/>
  <c r="AA205" i="16" s="1"/>
  <c r="AA212" i="5"/>
  <c r="Y212" i="6" s="1"/>
  <c r="AA212" i="6" s="1"/>
  <c r="Y212" i="7" s="1"/>
  <c r="AA213" i="5"/>
  <c r="Y213" i="6" s="1"/>
  <c r="AA213" i="6" s="1"/>
  <c r="Y213" i="7" s="1"/>
  <c r="AA213" i="7" s="1"/>
  <c r="Y213" i="8" s="1"/>
  <c r="AA213" i="8" s="1"/>
  <c r="Y213" i="9" s="1"/>
  <c r="AA213" i="9" s="1"/>
  <c r="Y213" i="10" s="1"/>
  <c r="AA213" i="10" s="1"/>
  <c r="Y213" i="11" s="1"/>
  <c r="AA213" i="11" s="1"/>
  <c r="Y213" i="12" s="1"/>
  <c r="AA213" i="12" s="1"/>
  <c r="Y213" i="13" s="1"/>
  <c r="AA213" i="13" s="1"/>
  <c r="Y213" i="14" s="1"/>
  <c r="AA213" i="14" s="1"/>
  <c r="Y213" i="15" s="1"/>
  <c r="AA213" i="15" s="1"/>
  <c r="Y213" i="16" s="1"/>
  <c r="AA213" i="16" s="1"/>
  <c r="AA214" i="5"/>
  <c r="Y214" i="6"/>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15" i="16" s="1"/>
  <c r="AA216" i="5"/>
  <c r="Y216" i="6"/>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Y217" i="16" s="1"/>
  <c r="AA217" i="16"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3" i="7" s="1"/>
  <c r="Y223" i="8" s="1"/>
  <c r="AA223" i="8" s="1"/>
  <c r="Y223" i="9" s="1"/>
  <c r="AA223" i="9" s="1"/>
  <c r="Y223" i="10" s="1"/>
  <c r="AA223" i="10" s="1"/>
  <c r="Y223" i="11" s="1"/>
  <c r="AA223" i="11" s="1"/>
  <c r="Y223" i="12" s="1"/>
  <c r="AA223" i="12" s="1"/>
  <c r="Y223" i="13" s="1"/>
  <c r="AA223" i="13" s="1"/>
  <c r="Y223" i="14" s="1"/>
  <c r="AA223" i="14" s="1"/>
  <c r="Y223" i="15" s="1"/>
  <c r="AA223" i="15" s="1"/>
  <c r="Y223" i="16" s="1"/>
  <c r="AA224" i="5"/>
  <c r="Y224" i="6" s="1"/>
  <c r="AA224" i="6" s="1"/>
  <c r="Y224" i="7" s="1"/>
  <c r="AA224" i="7" s="1"/>
  <c r="Y224" i="8" s="1"/>
  <c r="AA224" i="8" s="1"/>
  <c r="Y224" i="9" s="1"/>
  <c r="AA224" i="9" s="1"/>
  <c r="Y224" i="10" s="1"/>
  <c r="AA224" i="10" s="1"/>
  <c r="Y224" i="11" s="1"/>
  <c r="AA224" i="11" s="1"/>
  <c r="AA225" i="5"/>
  <c r="Y225" i="6" s="1"/>
  <c r="AA225" i="6" s="1"/>
  <c r="Y225" i="7" s="1"/>
  <c r="AA225" i="7" s="1"/>
  <c r="Y225" i="8" s="1"/>
  <c r="AA225" i="8" s="1"/>
  <c r="Y225" i="9" s="1"/>
  <c r="AA225" i="9" s="1"/>
  <c r="Y225" i="10" s="1"/>
  <c r="AA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9" i="5"/>
  <c r="Y229" i="6" s="1"/>
  <c r="AA229" i="6" s="1"/>
  <c r="Y229" i="7" s="1"/>
  <c r="AA229" i="7" s="1"/>
  <c r="Y229" i="8" s="1"/>
  <c r="AA229" i="8" s="1"/>
  <c r="Y229" i="9" s="1"/>
  <c r="AA229" i="9" s="1"/>
  <c r="Y229" i="10" s="1"/>
  <c r="AA229" i="10" s="1"/>
  <c r="Y229" i="11" s="1"/>
  <c r="AA229" i="11" s="1"/>
  <c r="Y229" i="12" s="1"/>
  <c r="AA229" i="12" s="1"/>
  <c r="Y229" i="13" s="1"/>
  <c r="AA229" i="13" s="1"/>
  <c r="Y229" i="14" s="1"/>
  <c r="AA229" i="14" s="1"/>
  <c r="Y229" i="15" s="1"/>
  <c r="AA229" i="15" s="1"/>
  <c r="Y229" i="16" s="1"/>
  <c r="AA229" i="16" s="1"/>
  <c r="AA230" i="5"/>
  <c r="Y230" i="6" s="1"/>
  <c r="AA230" i="6" s="1"/>
  <c r="Y230" i="7" s="1"/>
  <c r="AA230" i="7" s="1"/>
  <c r="AA236" i="5"/>
  <c r="Y236" i="6" s="1"/>
  <c r="AA236" i="6" s="1"/>
  <c r="Y236" i="7" s="1"/>
  <c r="AA236" i="7" s="1"/>
  <c r="Y236" i="8" s="1"/>
  <c r="AA236" i="8" s="1"/>
  <c r="Y236" i="9" s="1"/>
  <c r="AA236" i="9" s="1"/>
  <c r="AA237" i="5"/>
  <c r="Y237" i="6"/>
  <c r="AA237" i="6" s="1"/>
  <c r="Y237" i="7" s="1"/>
  <c r="AA237" i="7" s="1"/>
  <c r="Y237" i="8" s="1"/>
  <c r="AA237" i="8" s="1"/>
  <c r="Y237" i="9" s="1"/>
  <c r="AA237" i="9" s="1"/>
  <c r="Y237" i="10" s="1"/>
  <c r="AA237" i="10" s="1"/>
  <c r="Y237" i="11" s="1"/>
  <c r="AA237" i="11"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Y240" i="13" s="1"/>
  <c r="AA240" i="13" s="1"/>
  <c r="Y240" i="14" s="1"/>
  <c r="AA240" i="14" s="1"/>
  <c r="Y240" i="15" s="1"/>
  <c r="AA240" i="15" s="1"/>
  <c r="Y240" i="16" s="1"/>
  <c r="AA240" i="16"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Y244" i="6" s="1"/>
  <c r="AA244" i="6" s="1"/>
  <c r="Y244" i="7" s="1"/>
  <c r="AA244" i="7" s="1"/>
  <c r="Y244" i="8" s="1"/>
  <c r="AA244" i="8" s="1"/>
  <c r="Y244" i="9" s="1"/>
  <c r="AA244" i="9" s="1"/>
  <c r="Y244" i="10" s="1"/>
  <c r="AA244" i="10" s="1"/>
  <c r="Y244" i="11" s="1"/>
  <c r="AA244" i="11" s="1"/>
  <c r="Y244" i="12" s="1"/>
  <c r="AA244" i="12" s="1"/>
  <c r="Y244" i="13" s="1"/>
  <c r="AA244" i="13" s="1"/>
  <c r="Y244" i="14" s="1"/>
  <c r="AA244" i="14" s="1"/>
  <c r="Y244" i="15" s="1"/>
  <c r="AA244" i="15" s="1"/>
  <c r="Y244" i="16" s="1"/>
  <c r="AA244" i="16" s="1"/>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Y246" i="11"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50" i="5"/>
  <c r="Y250" i="6" s="1"/>
  <c r="AA250" i="6" s="1"/>
  <c r="Y250" i="7" s="1"/>
  <c r="AA250" i="7" s="1"/>
  <c r="Y250" i="8" s="1"/>
  <c r="AA250" i="8" s="1"/>
  <c r="Y250" i="9" s="1"/>
  <c r="AA250" i="9" s="1"/>
  <c r="Y250" i="10" s="1"/>
  <c r="AA250" i="10" s="1"/>
  <c r="Y250" i="11" s="1"/>
  <c r="AA250" i="11" s="1"/>
  <c r="Y250" i="12" s="1"/>
  <c r="AA250" i="12" s="1"/>
  <c r="Y250" i="13" s="1"/>
  <c r="AA250" i="13" s="1"/>
  <c r="Y250" i="14" s="1"/>
  <c r="AA250" i="14" s="1"/>
  <c r="Y250" i="15" s="1"/>
  <c r="AA250" i="15" s="1"/>
  <c r="Y250" i="16" s="1"/>
  <c r="AA250" i="16"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Y254" i="13" s="1"/>
  <c r="AA254" i="13" s="1"/>
  <c r="Y254" i="14" s="1"/>
  <c r="AA254" i="14" s="1"/>
  <c r="Y254" i="15" s="1"/>
  <c r="AA254" i="15" s="1"/>
  <c r="Y254" i="16" s="1"/>
  <c r="AA254" i="16"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I15" i="16"/>
  <c r="I33" i="16"/>
  <c r="I77" i="16"/>
  <c r="I89" i="16"/>
  <c r="I94" i="16"/>
  <c r="AA24" i="16"/>
  <c r="AA25" i="16"/>
  <c r="K12" i="5"/>
  <c r="L12" i="5"/>
  <c r="J12" i="6" s="1"/>
  <c r="K12" i="6"/>
  <c r="K12" i="7"/>
  <c r="K13" i="5"/>
  <c r="L13" i="5"/>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J24" i="7" s="1"/>
  <c r="L24" i="7" s="1"/>
  <c r="J24" i="8" s="1"/>
  <c r="L24" i="8" s="1"/>
  <c r="J24" i="9" s="1"/>
  <c r="L24" i="9" s="1"/>
  <c r="J24" i="10" s="1"/>
  <c r="L24" i="10" s="1"/>
  <c r="J24" i="11" s="1"/>
  <c r="L24" i="11" s="1"/>
  <c r="J24" i="12" s="1"/>
  <c r="L24" i="12" s="1"/>
  <c r="J24" i="13" s="1"/>
  <c r="L24" i="13" s="1"/>
  <c r="J24" i="14" s="1"/>
  <c r="L24" i="14" s="1"/>
  <c r="J24" i="15" s="1"/>
  <c r="L24" i="15" s="1"/>
  <c r="J24" i="16" s="1"/>
  <c r="L24" i="16" s="1"/>
  <c r="L26" i="5"/>
  <c r="J26" i="6" s="1"/>
  <c r="L26" i="6" s="1"/>
  <c r="J26" i="7" s="1"/>
  <c r="L26" i="7" s="1"/>
  <c r="J26" i="8" s="1"/>
  <c r="L26" i="8" s="1"/>
  <c r="J26" i="9" s="1"/>
  <c r="L26" i="9" s="1"/>
  <c r="J26" i="10" s="1"/>
  <c r="L26" i="10" s="1"/>
  <c r="J26" i="11" s="1"/>
  <c r="L26" i="11" s="1"/>
  <c r="J26" i="12" s="1"/>
  <c r="L26" i="12" s="1"/>
  <c r="J26" i="13" s="1"/>
  <c r="L26" i="13" s="1"/>
  <c r="J26" i="14" s="1"/>
  <c r="L26" i="14" s="1"/>
  <c r="L27" i="5"/>
  <c r="J27" i="6" s="1"/>
  <c r="L27" i="6" s="1"/>
  <c r="J27" i="7" s="1"/>
  <c r="L27" i="7" s="1"/>
  <c r="J27" i="8" s="1"/>
  <c r="L27" i="8" s="1"/>
  <c r="J27" i="9" s="1"/>
  <c r="L27" i="9" s="1"/>
  <c r="J27" i="10" s="1"/>
  <c r="L27" i="10" s="1"/>
  <c r="J27" i="11" s="1"/>
  <c r="L27" i="11" s="1"/>
  <c r="J27" i="12" s="1"/>
  <c r="L27" i="12" s="1"/>
  <c r="J27" i="13" s="1"/>
  <c r="L27" i="13" s="1"/>
  <c r="J27" i="14" s="1"/>
  <c r="L27" i="14" s="1"/>
  <c r="J27" i="15" s="1"/>
  <c r="L27" i="15" s="1"/>
  <c r="J27" i="16" s="1"/>
  <c r="L27" i="16" s="1"/>
  <c r="L30" i="5"/>
  <c r="J30" i="6" s="1"/>
  <c r="L30" i="6" s="1"/>
  <c r="J30" i="7" s="1"/>
  <c r="L30" i="7" s="1"/>
  <c r="J30" i="8" s="1"/>
  <c r="L30" i="8" s="1"/>
  <c r="J30" i="9" s="1"/>
  <c r="L30" i="9" s="1"/>
  <c r="J30" i="10" s="1"/>
  <c r="L30" i="10" s="1"/>
  <c r="J30" i="11" s="1"/>
  <c r="L30" i="11" s="1"/>
  <c r="J30" i="12" s="1"/>
  <c r="L30" i="12" s="1"/>
  <c r="J30" i="13" s="1"/>
  <c r="L30" i="13" s="1"/>
  <c r="J30" i="14" s="1"/>
  <c r="L30" i="14" s="1"/>
  <c r="L31" i="5"/>
  <c r="J31" i="6" s="1"/>
  <c r="L31" i="6" s="1"/>
  <c r="J31" i="7" s="1"/>
  <c r="L31" i="7" s="1"/>
  <c r="J31" i="8" s="1"/>
  <c r="L31" i="8" s="1"/>
  <c r="J31" i="9" s="1"/>
  <c r="L31" i="9" s="1"/>
  <c r="J31" i="10" s="1"/>
  <c r="L31" i="10" s="1"/>
  <c r="J31" i="11" s="1"/>
  <c r="L31" i="11" s="1"/>
  <c r="J31" i="12" s="1"/>
  <c r="L31" i="12" s="1"/>
  <c r="J31" i="13" s="1"/>
  <c r="L31" i="13" s="1"/>
  <c r="J31" i="14" s="1"/>
  <c r="L31" i="14" s="1"/>
  <c r="J31" i="15" s="1"/>
  <c r="L31" i="15" s="1"/>
  <c r="J31" i="16" s="1"/>
  <c r="L31" i="16" s="1"/>
  <c r="L33" i="5"/>
  <c r="J33" i="6"/>
  <c r="L33" i="6" s="1"/>
  <c r="J33" i="7" s="1"/>
  <c r="L33" i="7" s="1"/>
  <c r="J33" i="8" s="1"/>
  <c r="L33" i="8" s="1"/>
  <c r="J33" i="9" s="1"/>
  <c r="L33" i="9" s="1"/>
  <c r="J33" i="10" s="1"/>
  <c r="L33" i="10" s="1"/>
  <c r="J33" i="11"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6" i="8" s="1"/>
  <c r="J36" i="9" s="1"/>
  <c r="L36" i="9" s="1"/>
  <c r="J36" i="10" s="1"/>
  <c r="L36" i="10" s="1"/>
  <c r="J36" i="11" s="1"/>
  <c r="L36" i="11" s="1"/>
  <c r="J36" i="12" s="1"/>
  <c r="L36" i="12" s="1"/>
  <c r="J36" i="13" s="1"/>
  <c r="L36" i="13" s="1"/>
  <c r="J36" i="14" s="1"/>
  <c r="L36" i="14" s="1"/>
  <c r="J36" i="15" s="1"/>
  <c r="L36" i="15" s="1"/>
  <c r="L37" i="5"/>
  <c r="J37" i="6"/>
  <c r="L37" i="6" s="1"/>
  <c r="J37" i="7" s="1"/>
  <c r="L41" i="5"/>
  <c r="J41" i="6" s="1"/>
  <c r="L41" i="6" s="1"/>
  <c r="J41" i="7" s="1"/>
  <c r="L41" i="7" s="1"/>
  <c r="J41" i="8" s="1"/>
  <c r="L41" i="8" s="1"/>
  <c r="L43" i="5"/>
  <c r="J43" i="6" s="1"/>
  <c r="L43" i="6" s="1"/>
  <c r="J43" i="7" s="1"/>
  <c r="L43" i="7" s="1"/>
  <c r="J43" i="8" s="1"/>
  <c r="L43" i="8" s="1"/>
  <c r="J43" i="9" s="1"/>
  <c r="L43" i="9" s="1"/>
  <c r="J43" i="10" s="1"/>
  <c r="L43" i="10" s="1"/>
  <c r="J43" i="11" s="1"/>
  <c r="L43" i="11" s="1"/>
  <c r="J43" i="12" s="1"/>
  <c r="L43" i="12" s="1"/>
  <c r="J43" i="13" s="1"/>
  <c r="L43" i="13" s="1"/>
  <c r="J43" i="14" s="1"/>
  <c r="L43" i="14" s="1"/>
  <c r="J43" i="15" s="1"/>
  <c r="L44" i="5"/>
  <c r="J44" i="6" s="1"/>
  <c r="L44" i="6" s="1"/>
  <c r="J44" i="7" s="1"/>
  <c r="L44" i="7" s="1"/>
  <c r="J44" i="8" s="1"/>
  <c r="L44" i="8" s="1"/>
  <c r="J44" i="9" s="1"/>
  <c r="L44" i="9" s="1"/>
  <c r="J44" i="10" s="1"/>
  <c r="L44" i="10" s="1"/>
  <c r="J44" i="11" s="1"/>
  <c r="L44" i="11" s="1"/>
  <c r="J44" i="12" s="1"/>
  <c r="L44" i="12" s="1"/>
  <c r="J44" i="13" s="1"/>
  <c r="L44" i="13" s="1"/>
  <c r="J44" i="14" s="1"/>
  <c r="L44" i="14" s="1"/>
  <c r="J44" i="15" s="1"/>
  <c r="L44" i="15" s="1"/>
  <c r="J44" i="16" s="1"/>
  <c r="L44" i="16" s="1"/>
  <c r="L46" i="5"/>
  <c r="J46" i="6" s="1"/>
  <c r="L46" i="6" s="1"/>
  <c r="J46" i="7" s="1"/>
  <c r="L46" i="7" s="1"/>
  <c r="J46" i="8" s="1"/>
  <c r="L46" i="8" s="1"/>
  <c r="J46" i="9" s="1"/>
  <c r="L47" i="5"/>
  <c r="J47" i="6" s="1"/>
  <c r="L47" i="6" s="1"/>
  <c r="J47" i="7" s="1"/>
  <c r="L47" i="7" s="1"/>
  <c r="J47" i="8" s="1"/>
  <c r="L47" i="8" s="1"/>
  <c r="J47" i="9" s="1"/>
  <c r="L47" i="9" s="1"/>
  <c r="J47" i="10" s="1"/>
  <c r="L47" i="10" s="1"/>
  <c r="J47" i="11" s="1"/>
  <c r="L47" i="11" s="1"/>
  <c r="J47" i="12" s="1"/>
  <c r="L47" i="12" s="1"/>
  <c r="J47" i="13" s="1"/>
  <c r="L47" i="13" s="1"/>
  <c r="J47" i="14" s="1"/>
  <c r="L47" i="14" s="1"/>
  <c r="J47" i="15" s="1"/>
  <c r="L47" i="15" s="1"/>
  <c r="J47" i="16" s="1"/>
  <c r="L47" i="16" s="1"/>
  <c r="L49" i="5"/>
  <c r="J49" i="6" s="1"/>
  <c r="L49" i="6" s="1"/>
  <c r="J49" i="7" s="1"/>
  <c r="L49" i="7" s="1"/>
  <c r="J49" i="8" s="1"/>
  <c r="L49" i="8" s="1"/>
  <c r="J49" i="9" s="1"/>
  <c r="L49" i="9" s="1"/>
  <c r="J49" i="10" s="1"/>
  <c r="L49" i="10" s="1"/>
  <c r="J49" i="11" s="1"/>
  <c r="L49" i="11" s="1"/>
  <c r="J49" i="12" s="1"/>
  <c r="L50" i="5"/>
  <c r="J50" i="6"/>
  <c r="L50" i="6" s="1"/>
  <c r="J50" i="7" s="1"/>
  <c r="L50" i="7" s="1"/>
  <c r="J50" i="8" s="1"/>
  <c r="L50" i="8" s="1"/>
  <c r="J50" i="9" s="1"/>
  <c r="L50" i="9"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5" i="5"/>
  <c r="J55" i="6" s="1"/>
  <c r="L55" i="6" s="1"/>
  <c r="J55" i="7" s="1"/>
  <c r="L55" i="7" s="1"/>
  <c r="J55" i="8" s="1"/>
  <c r="L55" i="8" s="1"/>
  <c r="J55" i="9" s="1"/>
  <c r="L55" i="9" s="1"/>
  <c r="J55" i="10" s="1"/>
  <c r="L55" i="10" s="1"/>
  <c r="J55" i="11" s="1"/>
  <c r="L55" i="11" s="1"/>
  <c r="L56" i="5"/>
  <c r="J56" i="6" s="1"/>
  <c r="L56" i="6" s="1"/>
  <c r="J56" i="7" s="1"/>
  <c r="L56" i="7" s="1"/>
  <c r="J56" i="8" s="1"/>
  <c r="L56" i="8" s="1"/>
  <c r="J56" i="9" s="1"/>
  <c r="L56" i="9" s="1"/>
  <c r="J56" i="10" s="1"/>
  <c r="L56" i="10" s="1"/>
  <c r="J56" i="11" s="1"/>
  <c r="L56" i="11" s="1"/>
  <c r="J56" i="12" s="1"/>
  <c r="L56" i="12" s="1"/>
  <c r="J56" i="13" s="1"/>
  <c r="L56" i="13" s="1"/>
  <c r="J56" i="14" s="1"/>
  <c r="L56" i="14" s="1"/>
  <c r="J56" i="15" s="1"/>
  <c r="L56" i="15" s="1"/>
  <c r="J56" i="16" s="1"/>
  <c r="L56" i="16"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J59" i="7" s="1"/>
  <c r="L59" i="7" s="1"/>
  <c r="J59" i="8" s="1"/>
  <c r="L59" i="8" s="1"/>
  <c r="J59" i="9" s="1"/>
  <c r="L59" i="9" s="1"/>
  <c r="J59" i="10" s="1"/>
  <c r="L59" i="10" s="1"/>
  <c r="J59" i="11" s="1"/>
  <c r="L59" i="11" s="1"/>
  <c r="J59" i="12" s="1"/>
  <c r="L59" i="12" s="1"/>
  <c r="J59" i="13" s="1"/>
  <c r="L59" i="13" s="1"/>
  <c r="J59" i="14" s="1"/>
  <c r="L61" i="5"/>
  <c r="J61" i="6" s="1"/>
  <c r="L61" i="6" s="1"/>
  <c r="J61" i="7" s="1"/>
  <c r="L61" i="7" s="1"/>
  <c r="J61" i="8" s="1"/>
  <c r="L61" i="8" s="1"/>
  <c r="J61" i="9" s="1"/>
  <c r="L61" i="9" s="1"/>
  <c r="J61" i="10" s="1"/>
  <c r="L61" i="10" s="1"/>
  <c r="J61" i="11" s="1"/>
  <c r="L61" i="11" s="1"/>
  <c r="J61" i="12" s="1"/>
  <c r="L61" i="12" s="1"/>
  <c r="J61" i="13" s="1"/>
  <c r="L61" i="13" s="1"/>
  <c r="J61" i="14" s="1"/>
  <c r="L62" i="5"/>
  <c r="J62" i="6" s="1"/>
  <c r="L64" i="5"/>
  <c r="J64" i="6"/>
  <c r="L64" i="6" s="1"/>
  <c r="J64" i="7" s="1"/>
  <c r="L64" i="7" s="1"/>
  <c r="J64" i="8" s="1"/>
  <c r="L64" i="8" s="1"/>
  <c r="J64" i="9" s="1"/>
  <c r="L64" i="9" s="1"/>
  <c r="J64" i="10" s="1"/>
  <c r="L64" i="10" s="1"/>
  <c r="J64" i="11" s="1"/>
  <c r="L64" i="11" s="1"/>
  <c r="J64" i="12" s="1"/>
  <c r="L64" i="12" s="1"/>
  <c r="L65" i="5"/>
  <c r="J65" i="6" s="1"/>
  <c r="L65" i="6" s="1"/>
  <c r="J65" i="7" s="1"/>
  <c r="L65" i="7" s="1"/>
  <c r="J65" i="8" s="1"/>
  <c r="L65" i="8" s="1"/>
  <c r="J65" i="9" s="1"/>
  <c r="L65" i="9" s="1"/>
  <c r="J65" i="10" s="1"/>
  <c r="L65" i="10" s="1"/>
  <c r="J65" i="11" s="1"/>
  <c r="L65" i="11" s="1"/>
  <c r="J65" i="12" s="1"/>
  <c r="L65" i="12" s="1"/>
  <c r="J65" i="13" s="1"/>
  <c r="L65" i="13" s="1"/>
  <c r="J65" i="14" s="1"/>
  <c r="L65" i="14" s="1"/>
  <c r="J65" i="15" s="1"/>
  <c r="L65" i="15" s="1"/>
  <c r="J65" i="16" s="1"/>
  <c r="L65" i="16" s="1"/>
  <c r="L67" i="5"/>
  <c r="J67" i="6" s="1"/>
  <c r="L67" i="6" s="1"/>
  <c r="J67" i="7" s="1"/>
  <c r="L67" i="7" s="1"/>
  <c r="J67" i="8" s="1"/>
  <c r="L67" i="8" s="1"/>
  <c r="J67" i="9" s="1"/>
  <c r="L68" i="5"/>
  <c r="J68" i="6" s="1"/>
  <c r="L68" i="6" s="1"/>
  <c r="J68" i="7" s="1"/>
  <c r="L68" i="7" s="1"/>
  <c r="J68" i="8" s="1"/>
  <c r="L68" i="8" s="1"/>
  <c r="J68" i="9" s="1"/>
  <c r="L68" i="9" s="1"/>
  <c r="J68" i="10" s="1"/>
  <c r="L68" i="10" s="1"/>
  <c r="J68" i="11" s="1"/>
  <c r="L68" i="11" s="1"/>
  <c r="J68" i="12" s="1"/>
  <c r="L68" i="12" s="1"/>
  <c r="J68" i="13" s="1"/>
  <c r="L68" i="13" s="1"/>
  <c r="J68" i="14" s="1"/>
  <c r="L68" i="14" s="1"/>
  <c r="J68" i="15" s="1"/>
  <c r="L68" i="15" s="1"/>
  <c r="J68" i="16" s="1"/>
  <c r="L68" i="16" s="1"/>
  <c r="L70" i="5"/>
  <c r="J70" i="6" s="1"/>
  <c r="L70" i="6" s="1"/>
  <c r="J70" i="7" s="1"/>
  <c r="L71" i="5"/>
  <c r="J71" i="6" s="1"/>
  <c r="L71" i="6" s="1"/>
  <c r="J71" i="7" s="1"/>
  <c r="L71" i="7" s="1"/>
  <c r="J71" i="8" s="1"/>
  <c r="L71" i="8" s="1"/>
  <c r="J71" i="9" s="1"/>
  <c r="L71" i="9" s="1"/>
  <c r="J71" i="10" s="1"/>
  <c r="L71" i="10" s="1"/>
  <c r="J71" i="11" s="1"/>
  <c r="L71" i="11" s="1"/>
  <c r="J71" i="12" s="1"/>
  <c r="L71" i="12" s="1"/>
  <c r="J71" i="13" s="1"/>
  <c r="L71" i="13" s="1"/>
  <c r="J71" i="14"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J74" i="9" s="1"/>
  <c r="L74" i="9" s="1"/>
  <c r="J74" i="10" s="1"/>
  <c r="L74" i="10" s="1"/>
  <c r="J74" i="11" s="1"/>
  <c r="L74" i="11" s="1"/>
  <c r="J74" i="12" s="1"/>
  <c r="L74" i="12" s="1"/>
  <c r="J74" i="13" s="1"/>
  <c r="L74" i="13" s="1"/>
  <c r="J74" i="14" s="1"/>
  <c r="L74" i="14" s="1"/>
  <c r="L76" i="5"/>
  <c r="J76" i="6" s="1"/>
  <c r="L76" i="6" s="1"/>
  <c r="J76" i="7" s="1"/>
  <c r="L76" i="7" s="1"/>
  <c r="J76" i="8" s="1"/>
  <c r="L76" i="8" s="1"/>
  <c r="J76" i="9" s="1"/>
  <c r="L76" i="9" s="1"/>
  <c r="J76" i="10" s="1"/>
  <c r="L76" i="10" s="1"/>
  <c r="J76" i="11" s="1"/>
  <c r="L76" i="11" s="1"/>
  <c r="J76" i="12" s="1"/>
  <c r="L76" i="12" s="1"/>
  <c r="J76" i="13" s="1"/>
  <c r="L76" i="13" s="1"/>
  <c r="J76" i="14" s="1"/>
  <c r="L77" i="5"/>
  <c r="J77" i="6" s="1"/>
  <c r="L77" i="6" s="1"/>
  <c r="J77" i="7" s="1"/>
  <c r="L77" i="7" s="1"/>
  <c r="J77" i="8" s="1"/>
  <c r="L77" i="8" s="1"/>
  <c r="J77" i="9" s="1"/>
  <c r="L77" i="9" s="1"/>
  <c r="J77" i="10" s="1"/>
  <c r="L77" i="10" s="1"/>
  <c r="J77" i="11" s="1"/>
  <c r="L77" i="11" s="1"/>
  <c r="J77" i="12" s="1"/>
  <c r="L77" i="12" s="1"/>
  <c r="J77" i="13" s="1"/>
  <c r="L77" i="13" s="1"/>
  <c r="J77" i="14" s="1"/>
  <c r="L77" i="14" s="1"/>
  <c r="J77" i="15" s="1"/>
  <c r="L77" i="15" s="1"/>
  <c r="J77" i="16" s="1"/>
  <c r="L77" i="16" s="1"/>
  <c r="L79" i="5"/>
  <c r="J79" i="6" s="1"/>
  <c r="L80" i="5"/>
  <c r="J80" i="6" s="1"/>
  <c r="L80" i="6" s="1"/>
  <c r="J80" i="7" s="1"/>
  <c r="L80" i="7" s="1"/>
  <c r="J80" i="8" s="1"/>
  <c r="L80" i="8" s="1"/>
  <c r="J80" i="9" s="1"/>
  <c r="L80" i="9" s="1"/>
  <c r="J80" i="10" s="1"/>
  <c r="L80" i="10" s="1"/>
  <c r="J80" i="11" s="1"/>
  <c r="L80" i="11" s="1"/>
  <c r="J80" i="12" s="1"/>
  <c r="L80" i="12" s="1"/>
  <c r="J80" i="13" s="1"/>
  <c r="L80" i="13" s="1"/>
  <c r="J80" i="14" s="1"/>
  <c r="L80" i="14" s="1"/>
  <c r="J80" i="15" s="1"/>
  <c r="L80" i="15" s="1"/>
  <c r="J80" i="16"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J83" i="8" s="1"/>
  <c r="L83" i="8" s="1"/>
  <c r="J83" i="9" s="1"/>
  <c r="L83" i="9" s="1"/>
  <c r="J83" i="10" s="1"/>
  <c r="L83" i="10" s="1"/>
  <c r="J83" i="11" s="1"/>
  <c r="L83" i="11" s="1"/>
  <c r="J83" i="12" s="1"/>
  <c r="L83" i="12" s="1"/>
  <c r="J83" i="13" s="1"/>
  <c r="L83" i="13" s="1"/>
  <c r="J83" i="14" s="1"/>
  <c r="L83" i="14" s="1"/>
  <c r="J83" i="15" s="1"/>
  <c r="L83" i="15" s="1"/>
  <c r="J83" i="16" s="1"/>
  <c r="L83" i="16" s="1"/>
  <c r="L86"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AX12" i="16" s="1"/>
  <c r="L90" i="5"/>
  <c r="J90" i="6" s="1"/>
  <c r="L90" i="6" s="1"/>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L94" i="5"/>
  <c r="J94" i="6" s="1"/>
  <c r="L94" i="6" s="1"/>
  <c r="J94" i="7" s="1"/>
  <c r="L94" i="7" s="1"/>
  <c r="J94" i="8" s="1"/>
  <c r="L94" i="8" s="1"/>
  <c r="J94" i="9" s="1"/>
  <c r="L94" i="9" s="1"/>
  <c r="J94" i="10" s="1"/>
  <c r="L94" i="10" s="1"/>
  <c r="J94" i="11" s="1"/>
  <c r="L94" i="11" s="1"/>
  <c r="J94" i="12" s="1"/>
  <c r="L94" i="12" s="1"/>
  <c r="J94" i="13" s="1"/>
  <c r="L94" i="13" s="1"/>
  <c r="J94" i="14" s="1"/>
  <c r="L94" i="14" s="1"/>
  <c r="J94" i="15" s="1"/>
  <c r="L94" i="15" s="1"/>
  <c r="J94" i="16" s="1"/>
  <c r="L94" i="16" s="1"/>
  <c r="L95" i="5"/>
  <c r="J95" i="6" s="1"/>
  <c r="L95" i="6" s="1"/>
  <c r="J95" i="7" s="1"/>
  <c r="L95" i="7" s="1"/>
  <c r="J95" i="8" s="1"/>
  <c r="L95" i="8" s="1"/>
  <c r="J95" i="9" s="1"/>
  <c r="L95" i="9" s="1"/>
  <c r="J95" i="10" s="1"/>
  <c r="L95" i="10" s="1"/>
  <c r="J95" i="11" s="1"/>
  <c r="L96" i="5"/>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100" i="5"/>
  <c r="J100" i="6" s="1"/>
  <c r="L100" i="6" s="1"/>
  <c r="J100" i="7" s="1"/>
  <c r="L100" i="7" s="1"/>
  <c r="J100" i="8" s="1"/>
  <c r="L100" i="8" s="1"/>
  <c r="J100" i="9" s="1"/>
  <c r="L100" i="9"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L103" i="5"/>
  <c r="J103" i="6" s="1"/>
  <c r="L103" i="6" s="1"/>
  <c r="J103" i="7" s="1"/>
  <c r="L103" i="7" s="1"/>
  <c r="J103" i="8" s="1"/>
  <c r="L103" i="8" s="1"/>
  <c r="J103" i="9" s="1"/>
  <c r="L103" i="9" s="1"/>
  <c r="J103" i="10" s="1"/>
  <c r="L103" i="10" s="1"/>
  <c r="J103" i="11" s="1"/>
  <c r="L103" i="11" s="1"/>
  <c r="J103" i="12" s="1"/>
  <c r="L103" i="12" s="1"/>
  <c r="J103" i="13" s="1"/>
  <c r="L103" i="13" s="1"/>
  <c r="J103" i="14" s="1"/>
  <c r="L103" i="14" s="1"/>
  <c r="J103" i="15" s="1"/>
  <c r="L103" i="15" s="1"/>
  <c r="J103" i="16" s="1"/>
  <c r="L103" i="16" s="1"/>
  <c r="L104" i="5"/>
  <c r="J104" i="6" s="1"/>
  <c r="L104" i="6" s="1"/>
  <c r="J104" i="7" s="1"/>
  <c r="L104" i="7" s="1"/>
  <c r="J104" i="8" s="1"/>
  <c r="L104" i="8" s="1"/>
  <c r="J104" i="9" s="1"/>
  <c r="L104" i="9" s="1"/>
  <c r="J104" i="10" s="1"/>
  <c r="L104" i="10" s="1"/>
  <c r="J104" i="11" s="1"/>
  <c r="L104" i="11" s="1"/>
  <c r="J104" i="12" s="1"/>
  <c r="L104" i="12" s="1"/>
  <c r="J104" i="13" s="1"/>
  <c r="L104" i="13" s="1"/>
  <c r="J104" i="14" s="1"/>
  <c r="L104" i="14" s="1"/>
  <c r="J104" i="15" s="1"/>
  <c r="L104" i="15" s="1"/>
  <c r="J104" i="16" s="1"/>
  <c r="L104" i="16" s="1"/>
  <c r="L105" i="5"/>
  <c r="J105" i="6"/>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2" i="5"/>
  <c r="J112" i="6" s="1"/>
  <c r="L112" i="6" s="1"/>
  <c r="J112" i="7" s="1"/>
  <c r="L112" i="7" s="1"/>
  <c r="J112" i="8" s="1"/>
  <c r="L112" i="8" s="1"/>
  <c r="J112" i="9" s="1"/>
  <c r="L112" i="9" s="1"/>
  <c r="J112" i="10" s="1"/>
  <c r="L112" i="10" s="1"/>
  <c r="J112" i="11" s="1"/>
  <c r="L112" i="11" s="1"/>
  <c r="J112" i="12" s="1"/>
  <c r="L112" i="12" s="1"/>
  <c r="J112" i="13" s="1"/>
  <c r="L112" i="13" s="1"/>
  <c r="J112" i="14" s="1"/>
  <c r="L112" i="14" s="1"/>
  <c r="J112" i="15" s="1"/>
  <c r="L112" i="15" s="1"/>
  <c r="J112" i="16" s="1"/>
  <c r="L112" i="16" s="1"/>
  <c r="L113" i="5"/>
  <c r="J113" i="6" s="1"/>
  <c r="L113" i="6" s="1"/>
  <c r="J113" i="7" s="1"/>
  <c r="L113" i="7" s="1"/>
  <c r="L114" i="5"/>
  <c r="J114" i="6" s="1"/>
  <c r="L114" i="6" s="1"/>
  <c r="J114" i="7" s="1"/>
  <c r="L114" i="7" s="1"/>
  <c r="J114" i="8" s="1"/>
  <c r="L114" i="8" s="1"/>
  <c r="J114" i="9" s="1"/>
  <c r="L114" i="9" s="1"/>
  <c r="J114" i="10" s="1"/>
  <c r="L114" i="10" s="1"/>
  <c r="J114" i="11" s="1"/>
  <c r="L114" i="11" s="1"/>
  <c r="J114" i="12" s="1"/>
  <c r="L114" i="12" s="1"/>
  <c r="J114" i="13" s="1"/>
  <c r="L114" i="13" s="1"/>
  <c r="J114" i="14" s="1"/>
  <c r="L114" i="14" s="1"/>
  <c r="J114" i="15" s="1"/>
  <c r="L114" i="15" s="1"/>
  <c r="J114" i="16" s="1"/>
  <c r="L114" i="16" s="1"/>
  <c r="L115" i="5"/>
  <c r="J115" i="6" s="1"/>
  <c r="L115" i="6" s="1"/>
  <c r="J115" i="7" s="1"/>
  <c r="L115" i="7" s="1"/>
  <c r="J115" i="8" s="1"/>
  <c r="L115" i="8" s="1"/>
  <c r="J115" i="9" s="1"/>
  <c r="L115" i="9" s="1"/>
  <c r="J115" i="10" s="1"/>
  <c r="L115" i="10" s="1"/>
  <c r="J115" i="11" s="1"/>
  <c r="L115" i="11" s="1"/>
  <c r="J115" i="12" s="1"/>
  <c r="L115" i="12" s="1"/>
  <c r="J115" i="13" s="1"/>
  <c r="L115" i="13" s="1"/>
  <c r="J115" i="14" s="1"/>
  <c r="L115" i="14" s="1"/>
  <c r="J115" i="15" s="1"/>
  <c r="L115" i="15" s="1"/>
  <c r="J115" i="16" s="1"/>
  <c r="L115" i="16" s="1"/>
  <c r="L116" i="5"/>
  <c r="J116" i="6" s="1"/>
  <c r="L116" i="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L119" i="5"/>
  <c r="J119" i="6" s="1"/>
  <c r="L119" i="6" s="1"/>
  <c r="J119" i="7" s="1"/>
  <c r="AD17" i="5"/>
  <c r="AB17" i="6" s="1"/>
  <c r="AD17" i="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c r="AD22" i="6" s="1"/>
  <c r="AB22" i="7" s="1"/>
  <c r="AD22" i="7"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B25" i="13" s="1"/>
  <c r="AD25" i="13" s="1"/>
  <c r="AB25" i="14" s="1"/>
  <c r="AD25" i="14" s="1"/>
  <c r="AB25" i="15" s="1"/>
  <c r="AD25" i="15" s="1"/>
  <c r="AB25" i="16" s="1"/>
  <c r="AD25" i="16"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B29" i="13" s="1"/>
  <c r="AD29" i="13" s="1"/>
  <c r="AB29" i="14" s="1"/>
  <c r="AD29" i="14" s="1"/>
  <c r="AB29" i="15" s="1"/>
  <c r="AD29" i="15" s="1"/>
  <c r="AB29" i="16" s="1"/>
  <c r="AD29" i="16" s="1"/>
  <c r="AD30" i="5"/>
  <c r="AB30" i="6"/>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B31" i="16" s="1"/>
  <c r="AD31" i="16"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B36" i="15" s="1"/>
  <c r="AD36" i="15" s="1"/>
  <c r="AB36" i="16" s="1"/>
  <c r="AD36" i="16" s="1"/>
  <c r="AD37" i="5"/>
  <c r="AB37" i="6" s="1"/>
  <c r="AD37" i="6" s="1"/>
  <c r="AB37" i="7" s="1"/>
  <c r="AD37" i="7" s="1"/>
  <c r="AB37" i="8" s="1"/>
  <c r="AD37" i="8" s="1"/>
  <c r="AB37" i="9" s="1"/>
  <c r="AD37" i="9" s="1"/>
  <c r="AB37" i="10" s="1"/>
  <c r="AD37" i="10" s="1"/>
  <c r="AB37" i="11" s="1"/>
  <c r="AD37" i="11"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39" i="6" s="1"/>
  <c r="AD40" i="5"/>
  <c r="AB40" i="6"/>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c r="AD46" i="6" s="1"/>
  <c r="AB46" i="7" s="1"/>
  <c r="AD46" i="7" s="1"/>
  <c r="AB46" i="8" s="1"/>
  <c r="AD46" i="8" s="1"/>
  <c r="AB46" i="9" s="1"/>
  <c r="AD46" i="9" s="1"/>
  <c r="AB46" i="10" s="1"/>
  <c r="AD46" i="10" s="1"/>
  <c r="AB46" i="11" s="1"/>
  <c r="AD46" i="11" s="1"/>
  <c r="AB46" i="12" s="1"/>
  <c r="AD46" i="12" s="1"/>
  <c r="AB46" i="13" s="1"/>
  <c r="AD46" i="13" s="1"/>
  <c r="AB46" i="14"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50" i="5"/>
  <c r="AB50" i="6"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c r="AD52" i="6" s="1"/>
  <c r="AB52" i="7" s="1"/>
  <c r="AD52" i="7" s="1"/>
  <c r="AB52" i="8" s="1"/>
  <c r="AD52" i="8" s="1"/>
  <c r="AB52" i="9" s="1"/>
  <c r="AD52" i="9" s="1"/>
  <c r="AB52" i="10" s="1"/>
  <c r="AD52" i="10" s="1"/>
  <c r="AB52" i="11" s="1"/>
  <c r="AD52" i="11" s="1"/>
  <c r="AB52" i="12" s="1"/>
  <c r="AD52" i="12" s="1"/>
  <c r="AB52" i="13" s="1"/>
  <c r="AD52" i="13" s="1"/>
  <c r="AB52" i="14" s="1"/>
  <c r="AD52" i="14"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D55" i="5"/>
  <c r="AB55" i="6" s="1"/>
  <c r="AD55" i="6" s="1"/>
  <c r="AB55" i="7" s="1"/>
  <c r="AD55" i="7" s="1"/>
  <c r="AB55" i="8" s="1"/>
  <c r="AD55" i="8" s="1"/>
  <c r="AB55" i="9" s="1"/>
  <c r="AD55" i="9" s="1"/>
  <c r="AB55" i="10" s="1"/>
  <c r="AD55" i="10" s="1"/>
  <c r="AB55" i="11" s="1"/>
  <c r="AD55" i="11" s="1"/>
  <c r="AB55" i="12" s="1"/>
  <c r="AD55" i="12" s="1"/>
  <c r="AB55" i="13" s="1"/>
  <c r="AD55" i="13" s="1"/>
  <c r="AB55" i="14" s="1"/>
  <c r="AD55" i="14" s="1"/>
  <c r="AB55" i="15" s="1"/>
  <c r="AD55" i="15" s="1"/>
  <c r="AB55" i="16" s="1"/>
  <c r="AD55" i="16" s="1"/>
  <c r="AD59" i="5"/>
  <c r="AB59" i="6"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R22" i="5" s="1"/>
  <c r="AD67" i="5"/>
  <c r="AB67" i="6" s="1"/>
  <c r="AD67" i="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c r="AD71" i="6" s="1"/>
  <c r="AB71" i="7" s="1"/>
  <c r="AD71" i="7" s="1"/>
  <c r="AB71" i="8" s="1"/>
  <c r="AD71" i="8" s="1"/>
  <c r="AB71" i="9" s="1"/>
  <c r="AD71" i="9" s="1"/>
  <c r="AB71" i="10" s="1"/>
  <c r="AD71" i="10" s="1"/>
  <c r="AB71" i="11" s="1"/>
  <c r="AD71" i="11" s="1"/>
  <c r="AB71" i="12" s="1"/>
  <c r="AD71" i="12" s="1"/>
  <c r="AB71" i="13" s="1"/>
  <c r="AD71" i="13" s="1"/>
  <c r="AB71" i="14" s="1"/>
  <c r="AD71" i="14" s="1"/>
  <c r="AB71" i="15" s="1"/>
  <c r="AD71" i="15" s="1"/>
  <c r="AB71" i="16" s="1"/>
  <c r="AD71" i="16" s="1"/>
  <c r="AI71" i="16"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5" i="7" s="1"/>
  <c r="AB75" i="8" s="1"/>
  <c r="AD75" i="8" s="1"/>
  <c r="AB75" i="9" s="1"/>
  <c r="AD75" i="9" s="1"/>
  <c r="AB75" i="10" s="1"/>
  <c r="AD75" i="10" s="1"/>
  <c r="AB75" i="11" s="1"/>
  <c r="AD75" i="11" s="1"/>
  <c r="AB75" i="12" s="1"/>
  <c r="AD75" i="12" s="1"/>
  <c r="AB75" i="13" s="1"/>
  <c r="AD75" i="13" s="1"/>
  <c r="AB75" i="14" s="1"/>
  <c r="AD75" i="14" s="1"/>
  <c r="AB75" i="15" s="1"/>
  <c r="AD75" i="15" s="1"/>
  <c r="AB75" i="16" s="1"/>
  <c r="AD75" i="16"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1" i="15" s="1"/>
  <c r="AD84" i="5"/>
  <c r="AD85" i="5"/>
  <c r="AB85" i="6" s="1"/>
  <c r="AD85" i="6" s="1"/>
  <c r="AB85" i="7" s="1"/>
  <c r="AD85" i="7" s="1"/>
  <c r="AB85" i="8" s="1"/>
  <c r="AD85" i="8" s="1"/>
  <c r="AB85" i="9" s="1"/>
  <c r="AD85" i="9" s="1"/>
  <c r="AB85" i="10" s="1"/>
  <c r="AD85" i="10" s="1"/>
  <c r="AB85" i="11" s="1"/>
  <c r="AD85" i="11" s="1"/>
  <c r="AB85" i="12" s="1"/>
  <c r="AD85" i="12" s="1"/>
  <c r="AB85" i="13" s="1"/>
  <c r="AD85" i="13" s="1"/>
  <c r="AB85" i="14" s="1"/>
  <c r="AD85" i="14" s="1"/>
  <c r="AB85" i="15" s="1"/>
  <c r="AD85" i="15" s="1"/>
  <c r="AB85" i="16" s="1"/>
  <c r="AD85" i="16" s="1"/>
  <c r="AD86" i="5"/>
  <c r="AB86" i="6" s="1"/>
  <c r="AD86" i="6" s="1"/>
  <c r="AB86" i="7" s="1"/>
  <c r="AD86" i="7" s="1"/>
  <c r="AB86" i="8" s="1"/>
  <c r="AD86" i="8"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B88" i="7" s="1"/>
  <c r="AD88" i="7" s="1"/>
  <c r="AB88" i="8" s="1"/>
  <c r="AD88" i="8" s="1"/>
  <c r="AB88" i="9" s="1"/>
  <c r="AD88" i="9" s="1"/>
  <c r="AB88" i="10" s="1"/>
  <c r="AD88" i="10" s="1"/>
  <c r="AB88" i="11" s="1"/>
  <c r="AD88" i="11" s="1"/>
  <c r="AB88" i="12" s="1"/>
  <c r="AD88" i="12" s="1"/>
  <c r="AD92" i="5"/>
  <c r="AB92" i="6" s="1"/>
  <c r="AD92" i="6" s="1"/>
  <c r="AB92" i="7"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D94" i="5"/>
  <c r="AB94" i="6"/>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B95" i="13" s="1"/>
  <c r="AD95" i="13" s="1"/>
  <c r="AB95" i="14" s="1"/>
  <c r="AD95" i="14" s="1"/>
  <c r="AB95" i="15" s="1"/>
  <c r="AD95" i="15" s="1"/>
  <c r="AD97" i="5"/>
  <c r="AD98" i="5"/>
  <c r="AB98" i="6" s="1"/>
  <c r="AD98" i="6" s="1"/>
  <c r="AB98" i="7" s="1"/>
  <c r="AD98" i="7" s="1"/>
  <c r="AB98" i="8" s="1"/>
  <c r="AD98" i="8"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B99" i="16" s="1"/>
  <c r="AD99" i="16" s="1"/>
  <c r="AD100" i="5"/>
  <c r="AB100" i="6" s="1"/>
  <c r="AD100" i="6" s="1"/>
  <c r="AB100" i="7" s="1"/>
  <c r="AD100" i="7" s="1"/>
  <c r="AD101" i="5"/>
  <c r="AB101" i="6" s="1"/>
  <c r="AD101" i="6" s="1"/>
  <c r="AB101" i="7" s="1"/>
  <c r="AD101" i="7" s="1"/>
  <c r="AB101" i="8" s="1"/>
  <c r="AD101" i="8" s="1"/>
  <c r="AB101" i="9" s="1"/>
  <c r="AD101" i="9" s="1"/>
  <c r="AB101" i="10" s="1"/>
  <c r="AD101" i="10" s="1"/>
  <c r="AB101" i="11" s="1"/>
  <c r="AD101" i="11" s="1"/>
  <c r="AB101" i="12" s="1"/>
  <c r="AD101" i="12"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D106" i="5"/>
  <c r="AD107" i="5"/>
  <c r="AB107" i="6" s="1"/>
  <c r="AD107" i="6" s="1"/>
  <c r="AB107" i="7" s="1"/>
  <c r="AD107" i="7" s="1"/>
  <c r="AB107" i="8" s="1"/>
  <c r="AD107" i="8" s="1"/>
  <c r="AB107" i="9" s="1"/>
  <c r="AD107" i="9" s="1"/>
  <c r="AB107" i="10" s="1"/>
  <c r="AD107" i="10" s="1"/>
  <c r="AB107" i="11" s="1"/>
  <c r="AD107" i="11" s="1"/>
  <c r="AB107" i="12" s="1"/>
  <c r="AD107" i="12" s="1"/>
  <c r="AB107" i="13" s="1"/>
  <c r="AD107" i="13" s="1"/>
  <c r="AB107" i="14" s="1"/>
  <c r="AD107" i="14" s="1"/>
  <c r="AB107" i="15" s="1"/>
  <c r="AD107" i="15" s="1"/>
  <c r="AB107" i="16" s="1"/>
  <c r="AD107" i="16"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7" i="5"/>
  <c r="AD118" i="5"/>
  <c r="AB118" i="6"/>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B121" i="13" s="1"/>
  <c r="AD121" i="13" s="1"/>
  <c r="AB121" i="14" s="1"/>
  <c r="AD121" i="14" s="1"/>
  <c r="AB121" i="15" s="1"/>
  <c r="AD121" i="15" s="1"/>
  <c r="AB121" i="16" s="1"/>
  <c r="AD121" i="16" s="1"/>
  <c r="AD124" i="5"/>
  <c r="AB124" i="6"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D127" i="5"/>
  <c r="AB127" i="6" s="1"/>
  <c r="AD127" i="6" s="1"/>
  <c r="AB127" i="7" s="1"/>
  <c r="AD127" i="7"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c r="AD131" i="6" s="1"/>
  <c r="AB131" i="7" s="1"/>
  <c r="AD131" i="7" s="1"/>
  <c r="AB131" i="8" s="1"/>
  <c r="AD131" i="8" s="1"/>
  <c r="AB131" i="9" s="1"/>
  <c r="AD131" i="9" s="1"/>
  <c r="AB131" i="10" s="1"/>
  <c r="AD131" i="10" s="1"/>
  <c r="AB131" i="11" s="1"/>
  <c r="AD131" i="11" s="1"/>
  <c r="AB131" i="12" s="1"/>
  <c r="AD131" i="12" s="1"/>
  <c r="AB131" i="13" s="1"/>
  <c r="AD131" i="13" s="1"/>
  <c r="AB131" i="14" s="1"/>
  <c r="AD131" i="14" s="1"/>
  <c r="AB131" i="15" s="1"/>
  <c r="AD131" i="15" s="1"/>
  <c r="AB131" i="16" s="1"/>
  <c r="AD131" i="16"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D135" i="5"/>
  <c r="AB135" i="6" s="1"/>
  <c r="AD135" i="6" s="1"/>
  <c r="AB135" i="7" s="1"/>
  <c r="AD135" i="7" s="1"/>
  <c r="AB135" i="8" s="1"/>
  <c r="AD135" i="8" s="1"/>
  <c r="AB135" i="9" s="1"/>
  <c r="AD135" i="9" s="1"/>
  <c r="AB135" i="10" s="1"/>
  <c r="AD135" i="10" s="1"/>
  <c r="AB135" i="11" s="1"/>
  <c r="AD135" i="11"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B142" i="10" s="1"/>
  <c r="AD142" i="10" s="1"/>
  <c r="AB142" i="11" s="1"/>
  <c r="AD143" i="5"/>
  <c r="AB143" i="6" s="1"/>
  <c r="AD143" i="6" s="1"/>
  <c r="AB143" i="7" s="1"/>
  <c r="AD143" i="7" s="1"/>
  <c r="AB143" i="8" s="1"/>
  <c r="AD143" i="8" s="1"/>
  <c r="AB143" i="9" s="1"/>
  <c r="AD143" i="9" s="1"/>
  <c r="AB143" i="10" s="1"/>
  <c r="AD143" i="10" s="1"/>
  <c r="AB143" i="11" s="1"/>
  <c r="AD143" i="11" s="1"/>
  <c r="AB143" i="12" s="1"/>
  <c r="AD143" i="12" s="1"/>
  <c r="AB143" i="13" s="1"/>
  <c r="AD143" i="13" s="1"/>
  <c r="AB143" i="14" s="1"/>
  <c r="AD143" i="14" s="1"/>
  <c r="AB143" i="15" s="1"/>
  <c r="AD143" i="15" s="1"/>
  <c r="AB143" i="16" s="1"/>
  <c r="AD143" i="16"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K10" i="18" s="1"/>
  <c r="AD150" i="5"/>
  <c r="AB150" i="6" s="1"/>
  <c r="AD150" i="6" s="1"/>
  <c r="AB150" i="7" s="1"/>
  <c r="AD150" i="7" s="1"/>
  <c r="AB150" i="8" s="1"/>
  <c r="AD150" i="8" s="1"/>
  <c r="AB150" i="9" s="1"/>
  <c r="AD150" i="9" s="1"/>
  <c r="AB150" i="10" s="1"/>
  <c r="AD150" i="10" s="1"/>
  <c r="AB150" i="11" s="1"/>
  <c r="AD150" i="11" s="1"/>
  <c r="AB150" i="12" s="1"/>
  <c r="AD150" i="12" s="1"/>
  <c r="AB150" i="13" s="1"/>
  <c r="AD150" i="13" s="1"/>
  <c r="AB150" i="14" s="1"/>
  <c r="AD150" i="14" s="1"/>
  <c r="AB150" i="15" s="1"/>
  <c r="AD150" i="15" s="1"/>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D152" i="5"/>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L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D162" i="5"/>
  <c r="AB162" i="6" s="1"/>
  <c r="AD162" i="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B165" i="16" s="1"/>
  <c r="AD165" i="16"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7" i="6" s="1"/>
  <c r="AB167" i="7" s="1"/>
  <c r="AD167" i="7" s="1"/>
  <c r="AB167" i="8" s="1"/>
  <c r="AD167" i="8" s="1"/>
  <c r="AB167" i="9" s="1"/>
  <c r="AD167" i="9" s="1"/>
  <c r="AB167" i="10" s="1"/>
  <c r="AD167" i="10" s="1"/>
  <c r="AB167" i="11" s="1"/>
  <c r="AD167" i="11" s="1"/>
  <c r="AB167" i="12" s="1"/>
  <c r="AD167" i="12" s="1"/>
  <c r="AB167" i="13" s="1"/>
  <c r="AD167" i="13" s="1"/>
  <c r="AB167" i="14" s="1"/>
  <c r="AD167" i="14" s="1"/>
  <c r="AB167" i="15" s="1"/>
  <c r="AD167" i="15" s="1"/>
  <c r="AB167" i="16" s="1"/>
  <c r="AD167" i="16" s="1"/>
  <c r="AD168" i="5"/>
  <c r="AB168" i="6" s="1"/>
  <c r="AD168" i="6" s="1"/>
  <c r="AB168" i="7" s="1"/>
  <c r="AD168" i="7" s="1"/>
  <c r="AB168" i="8" s="1"/>
  <c r="AD168" i="8" s="1"/>
  <c r="AB168" i="9" s="1"/>
  <c r="AD168" i="9" s="1"/>
  <c r="AB168" i="10" s="1"/>
  <c r="AD168" i="10" s="1"/>
  <c r="AB168" i="11" s="1"/>
  <c r="AD168" i="11" s="1"/>
  <c r="AB168" i="12" s="1"/>
  <c r="AD173" i="5"/>
  <c r="AB173" i="6" s="1"/>
  <c r="AD173" i="6" s="1"/>
  <c r="AB173" i="7" s="1"/>
  <c r="AD173" i="7" s="1"/>
  <c r="AB173" i="8" s="1"/>
  <c r="AD173" i="8" s="1"/>
  <c r="AB173" i="9" s="1"/>
  <c r="AD173" i="9" s="1"/>
  <c r="AB173" i="10" s="1"/>
  <c r="AD173" i="10" s="1"/>
  <c r="AB173" i="11" s="1"/>
  <c r="AD173" i="11" s="1"/>
  <c r="AB173" i="12" s="1"/>
  <c r="AD174" i="5"/>
  <c r="AB174" i="6" s="1"/>
  <c r="AD174" i="6" s="1"/>
  <c r="AB174" i="7" s="1"/>
  <c r="AD174" i="7" s="1"/>
  <c r="AB174" i="8" s="1"/>
  <c r="AD174" i="8" s="1"/>
  <c r="AB174" i="9" s="1"/>
  <c r="AD174" i="9" s="1"/>
  <c r="AB174" i="10" s="1"/>
  <c r="AD174" i="10" s="1"/>
  <c r="AB174" i="11" s="1"/>
  <c r="AD174" i="11" s="1"/>
  <c r="AB174" i="12" s="1"/>
  <c r="AD174" i="12" s="1"/>
  <c r="AB174" i="13" s="1"/>
  <c r="AD174" i="13" s="1"/>
  <c r="AB174" i="14" s="1"/>
  <c r="AD177" i="5"/>
  <c r="AB177" i="6" s="1"/>
  <c r="AD177" i="6" s="1"/>
  <c r="AB177" i="7" s="1"/>
  <c r="AD177" i="7" s="1"/>
  <c r="AB177" i="8" s="1"/>
  <c r="AD177" i="8" s="1"/>
  <c r="AB177" i="9" s="1"/>
  <c r="AD177" i="9" s="1"/>
  <c r="AB177" i="10" s="1"/>
  <c r="AD177" i="10" s="1"/>
  <c r="AB177" i="11" s="1"/>
  <c r="AD177" i="11" s="1"/>
  <c r="AB177" i="12" s="1"/>
  <c r="AD177" i="12" s="1"/>
  <c r="AB177" i="13" s="1"/>
  <c r="AD177" i="13" s="1"/>
  <c r="AB177" i="14" s="1"/>
  <c r="AD177" i="14" s="1"/>
  <c r="AB177" i="15" s="1"/>
  <c r="AD177" i="15" s="1"/>
  <c r="AD178" i="5"/>
  <c r="AB178" i="6" s="1"/>
  <c r="AD178" i="6" s="1"/>
  <c r="AB178" i="7" s="1"/>
  <c r="AD178" i="7"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0" i="6" s="1"/>
  <c r="AB180" i="7" s="1"/>
  <c r="AD180" i="7" s="1"/>
  <c r="AB180" i="8" s="1"/>
  <c r="AD180" i="8" s="1"/>
  <c r="AB180" i="9" s="1"/>
  <c r="AD180" i="9" s="1"/>
  <c r="AB180" i="10" s="1"/>
  <c r="AD180" i="10" s="1"/>
  <c r="AB180" i="11" s="1"/>
  <c r="AD180" i="11" s="1"/>
  <c r="AB180" i="12" s="1"/>
  <c r="AD180" i="12" s="1"/>
  <c r="AB180" i="13" s="1"/>
  <c r="AD180" i="13" s="1"/>
  <c r="AB180" i="14" s="1"/>
  <c r="AD180" i="14" s="1"/>
  <c r="AB180" i="15" s="1"/>
  <c r="AD180" i="15" s="1"/>
  <c r="AB180" i="16" s="1"/>
  <c r="AD180" i="16" s="1"/>
  <c r="AD181" i="5"/>
  <c r="AB181" i="6" s="1"/>
  <c r="AD181" i="6" s="1"/>
  <c r="AB181" i="7" s="1"/>
  <c r="AD181" i="7" s="1"/>
  <c r="AB181" i="8" s="1"/>
  <c r="AD181" i="8" s="1"/>
  <c r="AB181" i="9" s="1"/>
  <c r="AD181" i="9" s="1"/>
  <c r="AB181" i="10" s="1"/>
  <c r="AD181" i="10" s="1"/>
  <c r="AB181" i="11" s="1"/>
  <c r="AD181" i="11" s="1"/>
  <c r="AB181" i="12" s="1"/>
  <c r="AD181" i="12" s="1"/>
  <c r="AB181" i="13" s="1"/>
  <c r="AD181" i="13" s="1"/>
  <c r="AB181" i="14" s="1"/>
  <c r="AD181" i="14"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B188" i="9" s="1"/>
  <c r="AD188" i="9" s="1"/>
  <c r="AB188" i="10" s="1"/>
  <c r="AD188" i="10" s="1"/>
  <c r="AB188" i="11" s="1"/>
  <c r="AD188" i="11" s="1"/>
  <c r="AB188" i="12" s="1"/>
  <c r="AD188" i="12" s="1"/>
  <c r="AB188" i="13" s="1"/>
  <c r="AD188" i="13" s="1"/>
  <c r="AB188" i="14"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D196" i="5"/>
  <c r="AB196" i="6" s="1"/>
  <c r="AD196" i="6" s="1"/>
  <c r="AB196" i="7" s="1"/>
  <c r="AD196" i="7" s="1"/>
  <c r="AB196" i="8" s="1"/>
  <c r="AD196" i="8" s="1"/>
  <c r="AB196" i="9" s="1"/>
  <c r="AD196" i="9" s="1"/>
  <c r="AB196" i="10" s="1"/>
  <c r="AD196" i="10" s="1"/>
  <c r="AB196" i="11" s="1"/>
  <c r="AD196" i="11" s="1"/>
  <c r="AB196" i="12" s="1"/>
  <c r="AD196" i="12" s="1"/>
  <c r="AB196" i="13" s="1"/>
  <c r="AD196" i="13" s="1"/>
  <c r="AB196" i="14" s="1"/>
  <c r="AD196" i="14" s="1"/>
  <c r="AB196" i="15" s="1"/>
  <c r="AD196" i="15" s="1"/>
  <c r="AD197" i="5"/>
  <c r="AB197" i="6" s="1"/>
  <c r="AD197" i="6" s="1"/>
  <c r="AB197" i="7" s="1"/>
  <c r="AD197" i="7" s="1"/>
  <c r="AB197" i="8" s="1"/>
  <c r="AD197" i="8" s="1"/>
  <c r="AB197" i="9" s="1"/>
  <c r="AD197" i="9" s="1"/>
  <c r="AB197" i="10" s="1"/>
  <c r="AD197" i="10" s="1"/>
  <c r="AB197" i="11" s="1"/>
  <c r="AD197" i="11" s="1"/>
  <c r="AB197" i="12" s="1"/>
  <c r="AD197" i="12" s="1"/>
  <c r="AB197" i="13" s="1"/>
  <c r="AD197" i="13" s="1"/>
  <c r="AB197" i="14" s="1"/>
  <c r="AD197" i="14" s="1"/>
  <c r="AB197" i="15" s="1"/>
  <c r="AD197" i="15" s="1"/>
  <c r="AB197" i="16" s="1"/>
  <c r="AD197" i="16" s="1"/>
  <c r="AD198" i="5"/>
  <c r="AB198" i="6" s="1"/>
  <c r="AD198" i="6"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B201" i="6"/>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B202" i="16" s="1"/>
  <c r="AD202" i="16" s="1"/>
  <c r="AD204" i="5"/>
  <c r="AD203" i="5" s="1"/>
  <c r="AD205" i="5"/>
  <c r="AB205" i="6" s="1"/>
  <c r="AD205" i="6" s="1"/>
  <c r="AB205" i="7" s="1"/>
  <c r="AD205" i="7" s="1"/>
  <c r="AB205" i="8" s="1"/>
  <c r="AD205" i="8" s="1"/>
  <c r="AB205" i="9" s="1"/>
  <c r="AD205" i="9" s="1"/>
  <c r="AB205" i="10" s="1"/>
  <c r="AD205" i="10"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6" i="5"/>
  <c r="AB216" i="6" s="1"/>
  <c r="AD216" i="6" s="1"/>
  <c r="AB216" i="7" s="1"/>
  <c r="AD216" i="7" s="1"/>
  <c r="AB216" i="8" s="1"/>
  <c r="AD216" i="8" s="1"/>
  <c r="AB216" i="9" s="1"/>
  <c r="AD216" i="9" s="1"/>
  <c r="AB216" i="10" s="1"/>
  <c r="AD216" i="10" s="1"/>
  <c r="AB216" i="11" s="1"/>
  <c r="AD216" i="11" s="1"/>
  <c r="AB216" i="12" s="1"/>
  <c r="AD216" i="12" s="1"/>
  <c r="AB216" i="13" s="1"/>
  <c r="AD216" i="13" s="1"/>
  <c r="AB216" i="14" s="1"/>
  <c r="AD216" i="14" s="1"/>
  <c r="AB216" i="15" s="1"/>
  <c r="AD216" i="15"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3" i="8" s="1"/>
  <c r="AB223" i="9" s="1"/>
  <c r="AD223" i="9" s="1"/>
  <c r="AB223" i="10" s="1"/>
  <c r="AD223" i="10" s="1"/>
  <c r="AB223" i="11" s="1"/>
  <c r="AD223" i="11" s="1"/>
  <c r="AB223" i="12"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c r="AD228" i="6" s="1"/>
  <c r="AB228" i="7" s="1"/>
  <c r="AD228" i="7" s="1"/>
  <c r="AB228" i="8" s="1"/>
  <c r="AD228" i="8" s="1"/>
  <c r="AB228" i="9" s="1"/>
  <c r="AD228" i="9" s="1"/>
  <c r="AD229" i="5"/>
  <c r="AB229" i="6"/>
  <c r="AD229" i="6" s="1"/>
  <c r="AB229" i="7" s="1"/>
  <c r="AD229" i="7" s="1"/>
  <c r="AB229" i="8" s="1"/>
  <c r="AD229" i="8" s="1"/>
  <c r="AB229" i="9" s="1"/>
  <c r="AD229" i="9" s="1"/>
  <c r="AB229" i="10" s="1"/>
  <c r="AD229" i="10" s="1"/>
  <c r="AB229" i="11" s="1"/>
  <c r="AD229" i="11" s="1"/>
  <c r="AB229" i="12" s="1"/>
  <c r="AD229" i="12"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8" i="8" s="1"/>
  <c r="AB238" i="9" s="1"/>
  <c r="AD238" i="9" s="1"/>
  <c r="AB238" i="10" s="1"/>
  <c r="AD238" i="10" s="1"/>
  <c r="AB238" i="11" s="1"/>
  <c r="AD238" i="11" s="1"/>
  <c r="AB238" i="12" s="1"/>
  <c r="AD238" i="12" s="1"/>
  <c r="AB238" i="13" s="1"/>
  <c r="AD238" i="13" s="1"/>
  <c r="AB238" i="14" s="1"/>
  <c r="AD238" i="14" s="1"/>
  <c r="AB238" i="15" s="1"/>
  <c r="AD238" i="15" s="1"/>
  <c r="AB238" i="16" s="1"/>
  <c r="AD238" i="16" s="1"/>
  <c r="AD239" i="5"/>
  <c r="AB239" i="6"/>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B244" i="6" s="1"/>
  <c r="AD244" i="6" s="1"/>
  <c r="AB244" i="7" s="1"/>
  <c r="AD244" i="7" s="1"/>
  <c r="AB244" i="8" s="1"/>
  <c r="AD244" i="8" s="1"/>
  <c r="AB244" i="9" s="1"/>
  <c r="AD244" i="9" s="1"/>
  <c r="AB244" i="10" s="1"/>
  <c r="AD244" i="10" s="1"/>
  <c r="AB244" i="11" s="1"/>
  <c r="AD244" i="11" s="1"/>
  <c r="AB244" i="12" s="1"/>
  <c r="AD244" i="12" s="1"/>
  <c r="AB244" i="13" s="1"/>
  <c r="AD244" i="13" s="1"/>
  <c r="AB244" i="14" s="1"/>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D27" i="16"/>
  <c r="AD30" i="16"/>
  <c r="AD48" i="16"/>
  <c r="AG17" i="5"/>
  <c r="AE17" i="6" s="1"/>
  <c r="AG17" i="6"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E22" i="10" s="1"/>
  <c r="AG22" i="10" s="1"/>
  <c r="AE22" i="11" s="1"/>
  <c r="AG22" i="11" s="1"/>
  <c r="AE22" i="12" s="1"/>
  <c r="AG22" i="12" s="1"/>
  <c r="AG23" i="5"/>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E26" i="9" s="1"/>
  <c r="AG26" i="9" s="1"/>
  <c r="AE26" i="10" s="1"/>
  <c r="AG26" i="10" s="1"/>
  <c r="AE26" i="11" s="1"/>
  <c r="AG26" i="11" s="1"/>
  <c r="AE26" i="12" s="1"/>
  <c r="AG26" i="12" s="1"/>
  <c r="AE26" i="13" s="1"/>
  <c r="AG26" i="13" s="1"/>
  <c r="AG27" i="5"/>
  <c r="AE27" i="6" s="1"/>
  <c r="AG27" i="6" s="1"/>
  <c r="AE27" i="7" s="1"/>
  <c r="AG27" i="7" s="1"/>
  <c r="AE27" i="8" s="1"/>
  <c r="AG27" i="8" s="1"/>
  <c r="AE27" i="9" s="1"/>
  <c r="AG27" i="9" s="1"/>
  <c r="AE27" i="10" s="1"/>
  <c r="AG27" i="10" s="1"/>
  <c r="AE27" i="11" s="1"/>
  <c r="AG27" i="11" s="1"/>
  <c r="AE27" i="12" s="1"/>
  <c r="AG27" i="12" s="1"/>
  <c r="AE27" i="13" s="1"/>
  <c r="AG27" i="13"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E30" i="9" s="1"/>
  <c r="AG30" i="9" s="1"/>
  <c r="AE30" i="10" s="1"/>
  <c r="AG30" i="10" s="1"/>
  <c r="AE30" i="11" s="1"/>
  <c r="AG30" i="11" s="1"/>
  <c r="AE30" i="12" s="1"/>
  <c r="AG30" i="12" s="1"/>
  <c r="AE30" i="13" s="1"/>
  <c r="AG30" i="13" s="1"/>
  <c r="AG31" i="5"/>
  <c r="AE31" i="6" s="1"/>
  <c r="AG31" i="6" s="1"/>
  <c r="AE31" i="7" s="1"/>
  <c r="AG31" i="7"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E36" i="9" s="1"/>
  <c r="AG36" i="9" s="1"/>
  <c r="AE36" i="10" s="1"/>
  <c r="AG36" i="10" s="1"/>
  <c r="AE36" i="11" s="1"/>
  <c r="AG36" i="11" s="1"/>
  <c r="AE36" i="12" s="1"/>
  <c r="AG36" i="12" s="1"/>
  <c r="AE36" i="13" s="1"/>
  <c r="AG36" i="13" s="1"/>
  <c r="AE36" i="14" s="1"/>
  <c r="AG36" i="14"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G38" i="5"/>
  <c r="AE38" i="6"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E39" i="15" s="1"/>
  <c r="AG39" i="15" s="1"/>
  <c r="AE39" i="16" s="1"/>
  <c r="AG39" i="16" s="1"/>
  <c r="AG40" i="5"/>
  <c r="AE40" i="6" s="1"/>
  <c r="AG40" i="6" s="1"/>
  <c r="AE40" i="7" s="1"/>
  <c r="AG40" i="7" s="1"/>
  <c r="AE40" i="8" s="1"/>
  <c r="AG40" i="8" s="1"/>
  <c r="AE40" i="9" s="1"/>
  <c r="AG40" i="9" s="1"/>
  <c r="AE40" i="10" s="1"/>
  <c r="AG40" i="10" s="1"/>
  <c r="AE40" i="11" s="1"/>
  <c r="AG40" i="11" s="1"/>
  <c r="AE40" i="12" s="1"/>
  <c r="AG40" i="12" s="1"/>
  <c r="AE40" i="13" s="1"/>
  <c r="AG40" i="13" s="1"/>
  <c r="AG41" i="5"/>
  <c r="AE41" i="6" s="1"/>
  <c r="AG41" i="6" s="1"/>
  <c r="AE41" i="7" s="1"/>
  <c r="AG41" i="7" s="1"/>
  <c r="AE41" i="8" s="1"/>
  <c r="AG41" i="8" s="1"/>
  <c r="AE41" i="9" s="1"/>
  <c r="AG41" i="9" s="1"/>
  <c r="AE41" i="10" s="1"/>
  <c r="AG41" i="10" s="1"/>
  <c r="AE41" i="11" s="1"/>
  <c r="AG41" i="11" s="1"/>
  <c r="AE41" i="12" s="1"/>
  <c r="AG41" i="12" s="1"/>
  <c r="AE41" i="13" s="1"/>
  <c r="AG41" i="13" s="1"/>
  <c r="AG45" i="5"/>
  <c r="AE45" i="6" s="1"/>
  <c r="AG46" i="5"/>
  <c r="AE46" i="6" s="1"/>
  <c r="AG46" i="6" s="1"/>
  <c r="AE46" i="7" s="1"/>
  <c r="AG46" i="7" s="1"/>
  <c r="AE46" i="8" s="1"/>
  <c r="AG46" i="8" s="1"/>
  <c r="AE46" i="9" s="1"/>
  <c r="AG46" i="9" s="1"/>
  <c r="AE46" i="10" s="1"/>
  <c r="AG46" i="10" s="1"/>
  <c r="AE46" i="11" s="1"/>
  <c r="AG46" i="11" s="1"/>
  <c r="AG47" i="5"/>
  <c r="AE47" i="6"/>
  <c r="AG47" i="6" s="1"/>
  <c r="AE47" i="7" s="1"/>
  <c r="AG47" i="7" s="1"/>
  <c r="AE47" i="8" s="1"/>
  <c r="AG47" i="8" s="1"/>
  <c r="AE47" i="9" s="1"/>
  <c r="AG47" i="9" s="1"/>
  <c r="AE47" i="10" s="1"/>
  <c r="AG47" i="10" s="1"/>
  <c r="AE47" i="11" s="1"/>
  <c r="AG47" i="11" s="1"/>
  <c r="AE47" i="12" s="1"/>
  <c r="AG47" i="12" s="1"/>
  <c r="AE47" i="13" s="1"/>
  <c r="AG47" i="13" s="1"/>
  <c r="AE47" i="14" s="1"/>
  <c r="AG47" i="14" s="1"/>
  <c r="AE47" i="15" s="1"/>
  <c r="AG47" i="15" s="1"/>
  <c r="AG48" i="5"/>
  <c r="AE48" i="6" s="1"/>
  <c r="AG48" i="6" s="1"/>
  <c r="AE48" i="7" s="1"/>
  <c r="AG48" i="7" s="1"/>
  <c r="AE48" i="8" s="1"/>
  <c r="AG48" i="8" s="1"/>
  <c r="AE48" i="9" s="1"/>
  <c r="AG48" i="9" s="1"/>
  <c r="AE48" i="10" s="1"/>
  <c r="AG48" i="10" s="1"/>
  <c r="AE48" i="11" s="1"/>
  <c r="AG48" i="11" s="1"/>
  <c r="AE48" i="12" s="1"/>
  <c r="AG48" i="12" s="1"/>
  <c r="AE48" i="13" s="1"/>
  <c r="AG48" i="13" s="1"/>
  <c r="AG50" i="5"/>
  <c r="AE50" i="6" s="1"/>
  <c r="AG50" i="6" s="1"/>
  <c r="AE50" i="7" s="1"/>
  <c r="AG50" i="7" s="1"/>
  <c r="AE50" i="8" s="1"/>
  <c r="AG50" i="8" s="1"/>
  <c r="AE50" i="9" s="1"/>
  <c r="AG50" i="9" s="1"/>
  <c r="AE50" i="10" s="1"/>
  <c r="AG50" i="10" s="1"/>
  <c r="AE50" i="11" s="1"/>
  <c r="AG51" i="5"/>
  <c r="AE51" i="6" s="1"/>
  <c r="AG51" i="6" s="1"/>
  <c r="AE51" i="7" s="1"/>
  <c r="AG51" i="7" s="1"/>
  <c r="AE51" i="8" s="1"/>
  <c r="AG51" i="8" s="1"/>
  <c r="AE51" i="9" s="1"/>
  <c r="AG51" i="9" s="1"/>
  <c r="AE51" i="10" s="1"/>
  <c r="AG51" i="10" s="1"/>
  <c r="AE51" i="11" s="1"/>
  <c r="AG51" i="11" s="1"/>
  <c r="AE51" i="12" s="1"/>
  <c r="AG51" i="12" s="1"/>
  <c r="AE51" i="13" s="1"/>
  <c r="AG51" i="13" s="1"/>
  <c r="AE51" i="14" s="1"/>
  <c r="AG51" i="14" s="1"/>
  <c r="AG52" i="5"/>
  <c r="AG53" i="5"/>
  <c r="AE53" i="6"/>
  <c r="AG53" i="6" s="1"/>
  <c r="AE53" i="7" s="1"/>
  <c r="AG53" i="7" s="1"/>
  <c r="AE53" i="8" s="1"/>
  <c r="AG53" i="8" s="1"/>
  <c r="AE53" i="9" s="1"/>
  <c r="AG53" i="9" s="1"/>
  <c r="AE53" i="10" s="1"/>
  <c r="AG53" i="10" s="1"/>
  <c r="AE53" i="11" s="1"/>
  <c r="AG53" i="11" s="1"/>
  <c r="AG54" i="5"/>
  <c r="AE54" i="6"/>
  <c r="AG54" i="6" s="1"/>
  <c r="AE54" i="7" s="1"/>
  <c r="AG54" i="7" s="1"/>
  <c r="AE54" i="8" s="1"/>
  <c r="AG54" i="8" s="1"/>
  <c r="AE54" i="9" s="1"/>
  <c r="AG54" i="9" s="1"/>
  <c r="AE54" i="10" s="1"/>
  <c r="AG54" i="10" s="1"/>
  <c r="AE54" i="11" s="1"/>
  <c r="AG54" i="11" s="1"/>
  <c r="AE54" i="12" s="1"/>
  <c r="AG55" i="5"/>
  <c r="AE55" i="6"/>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59" i="8" s="1"/>
  <c r="AE59" i="9" s="1"/>
  <c r="AG59" i="9" s="1"/>
  <c r="AE59" i="10" s="1"/>
  <c r="AG59" i="10" s="1"/>
  <c r="AE59" i="11" s="1"/>
  <c r="AG59" i="11" s="1"/>
  <c r="AE59" i="12" s="1"/>
  <c r="AG59" i="12" s="1"/>
  <c r="AE59" i="13" s="1"/>
  <c r="AG59" i="13" s="1"/>
  <c r="AE59" i="14" s="1"/>
  <c r="AG59" i="14" s="1"/>
  <c r="AE59" i="15" s="1"/>
  <c r="AG59" i="15" s="1"/>
  <c r="AE59" i="16" s="1"/>
  <c r="AG59" i="16"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G68" i="5"/>
  <c r="AE68" i="6" s="1"/>
  <c r="AG68" i="6" s="1"/>
  <c r="AE68" i="7" s="1"/>
  <c r="AG68" i="7" s="1"/>
  <c r="AE68" i="8" s="1"/>
  <c r="AG68" i="8" s="1"/>
  <c r="AE68" i="9" s="1"/>
  <c r="AG68" i="9" s="1"/>
  <c r="AE68" i="10" s="1"/>
  <c r="AG68" i="10" s="1"/>
  <c r="AE68" i="11" s="1"/>
  <c r="AG68" i="11" s="1"/>
  <c r="AE68" i="12" s="1"/>
  <c r="AG68" i="12" s="1"/>
  <c r="AE68" i="13" s="1"/>
  <c r="AG68" i="13" s="1"/>
  <c r="AG70" i="5"/>
  <c r="AE70" i="6" s="1"/>
  <c r="AG70" i="6" s="1"/>
  <c r="AE70" i="7" s="1"/>
  <c r="AG70" i="7" s="1"/>
  <c r="AE70" i="8" s="1"/>
  <c r="AG70" i="8" s="1"/>
  <c r="AE70" i="9" s="1"/>
  <c r="AG70" i="9" s="1"/>
  <c r="AE70" i="10" s="1"/>
  <c r="AG70" i="10" s="1"/>
  <c r="AE70" i="11" s="1"/>
  <c r="AG70" i="11" s="1"/>
  <c r="AE70" i="12" s="1"/>
  <c r="AG70" i="12" s="1"/>
  <c r="AE70" i="13" s="1"/>
  <c r="AG70" i="13" s="1"/>
  <c r="AE70" i="14" s="1"/>
  <c r="AG70" i="14" s="1"/>
  <c r="AG71" i="5"/>
  <c r="AE71" i="6" s="1"/>
  <c r="AG71" i="6" s="1"/>
  <c r="AE71" i="7" s="1"/>
  <c r="AG71" i="7" s="1"/>
  <c r="AE71" i="8" s="1"/>
  <c r="AG71" i="8" s="1"/>
  <c r="AE71" i="9" s="1"/>
  <c r="AG71" i="9" s="1"/>
  <c r="AE71" i="10" s="1"/>
  <c r="AG71" i="10" s="1"/>
  <c r="AE71" i="11" s="1"/>
  <c r="AG71" i="11" s="1"/>
  <c r="AE71" i="12" s="1"/>
  <c r="AG71" i="12" s="1"/>
  <c r="AE71" i="13" s="1"/>
  <c r="AG71" i="13" s="1"/>
  <c r="AG72" i="5"/>
  <c r="AG73" i="5"/>
  <c r="AE73" i="6" s="1"/>
  <c r="AG73" i="6" s="1"/>
  <c r="AE73" i="7" s="1"/>
  <c r="AG73" i="7" s="1"/>
  <c r="AE73" i="8" s="1"/>
  <c r="AG73" i="8" s="1"/>
  <c r="AE73" i="9" s="1"/>
  <c r="AG73" i="9" s="1"/>
  <c r="AE73" i="10" s="1"/>
  <c r="AG73" i="10" s="1"/>
  <c r="AE73" i="11" s="1"/>
  <c r="AG73" i="11" s="1"/>
  <c r="AE73" i="12" s="1"/>
  <c r="AG73" i="12" s="1"/>
  <c r="AE73" i="13" s="1"/>
  <c r="AG73" i="13" s="1"/>
  <c r="AG74" i="5"/>
  <c r="AE74" i="6" s="1"/>
  <c r="AG74" i="6" s="1"/>
  <c r="AE74" i="7" s="1"/>
  <c r="AG74" i="7" s="1"/>
  <c r="AE74" i="8" s="1"/>
  <c r="AG74" i="8" s="1"/>
  <c r="AE74" i="9" s="1"/>
  <c r="AG74" i="9" s="1"/>
  <c r="AE74" i="10" s="1"/>
  <c r="AG74" i="10" s="1"/>
  <c r="AE74" i="11" s="1"/>
  <c r="AG74" i="11"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G77" i="5"/>
  <c r="AE77" i="6"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G80" i="5"/>
  <c r="AE80" i="6" s="1"/>
  <c r="AG80" i="6"/>
  <c r="AE80" i="7" s="1"/>
  <c r="AG80" i="7" s="1"/>
  <c r="AE80" i="8" s="1"/>
  <c r="AG80" i="8" s="1"/>
  <c r="AE80" i="9" s="1"/>
  <c r="AG80" i="9" s="1"/>
  <c r="AE80" i="10" s="1"/>
  <c r="AG80" i="10" s="1"/>
  <c r="AE80" i="11" s="1"/>
  <c r="AG80" i="11" s="1"/>
  <c r="AE80" i="12" s="1"/>
  <c r="AG80" i="12" s="1"/>
  <c r="AE80" i="13" s="1"/>
  <c r="AG80" i="13" s="1"/>
  <c r="AE80" i="14" s="1"/>
  <c r="AG80" i="14" s="1"/>
  <c r="AG81" i="5"/>
  <c r="AG84" i="5"/>
  <c r="AE84" i="6" s="1"/>
  <c r="AG84" i="6" s="1"/>
  <c r="AE84" i="7" s="1"/>
  <c r="AG84" i="7" s="1"/>
  <c r="AE84" i="8" s="1"/>
  <c r="AG84" i="8" s="1"/>
  <c r="AE84" i="9" s="1"/>
  <c r="AG84" i="9" s="1"/>
  <c r="AE84" i="10" s="1"/>
  <c r="AG84" i="10" s="1"/>
  <c r="AE84" i="11" s="1"/>
  <c r="AG84" i="11" s="1"/>
  <c r="AE84" i="12" s="1"/>
  <c r="AG85" i="5"/>
  <c r="AE85" i="6" s="1"/>
  <c r="AG85" i="6" s="1"/>
  <c r="AE85" i="7" s="1"/>
  <c r="AG85" i="7" s="1"/>
  <c r="AE85" i="8" s="1"/>
  <c r="AG85" i="8" s="1"/>
  <c r="AE85" i="9" s="1"/>
  <c r="AG85" i="9" s="1"/>
  <c r="AE85" i="10" s="1"/>
  <c r="AG85" i="10" s="1"/>
  <c r="AE85" i="11" s="1"/>
  <c r="AG85" i="11" s="1"/>
  <c r="AE85" i="12" s="1"/>
  <c r="AG85" i="12" s="1"/>
  <c r="AE85" i="13" s="1"/>
  <c r="AG85" i="13" s="1"/>
  <c r="AE85" i="14" s="1"/>
  <c r="AG85" i="14" s="1"/>
  <c r="AE85" i="15" s="1"/>
  <c r="AG85" i="15" s="1"/>
  <c r="AG86" i="5"/>
  <c r="AE86" i="6" s="1"/>
  <c r="AG86" i="6" s="1"/>
  <c r="AE86" i="7" s="1"/>
  <c r="AG86" i="7" s="1"/>
  <c r="AG87" i="5"/>
  <c r="AE87" i="6"/>
  <c r="AG87" i="6" s="1"/>
  <c r="AE87" i="7" s="1"/>
  <c r="AG87" i="7" s="1"/>
  <c r="AE87" i="8" s="1"/>
  <c r="AG87" i="8" s="1"/>
  <c r="AE87" i="9" s="1"/>
  <c r="AG87" i="9" s="1"/>
  <c r="AE87" i="10" s="1"/>
  <c r="AG87" i="10" s="1"/>
  <c r="AE87" i="11" s="1"/>
  <c r="AG87" i="11" s="1"/>
  <c r="AE87" i="12" s="1"/>
  <c r="AG87" i="12" s="1"/>
  <c r="AE87" i="13" s="1"/>
  <c r="AG87" i="13" s="1"/>
  <c r="AE87" i="14" s="1"/>
  <c r="AG87" i="14" s="1"/>
  <c r="AG88" i="5"/>
  <c r="AE88" i="6" s="1"/>
  <c r="AG88" i="6" s="1"/>
  <c r="AE88" i="7" s="1"/>
  <c r="AG88" i="7" s="1"/>
  <c r="AE88" i="8" s="1"/>
  <c r="AG88" i="8" s="1"/>
  <c r="AE88" i="9" s="1"/>
  <c r="AG88" i="9" s="1"/>
  <c r="AE88" i="10" s="1"/>
  <c r="AG88" i="10" s="1"/>
  <c r="AE88" i="11" s="1"/>
  <c r="AG88" i="11" s="1"/>
  <c r="AE88" i="12" s="1"/>
  <c r="AG88" i="12" s="1"/>
  <c r="AE88" i="13" s="1"/>
  <c r="AG88" i="13" s="1"/>
  <c r="AG92" i="5"/>
  <c r="AG93" i="5"/>
  <c r="AE93" i="6" s="1"/>
  <c r="AG93" i="6" s="1"/>
  <c r="AE93" i="7" s="1"/>
  <c r="AG93" i="7" s="1"/>
  <c r="AE93" i="8" s="1"/>
  <c r="AG93" i="8" s="1"/>
  <c r="AE93" i="9" s="1"/>
  <c r="AG93" i="9" s="1"/>
  <c r="AE93" i="10" s="1"/>
  <c r="AG93" i="10" s="1"/>
  <c r="AE93" i="11" s="1"/>
  <c r="AG93" i="11" s="1"/>
  <c r="AE93" i="12" s="1"/>
  <c r="AG93" i="12" s="1"/>
  <c r="AE93" i="13" s="1"/>
  <c r="AG93" i="13" s="1"/>
  <c r="AE93" i="14" s="1"/>
  <c r="AG93" i="14" s="1"/>
  <c r="AG94" i="5"/>
  <c r="AE94" i="6" s="1"/>
  <c r="AG94" i="6" s="1"/>
  <c r="AE94" i="7" s="1"/>
  <c r="AG94" i="7" s="1"/>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c r="AE97" i="7" s="1"/>
  <c r="AG98" i="5"/>
  <c r="AE98" i="6"/>
  <c r="AG98" i="6" s="1"/>
  <c r="AE98" i="7" s="1"/>
  <c r="AG98" i="7" s="1"/>
  <c r="AE98" i="8" s="1"/>
  <c r="AG98" i="8" s="1"/>
  <c r="AE98" i="9" s="1"/>
  <c r="AG98" i="9" s="1"/>
  <c r="AE98" i="10" s="1"/>
  <c r="AG98" i="10" s="1"/>
  <c r="AE98" i="11" s="1"/>
  <c r="AG98" i="11" s="1"/>
  <c r="AE98" i="12" s="1"/>
  <c r="AG98" i="12" s="1"/>
  <c r="AE98" i="13" s="1"/>
  <c r="AG98" i="13" s="1"/>
  <c r="AE98" i="14" s="1"/>
  <c r="AG98" i="14" s="1"/>
  <c r="AG99" i="5"/>
  <c r="AE99" i="6"/>
  <c r="AG100" i="5"/>
  <c r="AE100" i="6"/>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E102" i="14" s="1"/>
  <c r="AG102" i="14" s="1"/>
  <c r="AG106" i="5"/>
  <c r="AE106" i="6" s="1"/>
  <c r="AG106" i="6" s="1"/>
  <c r="AE106" i="7" s="1"/>
  <c r="AG106" i="7" s="1"/>
  <c r="AE106" i="8" s="1"/>
  <c r="AG106" i="8" s="1"/>
  <c r="AE106" i="9" s="1"/>
  <c r="AG106" i="9" s="1"/>
  <c r="AE106" i="10" s="1"/>
  <c r="AG106" i="10" s="1"/>
  <c r="AE106" i="11" s="1"/>
  <c r="AG106" i="11"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5" i="8" s="1"/>
  <c r="AE115" i="9" s="1"/>
  <c r="AG115" i="9" s="1"/>
  <c r="AE115" i="10" s="1"/>
  <c r="AG115" i="10" s="1"/>
  <c r="AE115" i="11" s="1"/>
  <c r="AG115" i="11" s="1"/>
  <c r="AE115" i="12" s="1"/>
  <c r="AG115" i="12" s="1"/>
  <c r="AE115" i="13" s="1"/>
  <c r="AG115" i="13" s="1"/>
  <c r="AE115" i="14" s="1"/>
  <c r="AG115" i="14" s="1"/>
  <c r="AG116" i="5"/>
  <c r="AE116" i="6" s="1"/>
  <c r="AG116" i="6" s="1"/>
  <c r="AE116" i="7" s="1"/>
  <c r="AG116" i="7" s="1"/>
  <c r="AG117" i="5"/>
  <c r="AE117" i="6"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E119" i="10" s="1"/>
  <c r="AG119" i="10" s="1"/>
  <c r="AE119" i="11" s="1"/>
  <c r="AG119" i="11" s="1"/>
  <c r="AE119" i="12" s="1"/>
  <c r="AG119" i="12" s="1"/>
  <c r="AE119" i="13" s="1"/>
  <c r="AG119" i="13"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G124" i="5"/>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7" i="11" s="1"/>
  <c r="AE127" i="12" s="1"/>
  <c r="AG127" i="12" s="1"/>
  <c r="AE127" i="13" s="1"/>
  <c r="AG127" i="13" s="1"/>
  <c r="AE127" i="14" s="1"/>
  <c r="AG127" i="14" s="1"/>
  <c r="AE127" i="15" s="1"/>
  <c r="AG127" i="15" s="1"/>
  <c r="AE127" i="16" s="1"/>
  <c r="AG128" i="5"/>
  <c r="AE128" i="6" s="1"/>
  <c r="AG128" i="6" s="1"/>
  <c r="AE128" i="7" s="1"/>
  <c r="AG128" i="7" s="1"/>
  <c r="AE128" i="8" s="1"/>
  <c r="AG128" i="8" s="1"/>
  <c r="AG129" i="5"/>
  <c r="AE129" i="6"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G135" i="5"/>
  <c r="AE135" i="6"/>
  <c r="AG135" i="6" s="1"/>
  <c r="AE135" i="7" s="1"/>
  <c r="AG135" i="7" s="1"/>
  <c r="AG136" i="5"/>
  <c r="AE136" i="6" s="1"/>
  <c r="AG136" i="6" s="1"/>
  <c r="AE136" i="7" s="1"/>
  <c r="AG136" i="7" s="1"/>
  <c r="AE136" i="8" s="1"/>
  <c r="AG136" i="8" s="1"/>
  <c r="AE136" i="9" s="1"/>
  <c r="AG136" i="9" s="1"/>
  <c r="AE136" i="10" s="1"/>
  <c r="AG136" i="10" s="1"/>
  <c r="AE136" i="11" s="1"/>
  <c r="AG136" i="11" s="1"/>
  <c r="AE136" i="12" s="1"/>
  <c r="AG136" i="12" s="1"/>
  <c r="AE136" i="13" s="1"/>
  <c r="AG136" i="13" s="1"/>
  <c r="AE136" i="14" s="1"/>
  <c r="AG136" i="14" s="1"/>
  <c r="AG137" i="5"/>
  <c r="AE137" i="6" s="1"/>
  <c r="AG137" i="6" s="1"/>
  <c r="AE137" i="7" s="1"/>
  <c r="AG137" i="7" s="1"/>
  <c r="AE137" i="8" s="1"/>
  <c r="AG137" i="8" s="1"/>
  <c r="AE137" i="9" s="1"/>
  <c r="AG137" i="9" s="1"/>
  <c r="AE137" i="10" s="1"/>
  <c r="AG137" i="10" s="1"/>
  <c r="AE137" i="11" s="1"/>
  <c r="AG137" i="11" s="1"/>
  <c r="AE137" i="12" s="1"/>
  <c r="AG137" i="12" s="1"/>
  <c r="AE137" i="13" s="1"/>
  <c r="AG137" i="13" s="1"/>
  <c r="AG138" i="5"/>
  <c r="AE138" i="6" s="1"/>
  <c r="AG138" i="6" s="1"/>
  <c r="AE138" i="7" s="1"/>
  <c r="AG138" i="7" s="1"/>
  <c r="AE138" i="8" s="1"/>
  <c r="AG138" i="8" s="1"/>
  <c r="AE138" i="9" s="1"/>
  <c r="AG138" i="9" s="1"/>
  <c r="AE138" i="10" s="1"/>
  <c r="AG138" i="10" s="1"/>
  <c r="AE138" i="11" s="1"/>
  <c r="AG138" i="11" s="1"/>
  <c r="AE138" i="12" s="1"/>
  <c r="AG138" i="12" s="1"/>
  <c r="AE138" i="13" s="1"/>
  <c r="AG138" i="13" s="1"/>
  <c r="AG139" i="5"/>
  <c r="AE139" i="6"/>
  <c r="AG139" i="6" s="1"/>
  <c r="AE139" i="7" s="1"/>
  <c r="AG139" i="7" s="1"/>
  <c r="AE139" i="8" s="1"/>
  <c r="AG139" i="8" s="1"/>
  <c r="AE139" i="9" s="1"/>
  <c r="AG139" i="9" s="1"/>
  <c r="AE139" i="10" s="1"/>
  <c r="AG139" i="10" s="1"/>
  <c r="AE139" i="11" s="1"/>
  <c r="AG139" i="11" s="1"/>
  <c r="AE139" i="12" s="1"/>
  <c r="AG139" i="12" s="1"/>
  <c r="AE139" i="13" s="1"/>
  <c r="AG139" i="13" s="1"/>
  <c r="AE139" i="14" s="1"/>
  <c r="AG139" i="14" s="1"/>
  <c r="AE139" i="15" s="1"/>
  <c r="AG139" i="15" s="1"/>
  <c r="AE139" i="16" s="1"/>
  <c r="AG139" i="16" s="1"/>
  <c r="AG142" i="5"/>
  <c r="AE142" i="6" s="1"/>
  <c r="AG142" i="6" s="1"/>
  <c r="AE142" i="7" s="1"/>
  <c r="AG142" i="7" s="1"/>
  <c r="AE142" i="8" s="1"/>
  <c r="AG142" i="8" s="1"/>
  <c r="AE142" i="9" s="1"/>
  <c r="AG142" i="9" s="1"/>
  <c r="AE142" i="10" s="1"/>
  <c r="AG142" i="10" s="1"/>
  <c r="AE142" i="11" s="1"/>
  <c r="AG142" i="11" s="1"/>
  <c r="AE142" i="12" s="1"/>
  <c r="AG142" i="12" s="1"/>
  <c r="AE142" i="13" s="1"/>
  <c r="AG143" i="5"/>
  <c r="AE143" i="6" s="1"/>
  <c r="AG143" i="6" s="1"/>
  <c r="AE143" i="7" s="1"/>
  <c r="AG148" i="5"/>
  <c r="AE148" i="6" s="1"/>
  <c r="AG148" i="6" s="1"/>
  <c r="AE148" i="7" s="1"/>
  <c r="AG148" i="7" s="1"/>
  <c r="AE148" i="8" s="1"/>
  <c r="AG148" i="8" s="1"/>
  <c r="AE148" i="9" s="1"/>
  <c r="AG148" i="9" s="1"/>
  <c r="AE148" i="10" s="1"/>
  <c r="AG148" i="10" s="1"/>
  <c r="AE148" i="11" s="1"/>
  <c r="AG148" i="11" s="1"/>
  <c r="AE148" i="12" s="1"/>
  <c r="AG148" i="12" s="1"/>
  <c r="AE148" i="13" s="1"/>
  <c r="AG148" i="13"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E150" i="16" s="1"/>
  <c r="AG150" i="16"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2" i="8" s="1"/>
  <c r="AE152" i="9" s="1"/>
  <c r="AG152" i="9" s="1"/>
  <c r="AE152" i="10" s="1"/>
  <c r="AG152" i="10" s="1"/>
  <c r="AE152" i="11" s="1"/>
  <c r="AG152" i="11" s="1"/>
  <c r="AG153" i="5"/>
  <c r="AE153" i="6" s="1"/>
  <c r="AG153" i="6" s="1"/>
  <c r="AE153" i="7" s="1"/>
  <c r="AG153" i="7" s="1"/>
  <c r="AE153" i="8" s="1"/>
  <c r="AG153" i="8" s="1"/>
  <c r="AE153" i="9" s="1"/>
  <c r="AG153" i="9" s="1"/>
  <c r="AE153" i="10" s="1"/>
  <c r="AG153" i="10" s="1"/>
  <c r="AE153" i="11" s="1"/>
  <c r="AG153" i="11" s="1"/>
  <c r="AE153" i="12" s="1"/>
  <c r="AG153" i="12" s="1"/>
  <c r="AE153" i="13" s="1"/>
  <c r="AG156" i="5"/>
  <c r="AE156" i="6" s="1"/>
  <c r="AG156" i="6" s="1"/>
  <c r="AE156" i="7" s="1"/>
  <c r="AG156" i="7" s="1"/>
  <c r="AE156" i="8" s="1"/>
  <c r="AG156" i="8" s="1"/>
  <c r="AE156" i="9" s="1"/>
  <c r="AG156" i="9" s="1"/>
  <c r="AE156" i="10" s="1"/>
  <c r="AG156" i="10" s="1"/>
  <c r="AE156" i="11" s="1"/>
  <c r="AG156" i="11" s="1"/>
  <c r="AE156" i="12" s="1"/>
  <c r="AG156" i="12" s="1"/>
  <c r="AE156" i="13" s="1"/>
  <c r="AG156" i="13" s="1"/>
  <c r="AE156" i="14" s="1"/>
  <c r="AG156" i="14" s="1"/>
  <c r="AG158" i="5"/>
  <c r="AE158" i="6" s="1"/>
  <c r="AG158" i="6" s="1"/>
  <c r="AE158" i="7" s="1"/>
  <c r="AG158" i="7" s="1"/>
  <c r="AE158" i="8" s="1"/>
  <c r="AG158" i="8" s="1"/>
  <c r="AE158" i="9" s="1"/>
  <c r="AG158" i="9" s="1"/>
  <c r="AE158" i="10" s="1"/>
  <c r="AG158" i="10" s="1"/>
  <c r="AE158" i="11" s="1"/>
  <c r="AG158" i="11" s="1"/>
  <c r="AE158" i="12" s="1"/>
  <c r="AG158" i="12" s="1"/>
  <c r="AE158" i="13" s="1"/>
  <c r="AG158" i="13" s="1"/>
  <c r="AE158" i="14" s="1"/>
  <c r="AG158" i="14" s="1"/>
  <c r="AE158" i="15" s="1"/>
  <c r="AG158" i="15" s="1"/>
  <c r="AG159" i="5"/>
  <c r="AE159" i="6"/>
  <c r="AG159" i="6" s="1"/>
  <c r="AE159" i="7" s="1"/>
  <c r="AG159" i="7" s="1"/>
  <c r="AE159" i="8" s="1"/>
  <c r="AG159" i="8" s="1"/>
  <c r="AE159" i="9" s="1"/>
  <c r="AG159" i="9" s="1"/>
  <c r="AE159" i="10" s="1"/>
  <c r="AG159" i="10" s="1"/>
  <c r="AE159" i="11" s="1"/>
  <c r="AG159" i="11" s="1"/>
  <c r="AE159" i="12" s="1"/>
  <c r="AG159" i="12" s="1"/>
  <c r="AE159" i="13" s="1"/>
  <c r="AG159" i="13" s="1"/>
  <c r="AG160" i="5"/>
  <c r="AE160" i="6" s="1"/>
  <c r="AG160" i="6" s="1"/>
  <c r="AE160" i="7" s="1"/>
  <c r="AG160" i="7" s="1"/>
  <c r="AE160" i="8" s="1"/>
  <c r="AG160" i="8" s="1"/>
  <c r="AE160" i="9" s="1"/>
  <c r="AG160" i="9" s="1"/>
  <c r="AE160" i="10" s="1"/>
  <c r="AG160" i="10" s="1"/>
  <c r="AE160" i="11" s="1"/>
  <c r="AG161" i="5"/>
  <c r="AE161" i="6" s="1"/>
  <c r="AG161" i="6" s="1"/>
  <c r="AE161" i="7" s="1"/>
  <c r="AG161" i="7" s="1"/>
  <c r="AE161" i="8" s="1"/>
  <c r="AG161" i="8" s="1"/>
  <c r="AE161" i="9" s="1"/>
  <c r="AG161" i="9" s="1"/>
  <c r="AE161" i="10" s="1"/>
  <c r="AG161" i="10" s="1"/>
  <c r="AE161" i="11" s="1"/>
  <c r="AG161" i="11" s="1"/>
  <c r="AE161" i="12" s="1"/>
  <c r="AG161" i="12" s="1"/>
  <c r="AE161" i="13" s="1"/>
  <c r="AG161" i="13" s="1"/>
  <c r="AE161" i="14" s="1"/>
  <c r="AG161" i="14" s="1"/>
  <c r="AE161" i="15" s="1"/>
  <c r="AG161" i="15" s="1"/>
  <c r="AE161" i="16" s="1"/>
  <c r="AG161" i="16" s="1"/>
  <c r="AG162" i="5"/>
  <c r="AE162" i="6" s="1"/>
  <c r="AG163" i="5"/>
  <c r="AE163" i="6"/>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c r="AG164" i="6" s="1"/>
  <c r="AE164" i="7" s="1"/>
  <c r="AG164" i="7" s="1"/>
  <c r="AE164" i="8" s="1"/>
  <c r="AG164" i="8" s="1"/>
  <c r="AE164" i="9" s="1"/>
  <c r="AG164" i="9" s="1"/>
  <c r="AE164" i="10" s="1"/>
  <c r="AG164" i="10" s="1"/>
  <c r="AE164" i="11" s="1"/>
  <c r="AG164" i="11" s="1"/>
  <c r="AE164" i="12" s="1"/>
  <c r="AG164" i="12" s="1"/>
  <c r="AE164" i="13" s="1"/>
  <c r="AG164" i="13" s="1"/>
  <c r="AE164" i="14" s="1"/>
  <c r="AG164" i="14" s="1"/>
  <c r="AE164" i="15" s="1"/>
  <c r="AG164" i="15" s="1"/>
  <c r="AG165" i="5"/>
  <c r="AE165" i="6"/>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G173" i="5"/>
  <c r="AE173" i="6" s="1"/>
  <c r="AG173" i="6" s="1"/>
  <c r="AE173" i="7" s="1"/>
  <c r="AG173" i="7" s="1"/>
  <c r="AE173" i="8" s="1"/>
  <c r="AG173" i="8" s="1"/>
  <c r="AE173" i="9" s="1"/>
  <c r="AG173" i="9" s="1"/>
  <c r="AE173" i="10" s="1"/>
  <c r="AG173" i="10" s="1"/>
  <c r="AE173" i="11" s="1"/>
  <c r="AG173" i="11" s="1"/>
  <c r="AE173" i="12" s="1"/>
  <c r="AG173" i="12" s="1"/>
  <c r="AE173" i="13" s="1"/>
  <c r="AG173" i="13" s="1"/>
  <c r="AE173" i="14" s="1"/>
  <c r="AG173" i="14" s="1"/>
  <c r="AE173" i="15" s="1"/>
  <c r="AG173" i="15" s="1"/>
  <c r="AE173" i="16" s="1"/>
  <c r="AG173" i="16" s="1"/>
  <c r="AG174" i="5"/>
  <c r="AE174" i="6" s="1"/>
  <c r="AG174" i="6" s="1"/>
  <c r="AE174" i="7" s="1"/>
  <c r="AG174" i="7" s="1"/>
  <c r="AE174" i="8" s="1"/>
  <c r="AG174" i="8" s="1"/>
  <c r="AE174" i="9" s="1"/>
  <c r="AG174" i="9" s="1"/>
  <c r="AE174" i="10" s="1"/>
  <c r="AG174" i="10" s="1"/>
  <c r="AG177" i="5"/>
  <c r="AE177" i="6" s="1"/>
  <c r="AG177" i="6" s="1"/>
  <c r="AE177" i="7" s="1"/>
  <c r="AG177" i="7" s="1"/>
  <c r="AE177" i="8" s="1"/>
  <c r="AG177" i="8" s="1"/>
  <c r="AE177" i="9" s="1"/>
  <c r="AG177" i="9" s="1"/>
  <c r="AE177" i="10" s="1"/>
  <c r="AG177" i="10" s="1"/>
  <c r="AE177" i="11" s="1"/>
  <c r="AG177" i="11" s="1"/>
  <c r="AE177" i="12" s="1"/>
  <c r="AG177" i="12" s="1"/>
  <c r="AG178" i="5"/>
  <c r="AE178" i="6" s="1"/>
  <c r="AG178" i="6" s="1"/>
  <c r="AE178" i="7" s="1"/>
  <c r="AG178" i="7" s="1"/>
  <c r="AE178" i="8" s="1"/>
  <c r="AG178" i="8" s="1"/>
  <c r="AE178" i="9" s="1"/>
  <c r="AG178" i="9" s="1"/>
  <c r="AE178" i="10" s="1"/>
  <c r="AG178" i="10" s="1"/>
  <c r="AE178" i="11" s="1"/>
  <c r="AG178" i="11" s="1"/>
  <c r="AG179" i="5"/>
  <c r="AE179" i="6" s="1"/>
  <c r="AG179" i="6" s="1"/>
  <c r="AE179" i="7" s="1"/>
  <c r="AG179" i="7" s="1"/>
  <c r="AE179" i="8" s="1"/>
  <c r="AG179" i="8" s="1"/>
  <c r="AE179" i="9" s="1"/>
  <c r="AG179" i="9" s="1"/>
  <c r="AE179" i="10" s="1"/>
  <c r="AG179" i="10" s="1"/>
  <c r="AE179" i="11" s="1"/>
  <c r="AG179" i="11" s="1"/>
  <c r="AE179" i="12" s="1"/>
  <c r="AG179" i="12" s="1"/>
  <c r="AE179" i="13" s="1"/>
  <c r="AG179" i="13" s="1"/>
  <c r="AG180" i="5"/>
  <c r="AE180" i="6" s="1"/>
  <c r="AG180" i="6"/>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6" i="5"/>
  <c r="AE186" i="6" s="1"/>
  <c r="AG186" i="6" s="1"/>
  <c r="AE186" i="7" s="1"/>
  <c r="AG188" i="5"/>
  <c r="AE188" i="6" s="1"/>
  <c r="AG188" i="6" s="1"/>
  <c r="AE188" i="7" s="1"/>
  <c r="AG188" i="7" s="1"/>
  <c r="AG189" i="5"/>
  <c r="AE189" i="6" s="1"/>
  <c r="AG189" i="6" s="1"/>
  <c r="AE189" i="7" s="1"/>
  <c r="AG190" i="5"/>
  <c r="AE190" i="6" s="1"/>
  <c r="AG190" i="6" s="1"/>
  <c r="AE190" i="7" s="1"/>
  <c r="AG190" i="7" s="1"/>
  <c r="AG191" i="5"/>
  <c r="AE191" i="6"/>
  <c r="AG191" i="6" s="1"/>
  <c r="AE191" i="7" s="1"/>
  <c r="AG191" i="7" s="1"/>
  <c r="AG196" i="5"/>
  <c r="AE196" i="6" s="1"/>
  <c r="AG196" i="6" s="1"/>
  <c r="AE196" i="7" s="1"/>
  <c r="AG197" i="5"/>
  <c r="AE197" i="6"/>
  <c r="AG197" i="6" s="1"/>
  <c r="AE197" i="7" s="1"/>
  <c r="AG197" i="7" s="1"/>
  <c r="AG198" i="5"/>
  <c r="AG199" i="5"/>
  <c r="AE199" i="6" s="1"/>
  <c r="AG199" i="6" s="1"/>
  <c r="AE199" i="7" s="1"/>
  <c r="AG199" i="7" s="1"/>
  <c r="AG200" i="5"/>
  <c r="AE200" i="6"/>
  <c r="AG200" i="6"/>
  <c r="AE200" i="7" s="1"/>
  <c r="AG200" i="7" s="1"/>
  <c r="AG201" i="5"/>
  <c r="AE201" i="6" s="1"/>
  <c r="AG201" i="6" s="1"/>
  <c r="AE201" i="7" s="1"/>
  <c r="AG201" i="7" s="1"/>
  <c r="AG202" i="5"/>
  <c r="AE202" i="6"/>
  <c r="AG202" i="6" s="1"/>
  <c r="AE202" i="7" s="1"/>
  <c r="AG202" i="7" s="1"/>
  <c r="AG204" i="5"/>
  <c r="AE204" i="6" s="1"/>
  <c r="AG204" i="6" s="1"/>
  <c r="AE204" i="7" s="1"/>
  <c r="AG205" i="5"/>
  <c r="AE205" i="6" s="1"/>
  <c r="AG205" i="6" s="1"/>
  <c r="AE205" i="7" s="1"/>
  <c r="AG205" i="7" s="1"/>
  <c r="AG212" i="5"/>
  <c r="AE212" i="6" s="1"/>
  <c r="AG212" i="6" s="1"/>
  <c r="AE212" i="7" s="1"/>
  <c r="AG213" i="5"/>
  <c r="AE213" i="6" s="1"/>
  <c r="AG214" i="5"/>
  <c r="AE214" i="6"/>
  <c r="AG214" i="6" s="1"/>
  <c r="AE214" i="7" s="1"/>
  <c r="AG214" i="7" s="1"/>
  <c r="AG215" i="5"/>
  <c r="AE215" i="6" s="1"/>
  <c r="AG215" i="6" s="1"/>
  <c r="AE215" i="7" s="1"/>
  <c r="AG215" i="7" s="1"/>
  <c r="AG216" i="5"/>
  <c r="AE216" i="6" s="1"/>
  <c r="AG216" i="6" s="1"/>
  <c r="AE216" i="7" s="1"/>
  <c r="AG216" i="7" s="1"/>
  <c r="AG217" i="5"/>
  <c r="AE217" i="6"/>
  <c r="AG217" i="6" s="1"/>
  <c r="AE217" i="7" s="1"/>
  <c r="AG217" i="7" s="1"/>
  <c r="AG218" i="5"/>
  <c r="AE218" i="6" s="1"/>
  <c r="AG218" i="6" s="1"/>
  <c r="AE218" i="7" s="1"/>
  <c r="AG218" i="7" s="1"/>
  <c r="AE218" i="8" s="1"/>
  <c r="AG218" i="8" s="1"/>
  <c r="AE218" i="9" s="1"/>
  <c r="AG218" i="9" s="1"/>
  <c r="AE218" i="10" s="1"/>
  <c r="AG218" i="10" s="1"/>
  <c r="AG223" i="5"/>
  <c r="AE223" i="6" s="1"/>
  <c r="AG223" i="6" s="1"/>
  <c r="AE223" i="7" s="1"/>
  <c r="AG223" i="7" s="1"/>
  <c r="AG224" i="5"/>
  <c r="AG225" i="5"/>
  <c r="AE225" i="6" s="1"/>
  <c r="AG225" i="6" s="1"/>
  <c r="AE225" i="7" s="1"/>
  <c r="AG225" i="7" s="1"/>
  <c r="AG228" i="5"/>
  <c r="AE228" i="6" s="1"/>
  <c r="AG228" i="6" s="1"/>
  <c r="AE228" i="7" s="1"/>
  <c r="AG228" i="7" s="1"/>
  <c r="AG229" i="5"/>
  <c r="AE229" i="6"/>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c r="AG237" i="6" s="1"/>
  <c r="AE237" i="7" s="1"/>
  <c r="AG238" i="5"/>
  <c r="AE238" i="6" s="1"/>
  <c r="AG238" i="6" s="1"/>
  <c r="AE238" i="7" s="1"/>
  <c r="AG238" i="7" s="1"/>
  <c r="AG239" i="5"/>
  <c r="AE239" i="6" s="1"/>
  <c r="AG239" i="6" s="1"/>
  <c r="AE239" i="7" s="1"/>
  <c r="AG239" i="7" s="1"/>
  <c r="AG240" i="5"/>
  <c r="AE240" i="6"/>
  <c r="AG240" i="6" s="1"/>
  <c r="AE240" i="7" s="1"/>
  <c r="AG240" i="7" s="1"/>
  <c r="AG241" i="5"/>
  <c r="AE241" i="6" s="1"/>
  <c r="AG244" i="5"/>
  <c r="AE244" i="6" s="1"/>
  <c r="AG244" i="6" s="1"/>
  <c r="AE244" i="7" s="1"/>
  <c r="AG245" i="5"/>
  <c r="AE245" i="6" s="1"/>
  <c r="AG246" i="5"/>
  <c r="AE246" i="6" s="1"/>
  <c r="AG246" i="6"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c r="AG252" i="6" s="1"/>
  <c r="AE252" i="7" s="1"/>
  <c r="AG252" i="7" s="1"/>
  <c r="AG253" i="5"/>
  <c r="AE253" i="6"/>
  <c r="AG253" i="6" s="1"/>
  <c r="AE253" i="7" s="1"/>
  <c r="AG253" i="7" s="1"/>
  <c r="AG254" i="5"/>
  <c r="AE254" i="6" s="1"/>
  <c r="AG254" i="6" s="1"/>
  <c r="AE254" i="7" s="1"/>
  <c r="AG254" i="7" s="1"/>
  <c r="AG255" i="5"/>
  <c r="AE255" i="6" s="1"/>
  <c r="AG255" i="6" s="1"/>
  <c r="AE255" i="7" s="1"/>
  <c r="AG255" i="7" s="1"/>
  <c r="AG256" i="5"/>
  <c r="AE256" i="6"/>
  <c r="AG256" i="6" s="1"/>
  <c r="AE256" i="7" s="1"/>
  <c r="AG256" i="7" s="1"/>
  <c r="AH71" i="16"/>
  <c r="C25" i="16"/>
  <c r="C32" i="16"/>
  <c r="C48" i="16"/>
  <c r="C54" i="16"/>
  <c r="C117" i="16"/>
  <c r="U58" i="16"/>
  <c r="U141" i="16"/>
  <c r="U227" i="16"/>
  <c r="U243" i="16"/>
  <c r="U17" i="15"/>
  <c r="X17" i="15" s="1"/>
  <c r="U18" i="15"/>
  <c r="U19" i="15"/>
  <c r="U21" i="15"/>
  <c r="U22" i="15"/>
  <c r="U23" i="15"/>
  <c r="U24" i="15"/>
  <c r="U25" i="15"/>
  <c r="U26" i="15"/>
  <c r="X26" i="15" s="1"/>
  <c r="AH26" i="15" s="1"/>
  <c r="U27" i="15"/>
  <c r="U28" i="15"/>
  <c r="U29" i="15"/>
  <c r="U30" i="15"/>
  <c r="X30" i="15" s="1"/>
  <c r="U31" i="15"/>
  <c r="U32" i="15"/>
  <c r="X32" i="15" s="1"/>
  <c r="AH32" i="15" s="1"/>
  <c r="U33" i="15"/>
  <c r="U36" i="15"/>
  <c r="X36" i="15" s="1"/>
  <c r="U37" i="15"/>
  <c r="X37" i="15" s="1"/>
  <c r="U38" i="15"/>
  <c r="X38" i="15" s="1"/>
  <c r="U39" i="15"/>
  <c r="U40" i="15"/>
  <c r="X40" i="15" s="1"/>
  <c r="AH40" i="15" s="1"/>
  <c r="U41" i="15"/>
  <c r="U45" i="15"/>
  <c r="U46" i="15"/>
  <c r="U47" i="15"/>
  <c r="X47" i="15" s="1"/>
  <c r="U48" i="15"/>
  <c r="X48" i="15" s="1"/>
  <c r="U50" i="15"/>
  <c r="U51" i="15"/>
  <c r="U52" i="15"/>
  <c r="U53" i="15"/>
  <c r="U54" i="15"/>
  <c r="U55" i="15"/>
  <c r="U59" i="15"/>
  <c r="U60" i="15"/>
  <c r="U61" i="15"/>
  <c r="U66" i="15"/>
  <c r="U67" i="15"/>
  <c r="X67" i="15" s="1"/>
  <c r="U68" i="15"/>
  <c r="X68" i="15" s="1"/>
  <c r="U70" i="15"/>
  <c r="U71" i="15"/>
  <c r="X71" i="15" s="1"/>
  <c r="U72" i="15"/>
  <c r="U73" i="15"/>
  <c r="U74" i="15"/>
  <c r="U75" i="15"/>
  <c r="U76" i="15"/>
  <c r="U77" i="15"/>
  <c r="U78" i="15"/>
  <c r="X78" i="15"/>
  <c r="AH78" i="15" s="1"/>
  <c r="U79" i="15"/>
  <c r="X79" i="15" s="1"/>
  <c r="U80" i="15"/>
  <c r="U81" i="15"/>
  <c r="U84" i="15"/>
  <c r="U85" i="15"/>
  <c r="X85" i="15" s="1"/>
  <c r="U86" i="15"/>
  <c r="U87" i="15"/>
  <c r="U88" i="15"/>
  <c r="U92" i="15"/>
  <c r="X92" i="15" s="1"/>
  <c r="U93" i="15"/>
  <c r="U94" i="15"/>
  <c r="U95" i="15"/>
  <c r="U97" i="15"/>
  <c r="X97" i="15" s="1"/>
  <c r="U98" i="15"/>
  <c r="U99" i="15"/>
  <c r="U100" i="15"/>
  <c r="U101" i="15"/>
  <c r="X101" i="15" s="1"/>
  <c r="U102" i="15"/>
  <c r="U106" i="15"/>
  <c r="U107" i="15"/>
  <c r="U108" i="15"/>
  <c r="U115" i="15"/>
  <c r="U116" i="15"/>
  <c r="U117" i="15"/>
  <c r="X117" i="15" s="1"/>
  <c r="U118" i="15"/>
  <c r="U119" i="15"/>
  <c r="X119" i="15" s="1"/>
  <c r="U120" i="15"/>
  <c r="U121" i="15"/>
  <c r="U124" i="15"/>
  <c r="U125" i="15"/>
  <c r="X125" i="15" s="1"/>
  <c r="AI125" i="15" s="1"/>
  <c r="U126" i="15"/>
  <c r="U127" i="15"/>
  <c r="U128" i="15"/>
  <c r="U129" i="15"/>
  <c r="U130" i="15"/>
  <c r="U131" i="15"/>
  <c r="U132" i="15"/>
  <c r="U133" i="15"/>
  <c r="U134" i="15"/>
  <c r="U135" i="15"/>
  <c r="X135" i="15" s="1"/>
  <c r="U136" i="15"/>
  <c r="U137" i="15"/>
  <c r="U138" i="15"/>
  <c r="U139" i="15"/>
  <c r="U142" i="15"/>
  <c r="U143" i="15"/>
  <c r="U148" i="15"/>
  <c r="U150" i="15"/>
  <c r="U151" i="15"/>
  <c r="U152" i="15"/>
  <c r="U153" i="15"/>
  <c r="U156" i="15"/>
  <c r="U158" i="15"/>
  <c r="U159" i="15"/>
  <c r="U160" i="15"/>
  <c r="U161" i="15"/>
  <c r="U162" i="15"/>
  <c r="U163" i="15"/>
  <c r="U164" i="15"/>
  <c r="U165" i="15"/>
  <c r="U166" i="15"/>
  <c r="X166" i="15" s="1"/>
  <c r="U167" i="15"/>
  <c r="U168" i="15"/>
  <c r="X168" i="15" s="1"/>
  <c r="U173" i="15"/>
  <c r="U174" i="15"/>
  <c r="U177" i="15"/>
  <c r="U178" i="15"/>
  <c r="X178" i="15" s="1"/>
  <c r="U179" i="15"/>
  <c r="U180" i="15"/>
  <c r="X180" i="15" s="1"/>
  <c r="U181" i="15"/>
  <c r="U182" i="15"/>
  <c r="X182" i="15"/>
  <c r="AH182" i="15" s="1"/>
  <c r="U183" i="15"/>
  <c r="U186" i="15"/>
  <c r="U188" i="15"/>
  <c r="U189" i="15"/>
  <c r="U190" i="15"/>
  <c r="U191" i="15"/>
  <c r="X191" i="15" s="1"/>
  <c r="AH191" i="15" s="1"/>
  <c r="U196" i="15"/>
  <c r="U197" i="15"/>
  <c r="U198" i="15"/>
  <c r="X198" i="15" s="1"/>
  <c r="U199" i="15"/>
  <c r="X199" i="15" s="1"/>
  <c r="U200" i="15"/>
  <c r="X200" i="15" s="1"/>
  <c r="U201" i="15"/>
  <c r="U202" i="15"/>
  <c r="X202" i="15" s="1"/>
  <c r="U204" i="15"/>
  <c r="U205" i="15"/>
  <c r="U212" i="15"/>
  <c r="U213" i="15"/>
  <c r="U214" i="15"/>
  <c r="U215" i="15"/>
  <c r="X215" i="15" s="1"/>
  <c r="U216" i="15"/>
  <c r="U217" i="15"/>
  <c r="U218" i="15"/>
  <c r="U223" i="15"/>
  <c r="U224" i="15"/>
  <c r="U225" i="15"/>
  <c r="U228" i="15"/>
  <c r="U229" i="15"/>
  <c r="U230" i="15"/>
  <c r="U236" i="15"/>
  <c r="U237" i="15"/>
  <c r="U238" i="15"/>
  <c r="U239" i="15"/>
  <c r="U240" i="15"/>
  <c r="U241" i="15"/>
  <c r="X241" i="15" s="1"/>
  <c r="AH241" i="15" s="1"/>
  <c r="U244" i="15"/>
  <c r="U245" i="15"/>
  <c r="U246" i="15"/>
  <c r="U247" i="15"/>
  <c r="X247" i="15" s="1"/>
  <c r="AH247" i="15" s="1"/>
  <c r="U248" i="15"/>
  <c r="X248" i="15" s="1"/>
  <c r="U249" i="15"/>
  <c r="U250" i="15"/>
  <c r="X250" i="15" s="1"/>
  <c r="AH250" i="15" s="1"/>
  <c r="U251" i="15"/>
  <c r="U252" i="15"/>
  <c r="U253" i="15"/>
  <c r="X253" i="15" s="1"/>
  <c r="U254" i="15"/>
  <c r="X254" i="15" s="1"/>
  <c r="AH254" i="15" s="1"/>
  <c r="U255" i="15"/>
  <c r="U256" i="15"/>
  <c r="D35" i="15"/>
  <c r="D48" i="15"/>
  <c r="V203" i="15"/>
  <c r="E22" i="15"/>
  <c r="E63" i="15"/>
  <c r="E78" i="15"/>
  <c r="W203" i="15"/>
  <c r="C12" i="15"/>
  <c r="F12" i="15" s="1"/>
  <c r="C13" i="15"/>
  <c r="C14" i="15"/>
  <c r="C15" i="15"/>
  <c r="C23" i="15"/>
  <c r="F23" i="15" s="1"/>
  <c r="BC12" i="15" s="1"/>
  <c r="C24" i="15"/>
  <c r="C26" i="15"/>
  <c r="C27" i="15"/>
  <c r="C30" i="15"/>
  <c r="C31" i="15"/>
  <c r="C33" i="15"/>
  <c r="C34" i="15"/>
  <c r="C36" i="15"/>
  <c r="F36" i="15" s="1"/>
  <c r="C37" i="15"/>
  <c r="F37" i="15" s="1"/>
  <c r="C41" i="15"/>
  <c r="C43" i="15"/>
  <c r="C44" i="15"/>
  <c r="F44" i="15" s="1"/>
  <c r="C46" i="15"/>
  <c r="C47" i="15"/>
  <c r="C49" i="15"/>
  <c r="F49" i="15" s="1"/>
  <c r="C50" i="15"/>
  <c r="F50" i="15" s="1"/>
  <c r="C52" i="15"/>
  <c r="C53" i="15"/>
  <c r="C55" i="15"/>
  <c r="C56" i="15"/>
  <c r="C58" i="15"/>
  <c r="C59" i="15"/>
  <c r="C61" i="15"/>
  <c r="C62" i="15"/>
  <c r="C64" i="15"/>
  <c r="C65" i="15"/>
  <c r="C67" i="15"/>
  <c r="C68" i="15"/>
  <c r="C70" i="15"/>
  <c r="C71" i="15"/>
  <c r="C73" i="15"/>
  <c r="C74" i="15"/>
  <c r="C76" i="15"/>
  <c r="C77" i="15"/>
  <c r="C79" i="15"/>
  <c r="C80" i="15"/>
  <c r="C82" i="15"/>
  <c r="C83" i="15"/>
  <c r="C86" i="15"/>
  <c r="F86" i="15" s="1"/>
  <c r="C87" i="15"/>
  <c r="C88" i="15"/>
  <c r="F88" i="15" s="1"/>
  <c r="C89" i="15"/>
  <c r="C90" i="15"/>
  <c r="F90" i="15" s="1"/>
  <c r="C91" i="15"/>
  <c r="F91" i="15" s="1"/>
  <c r="C92" i="15"/>
  <c r="C94" i="15"/>
  <c r="C95" i="15"/>
  <c r="F95" i="15" s="1"/>
  <c r="C96" i="15"/>
  <c r="C97" i="15"/>
  <c r="C100" i="15"/>
  <c r="C101" i="15"/>
  <c r="F101" i="15" s="1"/>
  <c r="C102" i="15"/>
  <c r="C103" i="15"/>
  <c r="C104" i="15"/>
  <c r="C105" i="15"/>
  <c r="C106" i="15"/>
  <c r="C109" i="15"/>
  <c r="C110" i="15"/>
  <c r="F110" i="15" s="1"/>
  <c r="C111" i="15"/>
  <c r="C112" i="15"/>
  <c r="F112" i="15" s="1"/>
  <c r="C113" i="15"/>
  <c r="C114" i="15"/>
  <c r="C115" i="15"/>
  <c r="F115" i="15" s="1"/>
  <c r="M115" i="15" s="1"/>
  <c r="C116" i="15"/>
  <c r="F116" i="15" s="1"/>
  <c r="C118" i="15"/>
  <c r="C119" i="15"/>
  <c r="H78" i="15"/>
  <c r="J81" i="15"/>
  <c r="C81" i="5"/>
  <c r="C81" i="15" s="1"/>
  <c r="U203" i="15"/>
  <c r="D35" i="14"/>
  <c r="D42" i="14"/>
  <c r="D48" i="14"/>
  <c r="V203" i="14"/>
  <c r="E22" i="14"/>
  <c r="E29" i="14"/>
  <c r="E35" i="14"/>
  <c r="E48" i="14"/>
  <c r="E63" i="14"/>
  <c r="E72" i="14"/>
  <c r="E78" i="14"/>
  <c r="W58" i="14"/>
  <c r="W203" i="14"/>
  <c r="C12" i="14"/>
  <c r="F12" i="14" s="1"/>
  <c r="C13" i="14"/>
  <c r="C14" i="14"/>
  <c r="C15" i="14"/>
  <c r="C23" i="14"/>
  <c r="C24" i="14"/>
  <c r="C26" i="14"/>
  <c r="C27" i="14"/>
  <c r="C30" i="14"/>
  <c r="F30" i="14" s="1"/>
  <c r="N30" i="14" s="1"/>
  <c r="C31" i="14"/>
  <c r="C33" i="14"/>
  <c r="C34" i="14"/>
  <c r="C36" i="14"/>
  <c r="C37" i="14"/>
  <c r="F37" i="14" s="1"/>
  <c r="C43" i="14"/>
  <c r="C44" i="14"/>
  <c r="F44" i="14" s="1"/>
  <c r="C46" i="14"/>
  <c r="C47" i="14"/>
  <c r="C49" i="14"/>
  <c r="F49" i="14" s="1"/>
  <c r="C50" i="14"/>
  <c r="C52" i="14"/>
  <c r="C53" i="14"/>
  <c r="C55" i="14"/>
  <c r="C56" i="14"/>
  <c r="C58" i="14"/>
  <c r="C59" i="14"/>
  <c r="C61" i="14"/>
  <c r="C62" i="14"/>
  <c r="C64" i="14"/>
  <c r="C65" i="14"/>
  <c r="C67" i="14"/>
  <c r="C68" i="14"/>
  <c r="C70" i="14"/>
  <c r="C71" i="14"/>
  <c r="C73" i="14"/>
  <c r="C74" i="14"/>
  <c r="F74" i="14" s="1"/>
  <c r="C76" i="14"/>
  <c r="C77" i="14"/>
  <c r="C79" i="14"/>
  <c r="C80" i="14"/>
  <c r="C82" i="14"/>
  <c r="C83" i="14"/>
  <c r="C86" i="14"/>
  <c r="C87" i="14"/>
  <c r="F87" i="14" s="1"/>
  <c r="C88" i="14"/>
  <c r="F88" i="14" s="1"/>
  <c r="M88" i="14" s="1"/>
  <c r="C89" i="14"/>
  <c r="C90" i="14"/>
  <c r="F90" i="14" s="1"/>
  <c r="C91" i="14"/>
  <c r="F91" i="14" s="1"/>
  <c r="C92" i="14"/>
  <c r="C94" i="14"/>
  <c r="C95" i="14"/>
  <c r="F95" i="14" s="1"/>
  <c r="C96" i="14"/>
  <c r="C97" i="14"/>
  <c r="C100" i="14"/>
  <c r="C101" i="14"/>
  <c r="F101" i="14" s="1"/>
  <c r="C102" i="14"/>
  <c r="C103" i="14"/>
  <c r="F103" i="14" s="1"/>
  <c r="C104" i="14"/>
  <c r="C105" i="14"/>
  <c r="C106" i="14"/>
  <c r="F106" i="14" s="1"/>
  <c r="C109" i="14"/>
  <c r="C110" i="14"/>
  <c r="F110" i="14" s="1"/>
  <c r="C111" i="14"/>
  <c r="C112" i="14"/>
  <c r="F112" i="14" s="1"/>
  <c r="C113" i="14"/>
  <c r="C114" i="14"/>
  <c r="C115" i="14"/>
  <c r="C116" i="14"/>
  <c r="F116" i="14" s="1"/>
  <c r="C118" i="14"/>
  <c r="C119" i="14"/>
  <c r="C117" i="14" s="1"/>
  <c r="U17" i="14"/>
  <c r="U18" i="14"/>
  <c r="X18" i="14" s="1"/>
  <c r="U19" i="14"/>
  <c r="U21" i="14"/>
  <c r="U22" i="14"/>
  <c r="X22" i="14"/>
  <c r="U23" i="14"/>
  <c r="X23" i="14"/>
  <c r="U24" i="14"/>
  <c r="U25" i="14"/>
  <c r="U26" i="14"/>
  <c r="X26" i="14" s="1"/>
  <c r="U27" i="14"/>
  <c r="X27" i="14" s="1"/>
  <c r="U28" i="14"/>
  <c r="U29" i="14"/>
  <c r="U30" i="14"/>
  <c r="X30" i="14" s="1"/>
  <c r="U31" i="14"/>
  <c r="U32" i="14"/>
  <c r="X32" i="14" s="1"/>
  <c r="U33" i="14"/>
  <c r="U36" i="14"/>
  <c r="U37" i="14"/>
  <c r="X37" i="14" s="1"/>
  <c r="U38" i="14"/>
  <c r="X38" i="14" s="1"/>
  <c r="AH38" i="14" s="1"/>
  <c r="U39" i="14"/>
  <c r="U40" i="14"/>
  <c r="X40" i="14" s="1"/>
  <c r="U41" i="14"/>
  <c r="U45" i="14"/>
  <c r="U46" i="14"/>
  <c r="U47" i="14"/>
  <c r="X47" i="14" s="1"/>
  <c r="U48" i="14"/>
  <c r="X48" i="14" s="1"/>
  <c r="U50" i="14"/>
  <c r="X50" i="14" s="1"/>
  <c r="U51" i="14"/>
  <c r="U52" i="14"/>
  <c r="U53" i="14"/>
  <c r="U54" i="14"/>
  <c r="X54" i="14" s="1"/>
  <c r="U55" i="14"/>
  <c r="U59" i="14"/>
  <c r="X59" i="14" s="1"/>
  <c r="U60" i="14"/>
  <c r="U61" i="14"/>
  <c r="U66" i="14"/>
  <c r="X66" i="14" s="1"/>
  <c r="U67" i="14"/>
  <c r="X67" i="14" s="1"/>
  <c r="U68" i="14"/>
  <c r="X68" i="14" s="1"/>
  <c r="U70" i="14"/>
  <c r="X70" i="14" s="1"/>
  <c r="AI70" i="14" s="1"/>
  <c r="U71" i="14"/>
  <c r="X71" i="14" s="1"/>
  <c r="U72" i="14"/>
  <c r="U73" i="14"/>
  <c r="X73" i="14" s="1"/>
  <c r="U74" i="14"/>
  <c r="U75" i="14"/>
  <c r="U76" i="14"/>
  <c r="U77" i="14"/>
  <c r="X77" i="14" s="1"/>
  <c r="U78" i="14"/>
  <c r="X78" i="14" s="1"/>
  <c r="U79" i="14"/>
  <c r="X79" i="14" s="1"/>
  <c r="U80" i="14"/>
  <c r="U81" i="14"/>
  <c r="U84" i="14"/>
  <c r="U85" i="14"/>
  <c r="U86" i="14"/>
  <c r="U87" i="14"/>
  <c r="U88" i="14"/>
  <c r="U92" i="14"/>
  <c r="X92" i="14" s="1"/>
  <c r="U93" i="14"/>
  <c r="U94" i="14"/>
  <c r="U95" i="14"/>
  <c r="U97" i="14"/>
  <c r="X97" i="14" s="1"/>
  <c r="U98" i="14"/>
  <c r="U99" i="14"/>
  <c r="U100" i="14"/>
  <c r="U101" i="14"/>
  <c r="X101" i="14" s="1"/>
  <c r="U102" i="14"/>
  <c r="U106" i="14"/>
  <c r="U107" i="14"/>
  <c r="U108" i="14"/>
  <c r="U115" i="14"/>
  <c r="U116" i="14"/>
  <c r="U117" i="14"/>
  <c r="X117" i="14" s="1"/>
  <c r="U118" i="14"/>
  <c r="X118" i="14" s="1"/>
  <c r="AH118" i="14" s="1"/>
  <c r="U119" i="14"/>
  <c r="U120" i="14"/>
  <c r="U121" i="14"/>
  <c r="U124" i="14"/>
  <c r="U125" i="14"/>
  <c r="U126" i="14"/>
  <c r="U127" i="14"/>
  <c r="U128" i="14"/>
  <c r="X128" i="14" s="1"/>
  <c r="U129" i="14"/>
  <c r="U130" i="14"/>
  <c r="U131" i="14"/>
  <c r="U132" i="14"/>
  <c r="U133" i="14"/>
  <c r="U134" i="14"/>
  <c r="X134" i="14" s="1"/>
  <c r="U135" i="14"/>
  <c r="X135" i="14" s="1"/>
  <c r="U136" i="14"/>
  <c r="U137" i="14"/>
  <c r="U138" i="14"/>
  <c r="U139" i="14"/>
  <c r="U142" i="14"/>
  <c r="U143" i="14"/>
  <c r="U148" i="14"/>
  <c r="U150" i="14"/>
  <c r="U151" i="14"/>
  <c r="U152" i="14"/>
  <c r="U153" i="14"/>
  <c r="U156" i="14"/>
  <c r="U158" i="14"/>
  <c r="U159" i="14"/>
  <c r="U160" i="14"/>
  <c r="U161" i="14"/>
  <c r="U162" i="14"/>
  <c r="U163" i="14"/>
  <c r="U164" i="14"/>
  <c r="U165" i="14"/>
  <c r="U166" i="14"/>
  <c r="X166" i="14" s="1"/>
  <c r="U167" i="14"/>
  <c r="X167" i="14" s="1"/>
  <c r="U168" i="14"/>
  <c r="U173" i="14"/>
  <c r="U174" i="14"/>
  <c r="U177" i="14"/>
  <c r="U178" i="14"/>
  <c r="X178" i="14" s="1"/>
  <c r="U179" i="14"/>
  <c r="U180" i="14"/>
  <c r="X180" i="14" s="1"/>
  <c r="U181" i="14"/>
  <c r="U182" i="14"/>
  <c r="U183" i="14"/>
  <c r="U186" i="14"/>
  <c r="U188" i="14"/>
  <c r="U189" i="14"/>
  <c r="U190" i="14"/>
  <c r="U191" i="14"/>
  <c r="X191" i="14" s="1"/>
  <c r="U196" i="14"/>
  <c r="U197" i="14"/>
  <c r="U198" i="14"/>
  <c r="X198" i="14" s="1"/>
  <c r="U199" i="14"/>
  <c r="X199" i="14" s="1"/>
  <c r="U200" i="14"/>
  <c r="X200" i="14" s="1"/>
  <c r="U201" i="14"/>
  <c r="X201" i="14" s="1"/>
  <c r="U202" i="14"/>
  <c r="X202" i="14" s="1"/>
  <c r="U204" i="14"/>
  <c r="U203" i="14" s="1"/>
  <c r="U205" i="14"/>
  <c r="X205" i="14"/>
  <c r="AH205" i="14" s="1"/>
  <c r="U212" i="14"/>
  <c r="U213" i="14"/>
  <c r="U214" i="14"/>
  <c r="U215" i="14"/>
  <c r="X215" i="14" s="1"/>
  <c r="AH215" i="14" s="1"/>
  <c r="U216" i="14"/>
  <c r="U217" i="14"/>
  <c r="U218" i="14"/>
  <c r="U223" i="14"/>
  <c r="X223" i="14" s="1"/>
  <c r="AH223" i="14" s="1"/>
  <c r="U224" i="14"/>
  <c r="U225" i="14"/>
  <c r="U228" i="14"/>
  <c r="U229" i="14"/>
  <c r="U230" i="14"/>
  <c r="U236" i="14"/>
  <c r="U237" i="14"/>
  <c r="U238" i="14"/>
  <c r="U239" i="14"/>
  <c r="U240" i="14"/>
  <c r="X240" i="14" s="1"/>
  <c r="U241" i="14"/>
  <c r="X241" i="14" s="1"/>
  <c r="AH241" i="14" s="1"/>
  <c r="U244" i="14"/>
  <c r="U245" i="14"/>
  <c r="U246" i="14"/>
  <c r="X246" i="14" s="1"/>
  <c r="AI246" i="14" s="1"/>
  <c r="U247" i="14"/>
  <c r="X247" i="14" s="1"/>
  <c r="U248" i="14"/>
  <c r="X248" i="14" s="1"/>
  <c r="U249" i="14"/>
  <c r="X249" i="14" s="1"/>
  <c r="U250" i="14"/>
  <c r="X250" i="14" s="1"/>
  <c r="U251" i="14"/>
  <c r="U252" i="14"/>
  <c r="U253" i="14"/>
  <c r="X253" i="14" s="1"/>
  <c r="AH253" i="14" s="1"/>
  <c r="U254" i="14"/>
  <c r="X254" i="14" s="1"/>
  <c r="U255" i="14"/>
  <c r="U256" i="14"/>
  <c r="G32" i="14"/>
  <c r="G117" i="14"/>
  <c r="H78" i="14"/>
  <c r="I117" i="14"/>
  <c r="J81" i="14"/>
  <c r="C66" i="14"/>
  <c r="D35" i="13"/>
  <c r="D42" i="13"/>
  <c r="D48" i="13"/>
  <c r="V203" i="13"/>
  <c r="E22" i="13"/>
  <c r="E29" i="13"/>
  <c r="E35" i="13"/>
  <c r="E42" i="13"/>
  <c r="E48" i="13"/>
  <c r="E63" i="13"/>
  <c r="E72" i="13"/>
  <c r="E78" i="13"/>
  <c r="W35" i="13"/>
  <c r="W58" i="13"/>
  <c r="W203" i="13"/>
  <c r="C12" i="13"/>
  <c r="C13" i="13"/>
  <c r="C14" i="13"/>
  <c r="C15" i="13"/>
  <c r="C23" i="13"/>
  <c r="F23" i="13" s="1"/>
  <c r="C24" i="13"/>
  <c r="C26" i="13"/>
  <c r="C27" i="13"/>
  <c r="C30" i="13"/>
  <c r="F30" i="13" s="1"/>
  <c r="N30" i="13" s="1"/>
  <c r="C31" i="13"/>
  <c r="C33" i="13"/>
  <c r="C34" i="13"/>
  <c r="C36" i="13"/>
  <c r="F36" i="13" s="1"/>
  <c r="N36" i="13" s="1"/>
  <c r="C37" i="13"/>
  <c r="F37" i="13" s="1"/>
  <c r="C43" i="13"/>
  <c r="F43" i="13"/>
  <c r="C44" i="13"/>
  <c r="F44" i="13" s="1"/>
  <c r="C46" i="13"/>
  <c r="C47" i="13"/>
  <c r="C49" i="13"/>
  <c r="C50" i="13"/>
  <c r="F50" i="13" s="1"/>
  <c r="C52" i="13"/>
  <c r="C53" i="13"/>
  <c r="C55" i="13"/>
  <c r="C56" i="13"/>
  <c r="C58" i="13"/>
  <c r="C59" i="13"/>
  <c r="C61" i="13"/>
  <c r="C62" i="13"/>
  <c r="C64" i="13"/>
  <c r="C65" i="13"/>
  <c r="C67" i="13"/>
  <c r="C68" i="13"/>
  <c r="C70" i="13"/>
  <c r="C71" i="13"/>
  <c r="C73" i="13"/>
  <c r="C74" i="13"/>
  <c r="F74" i="13" s="1"/>
  <c r="C76" i="13"/>
  <c r="C77" i="13"/>
  <c r="C79" i="13"/>
  <c r="C80" i="13"/>
  <c r="C82" i="13"/>
  <c r="C83" i="13"/>
  <c r="C86" i="13"/>
  <c r="F86" i="13" s="1"/>
  <c r="C87" i="13"/>
  <c r="F87" i="13" s="1"/>
  <c r="C88" i="13"/>
  <c r="C89" i="13"/>
  <c r="C90" i="13"/>
  <c r="F90" i="13" s="1"/>
  <c r="AQ13" i="13" s="1"/>
  <c r="C91" i="13"/>
  <c r="F91" i="13"/>
  <c r="C92" i="13"/>
  <c r="C94" i="13"/>
  <c r="C95" i="13"/>
  <c r="F95" i="13" s="1"/>
  <c r="C96" i="13"/>
  <c r="C97" i="13"/>
  <c r="C100" i="13"/>
  <c r="C101" i="13"/>
  <c r="F101" i="13"/>
  <c r="C102" i="13"/>
  <c r="C103" i="13"/>
  <c r="F103" i="13" s="1"/>
  <c r="C104" i="13"/>
  <c r="C105" i="13"/>
  <c r="C106" i="13"/>
  <c r="F106" i="13" s="1"/>
  <c r="N106" i="13" s="1"/>
  <c r="C109" i="13"/>
  <c r="C110" i="13"/>
  <c r="C111" i="13"/>
  <c r="C112" i="13"/>
  <c r="F112" i="13" s="1"/>
  <c r="N112" i="13" s="1"/>
  <c r="C113" i="13"/>
  <c r="C114" i="13"/>
  <c r="C115" i="13"/>
  <c r="F115" i="13" s="1"/>
  <c r="C116" i="13"/>
  <c r="F116" i="13" s="1"/>
  <c r="C118" i="13"/>
  <c r="C119" i="13"/>
  <c r="U17" i="13"/>
  <c r="U18" i="13"/>
  <c r="X18" i="13" s="1"/>
  <c r="U19" i="13"/>
  <c r="U21" i="13"/>
  <c r="U22" i="13"/>
  <c r="U23" i="13"/>
  <c r="X23" i="13" s="1"/>
  <c r="U24" i="13"/>
  <c r="U25" i="13"/>
  <c r="U26" i="13"/>
  <c r="X26" i="13" s="1"/>
  <c r="U27" i="13"/>
  <c r="X27" i="13" s="1"/>
  <c r="AH27" i="13" s="1"/>
  <c r="U28" i="13"/>
  <c r="U29" i="13"/>
  <c r="U30" i="13"/>
  <c r="X30" i="13"/>
  <c r="U31" i="13"/>
  <c r="U32" i="13"/>
  <c r="X32" i="13" s="1"/>
  <c r="U33" i="13"/>
  <c r="U36" i="13"/>
  <c r="X36" i="13" s="1"/>
  <c r="U37" i="13"/>
  <c r="U38" i="13"/>
  <c r="X38" i="13" s="1"/>
  <c r="U39" i="13"/>
  <c r="U40" i="13"/>
  <c r="X40" i="13" s="1"/>
  <c r="U41" i="13"/>
  <c r="U45" i="13"/>
  <c r="U46" i="13"/>
  <c r="U47" i="13"/>
  <c r="X47" i="13" s="1"/>
  <c r="U48" i="13"/>
  <c r="X48" i="13" s="1"/>
  <c r="AJ48" i="13" s="1"/>
  <c r="U50" i="13"/>
  <c r="X50" i="13" s="1"/>
  <c r="U51" i="13"/>
  <c r="U52" i="13"/>
  <c r="U53" i="13"/>
  <c r="U54" i="13"/>
  <c r="U55" i="13"/>
  <c r="U59" i="13"/>
  <c r="X59" i="13" s="1"/>
  <c r="U60" i="13"/>
  <c r="U61" i="13"/>
  <c r="U66" i="13"/>
  <c r="X66" i="13" s="1"/>
  <c r="U67" i="13"/>
  <c r="X67" i="13" s="1"/>
  <c r="U68" i="13"/>
  <c r="X68" i="13" s="1"/>
  <c r="AJ68" i="13" s="1"/>
  <c r="U70" i="13"/>
  <c r="U71" i="13"/>
  <c r="X71" i="13" s="1"/>
  <c r="U72" i="13"/>
  <c r="X72" i="13" s="1"/>
  <c r="U73" i="13"/>
  <c r="X73" i="13" s="1"/>
  <c r="AJ73" i="13" s="1"/>
  <c r="U74" i="13"/>
  <c r="U75" i="13"/>
  <c r="U76" i="13"/>
  <c r="U77" i="13"/>
  <c r="X77" i="13" s="1"/>
  <c r="U78" i="13"/>
  <c r="X78" i="13" s="1"/>
  <c r="U79" i="13"/>
  <c r="X79" i="13" s="1"/>
  <c r="U80" i="13"/>
  <c r="X80" i="13" s="1"/>
  <c r="U81" i="13"/>
  <c r="U84" i="13"/>
  <c r="U85" i="13"/>
  <c r="X85" i="13" s="1"/>
  <c r="U86" i="13"/>
  <c r="X86" i="13" s="1"/>
  <c r="U87" i="13"/>
  <c r="U88" i="13"/>
  <c r="U92" i="13"/>
  <c r="X92" i="13" s="1"/>
  <c r="U93" i="13"/>
  <c r="X93" i="13" s="1"/>
  <c r="U94" i="13"/>
  <c r="U95" i="13"/>
  <c r="U97" i="13"/>
  <c r="X97" i="13" s="1"/>
  <c r="U98" i="13"/>
  <c r="X98" i="13" s="1"/>
  <c r="U99" i="13"/>
  <c r="U100" i="13"/>
  <c r="U101" i="13"/>
  <c r="U102" i="13"/>
  <c r="U106" i="13"/>
  <c r="U107" i="13"/>
  <c r="U108" i="13"/>
  <c r="X108" i="13" s="1"/>
  <c r="U115" i="13"/>
  <c r="U116" i="13"/>
  <c r="U117" i="13"/>
  <c r="X117" i="13" s="1"/>
  <c r="U118" i="13"/>
  <c r="X118" i="13" s="1"/>
  <c r="U119" i="13"/>
  <c r="X119" i="13" s="1"/>
  <c r="U120" i="13"/>
  <c r="U121" i="13"/>
  <c r="X121" i="13" s="1"/>
  <c r="U124" i="13"/>
  <c r="X124" i="13" s="1"/>
  <c r="U125" i="13"/>
  <c r="X125" i="13" s="1"/>
  <c r="AH125" i="13" s="1"/>
  <c r="U126" i="13"/>
  <c r="U127" i="13"/>
  <c r="U128" i="13"/>
  <c r="X128" i="13" s="1"/>
  <c r="U129" i="13"/>
  <c r="U130" i="13"/>
  <c r="U131" i="13"/>
  <c r="U132" i="13"/>
  <c r="U133" i="13"/>
  <c r="U134" i="13"/>
  <c r="U135" i="13"/>
  <c r="X135" i="13" s="1"/>
  <c r="U136" i="13"/>
  <c r="U137" i="13"/>
  <c r="U138" i="13"/>
  <c r="X138" i="13" s="1"/>
  <c r="AJ138" i="13" s="1"/>
  <c r="U139" i="13"/>
  <c r="U142" i="13"/>
  <c r="U143" i="13"/>
  <c r="U141" i="13" s="1"/>
  <c r="U148" i="13"/>
  <c r="U150" i="13"/>
  <c r="U151" i="13"/>
  <c r="U152" i="13"/>
  <c r="U153" i="13"/>
  <c r="U156" i="13"/>
  <c r="U158" i="13"/>
  <c r="U159" i="13"/>
  <c r="U160" i="13"/>
  <c r="U161" i="13"/>
  <c r="U162" i="13"/>
  <c r="U163" i="13"/>
  <c r="U164" i="13"/>
  <c r="X164" i="13" s="1"/>
  <c r="U165" i="13"/>
  <c r="U166" i="13"/>
  <c r="X166" i="13" s="1"/>
  <c r="U167" i="13"/>
  <c r="X167" i="13" s="1"/>
  <c r="U168" i="13"/>
  <c r="U173" i="13"/>
  <c r="U174" i="13"/>
  <c r="U177" i="13"/>
  <c r="U178" i="13"/>
  <c r="U179" i="13"/>
  <c r="U180" i="13"/>
  <c r="X180" i="13" s="1"/>
  <c r="U181" i="13"/>
  <c r="U182" i="13"/>
  <c r="X182" i="13" s="1"/>
  <c r="AI182" i="13" s="1"/>
  <c r="U183" i="13"/>
  <c r="U186" i="13"/>
  <c r="X186" i="13" s="1"/>
  <c r="U188" i="13"/>
  <c r="U189" i="13"/>
  <c r="U190" i="13"/>
  <c r="U191" i="13"/>
  <c r="X191" i="13" s="1"/>
  <c r="U196" i="13"/>
  <c r="U197" i="13"/>
  <c r="U198" i="13"/>
  <c r="X198" i="13" s="1"/>
  <c r="U199" i="13"/>
  <c r="X199" i="13" s="1"/>
  <c r="U200" i="13"/>
  <c r="X200" i="13" s="1"/>
  <c r="U201" i="13"/>
  <c r="X201" i="13" s="1"/>
  <c r="U202" i="13"/>
  <c r="X202" i="13" s="1"/>
  <c r="U204" i="13"/>
  <c r="X204" i="13" s="1"/>
  <c r="U205" i="13"/>
  <c r="U212" i="13"/>
  <c r="U213" i="13"/>
  <c r="U214" i="13"/>
  <c r="U215" i="13"/>
  <c r="X215" i="13" s="1"/>
  <c r="U216" i="13"/>
  <c r="U217" i="13"/>
  <c r="U218" i="13"/>
  <c r="U223" i="13"/>
  <c r="U224" i="13"/>
  <c r="U225" i="13"/>
  <c r="U228" i="13"/>
  <c r="U229" i="13"/>
  <c r="U230" i="13"/>
  <c r="U236" i="13"/>
  <c r="U237" i="13"/>
  <c r="U238" i="13"/>
  <c r="X238" i="13" s="1"/>
  <c r="AI238" i="13" s="1"/>
  <c r="U239" i="13"/>
  <c r="U240" i="13"/>
  <c r="X240" i="13" s="1"/>
  <c r="U241" i="13"/>
  <c r="X241" i="13" s="1"/>
  <c r="U244" i="13"/>
  <c r="U245" i="13"/>
  <c r="U246" i="13"/>
  <c r="X246" i="13" s="1"/>
  <c r="AI246" i="13" s="1"/>
  <c r="U247" i="13"/>
  <c r="X247" i="13" s="1"/>
  <c r="U248" i="13"/>
  <c r="X248" i="13" s="1"/>
  <c r="U249" i="13"/>
  <c r="X249" i="13" s="1"/>
  <c r="AI249" i="13" s="1"/>
  <c r="U250" i="13"/>
  <c r="X250" i="13" s="1"/>
  <c r="AI250" i="13" s="1"/>
  <c r="U251" i="13"/>
  <c r="U252" i="13"/>
  <c r="X252" i="13" s="1"/>
  <c r="U253" i="13"/>
  <c r="X253" i="13" s="1"/>
  <c r="AH253" i="13" s="1"/>
  <c r="U254" i="13"/>
  <c r="X254" i="13" s="1"/>
  <c r="U255" i="13"/>
  <c r="U256" i="13"/>
  <c r="X256" i="13" s="1"/>
  <c r="G32" i="13"/>
  <c r="G117" i="13"/>
  <c r="H78" i="13"/>
  <c r="I32" i="13"/>
  <c r="I117" i="13"/>
  <c r="J29" i="13"/>
  <c r="L81" i="13"/>
  <c r="C42" i="13"/>
  <c r="D22" i="12"/>
  <c r="D29" i="12"/>
  <c r="D35" i="12"/>
  <c r="D42" i="12"/>
  <c r="D48" i="12"/>
  <c r="V203" i="12"/>
  <c r="E10" i="12"/>
  <c r="E22" i="12"/>
  <c r="E29" i="12"/>
  <c r="E32" i="12"/>
  <c r="E35" i="12"/>
  <c r="E42" i="12"/>
  <c r="E48" i="12"/>
  <c r="E60" i="12"/>
  <c r="E63" i="12"/>
  <c r="E72" i="12"/>
  <c r="E78" i="12"/>
  <c r="W20" i="12"/>
  <c r="W16" i="12" s="1"/>
  <c r="W35" i="12"/>
  <c r="W58" i="12"/>
  <c r="W203" i="12"/>
  <c r="C12" i="12"/>
  <c r="F12" i="12" s="1"/>
  <c r="C13" i="12"/>
  <c r="C14" i="12"/>
  <c r="C15" i="12"/>
  <c r="F15" i="12" s="1"/>
  <c r="C23" i="12"/>
  <c r="F23" i="12" s="1"/>
  <c r="N23" i="12" s="1"/>
  <c r="C24" i="12"/>
  <c r="C26" i="12"/>
  <c r="C27" i="12"/>
  <c r="C30" i="12"/>
  <c r="C31" i="12"/>
  <c r="C33" i="12"/>
  <c r="C34" i="12"/>
  <c r="F34" i="12" s="1"/>
  <c r="N34" i="12" s="1"/>
  <c r="C36" i="12"/>
  <c r="F36" i="12" s="1"/>
  <c r="M36" i="12" s="1"/>
  <c r="C37" i="12"/>
  <c r="F37" i="12" s="1"/>
  <c r="C43" i="12"/>
  <c r="C44" i="12"/>
  <c r="F44" i="12" s="1"/>
  <c r="C46" i="12"/>
  <c r="C47" i="12"/>
  <c r="C49" i="12"/>
  <c r="C50" i="12"/>
  <c r="F50" i="12" s="1"/>
  <c r="C52" i="12"/>
  <c r="C53" i="12"/>
  <c r="C55" i="12"/>
  <c r="C56" i="12"/>
  <c r="C58" i="12"/>
  <c r="C59" i="12"/>
  <c r="C61" i="12"/>
  <c r="C62" i="12"/>
  <c r="C64" i="12"/>
  <c r="C65" i="12"/>
  <c r="C67" i="12"/>
  <c r="C68" i="12"/>
  <c r="C70" i="12"/>
  <c r="C71" i="12"/>
  <c r="C73" i="12"/>
  <c r="C74" i="12"/>
  <c r="F74" i="12" s="1"/>
  <c r="C76" i="12"/>
  <c r="C77" i="12"/>
  <c r="C79" i="12"/>
  <c r="C80" i="12"/>
  <c r="C82" i="12"/>
  <c r="C83" i="12"/>
  <c r="C86" i="12"/>
  <c r="F86" i="12" s="1"/>
  <c r="C87" i="12"/>
  <c r="F87" i="12" s="1"/>
  <c r="C88" i="12"/>
  <c r="F88" i="12" s="1"/>
  <c r="AQ11" i="12" s="1"/>
  <c r="C89" i="12"/>
  <c r="C90" i="12"/>
  <c r="F90" i="12" s="1"/>
  <c r="C91" i="12"/>
  <c r="F91" i="12" s="1"/>
  <c r="N91" i="12" s="1"/>
  <c r="C92" i="12"/>
  <c r="C94" i="12"/>
  <c r="C95" i="12"/>
  <c r="F95" i="12" s="1"/>
  <c r="C96" i="12"/>
  <c r="C97" i="12"/>
  <c r="C100" i="12"/>
  <c r="C101" i="12"/>
  <c r="C102" i="12"/>
  <c r="F102" i="12" s="1"/>
  <c r="N102" i="12" s="1"/>
  <c r="C103" i="12"/>
  <c r="F103" i="12" s="1"/>
  <c r="C104" i="12"/>
  <c r="C105" i="12"/>
  <c r="C106" i="12"/>
  <c r="F106" i="12" s="1"/>
  <c r="C109" i="12"/>
  <c r="C110" i="12"/>
  <c r="F110" i="12" s="1"/>
  <c r="C111" i="12"/>
  <c r="C112" i="12"/>
  <c r="F112" i="12" s="1"/>
  <c r="C113" i="12"/>
  <c r="C114" i="12"/>
  <c r="F114" i="12" s="1"/>
  <c r="C115" i="12"/>
  <c r="F115" i="12"/>
  <c r="N115" i="12" s="1"/>
  <c r="C116" i="12"/>
  <c r="F116" i="12" s="1"/>
  <c r="C118" i="12"/>
  <c r="C119" i="12"/>
  <c r="U17" i="12"/>
  <c r="X17" i="12" s="1"/>
  <c r="U18" i="12"/>
  <c r="X18" i="12" s="1"/>
  <c r="U19" i="12"/>
  <c r="U21" i="12"/>
  <c r="U22" i="12"/>
  <c r="X22" i="12" s="1"/>
  <c r="AJ22" i="12" s="1"/>
  <c r="U23" i="12"/>
  <c r="X23" i="12" s="1"/>
  <c r="U24" i="12"/>
  <c r="U25" i="12"/>
  <c r="X25" i="12" s="1"/>
  <c r="U26" i="12"/>
  <c r="X26" i="12" s="1"/>
  <c r="AH26" i="12" s="1"/>
  <c r="U27" i="12"/>
  <c r="X27" i="12" s="1"/>
  <c r="U28" i="12"/>
  <c r="X28" i="12" s="1"/>
  <c r="U29" i="12"/>
  <c r="U30" i="12"/>
  <c r="X30" i="12" s="1"/>
  <c r="AI30" i="12" s="1"/>
  <c r="U31" i="12"/>
  <c r="U32" i="12"/>
  <c r="X32" i="12" s="1"/>
  <c r="U33" i="12"/>
  <c r="U36" i="12"/>
  <c r="X36" i="12" s="1"/>
  <c r="U37" i="12"/>
  <c r="U38" i="12"/>
  <c r="X38" i="12" s="1"/>
  <c r="U39" i="12"/>
  <c r="U40" i="12"/>
  <c r="X40" i="12" s="1"/>
  <c r="AH40" i="12" s="1"/>
  <c r="U41" i="12"/>
  <c r="U45" i="12"/>
  <c r="U46" i="12"/>
  <c r="U47" i="12"/>
  <c r="U48" i="12"/>
  <c r="X48" i="12" s="1"/>
  <c r="U50" i="12"/>
  <c r="X50" i="12" s="1"/>
  <c r="U51" i="12"/>
  <c r="U52" i="12"/>
  <c r="U53" i="12"/>
  <c r="U54" i="12"/>
  <c r="X54" i="12" s="1"/>
  <c r="U55" i="12"/>
  <c r="U59" i="12"/>
  <c r="U60" i="12"/>
  <c r="U61" i="12"/>
  <c r="U66" i="12"/>
  <c r="U67" i="12"/>
  <c r="U68" i="12"/>
  <c r="U70" i="12"/>
  <c r="U71" i="12"/>
  <c r="X71" i="12" s="1"/>
  <c r="U72" i="12"/>
  <c r="X72" i="12" s="1"/>
  <c r="U73" i="12"/>
  <c r="X73" i="12" s="1"/>
  <c r="U74" i="12"/>
  <c r="U75" i="12"/>
  <c r="U76" i="12"/>
  <c r="U77" i="12"/>
  <c r="X77" i="12" s="1"/>
  <c r="U78" i="12"/>
  <c r="X78" i="12" s="1"/>
  <c r="U79" i="12"/>
  <c r="X79" i="12" s="1"/>
  <c r="U80" i="12"/>
  <c r="X80" i="12" s="1"/>
  <c r="U81" i="12"/>
  <c r="U84" i="12"/>
  <c r="U85" i="12"/>
  <c r="X85" i="12" s="1"/>
  <c r="U86" i="12"/>
  <c r="X86" i="12" s="1"/>
  <c r="U87" i="12"/>
  <c r="U88" i="12"/>
  <c r="U92" i="12"/>
  <c r="X92" i="12" s="1"/>
  <c r="U93" i="12"/>
  <c r="U94" i="12"/>
  <c r="U95" i="12"/>
  <c r="U97" i="12"/>
  <c r="U98" i="12"/>
  <c r="X98" i="12" s="1"/>
  <c r="U99" i="12"/>
  <c r="U100" i="12"/>
  <c r="U101" i="12"/>
  <c r="X101" i="12" s="1"/>
  <c r="U102" i="12"/>
  <c r="X102" i="12" s="1"/>
  <c r="U106" i="12"/>
  <c r="U107" i="12"/>
  <c r="U108" i="12"/>
  <c r="U115" i="12"/>
  <c r="U116" i="12"/>
  <c r="U117" i="12"/>
  <c r="X117" i="12" s="1"/>
  <c r="U118" i="12"/>
  <c r="X118" i="12" s="1"/>
  <c r="U119" i="12"/>
  <c r="X119" i="12" s="1"/>
  <c r="U120" i="12"/>
  <c r="X120" i="12" s="1"/>
  <c r="U121" i="12"/>
  <c r="U124" i="12"/>
  <c r="X124" i="12" s="1"/>
  <c r="U125" i="12"/>
  <c r="U126" i="12"/>
  <c r="U127" i="12"/>
  <c r="U128" i="12"/>
  <c r="X128" i="12" s="1"/>
  <c r="U129" i="12"/>
  <c r="U130" i="12"/>
  <c r="X130" i="12" s="1"/>
  <c r="U131" i="12"/>
  <c r="U132" i="12"/>
  <c r="U133" i="12"/>
  <c r="U134" i="12"/>
  <c r="X134" i="12" s="1"/>
  <c r="U135" i="12"/>
  <c r="X135" i="12" s="1"/>
  <c r="U136" i="12"/>
  <c r="U137" i="12"/>
  <c r="U138" i="12"/>
  <c r="X138" i="12" s="1"/>
  <c r="AI138" i="12" s="1"/>
  <c r="U139" i="12"/>
  <c r="U142" i="12"/>
  <c r="U143" i="12"/>
  <c r="U148" i="12"/>
  <c r="X148" i="12" s="1"/>
  <c r="U150" i="12"/>
  <c r="U151" i="12"/>
  <c r="U152" i="12"/>
  <c r="U153" i="12"/>
  <c r="X153" i="12" s="1"/>
  <c r="U156" i="12"/>
  <c r="U158" i="12"/>
  <c r="U159" i="12"/>
  <c r="U160" i="12"/>
  <c r="U161" i="12"/>
  <c r="U162" i="12"/>
  <c r="U163" i="12"/>
  <c r="U164" i="12"/>
  <c r="X164" i="12" s="1"/>
  <c r="U165" i="12"/>
  <c r="U166" i="12"/>
  <c r="X166" i="12" s="1"/>
  <c r="U167" i="12"/>
  <c r="U168" i="12"/>
  <c r="X168" i="12" s="1"/>
  <c r="U173" i="12"/>
  <c r="U174" i="12"/>
  <c r="U177" i="12"/>
  <c r="U178" i="12"/>
  <c r="X178" i="12" s="1"/>
  <c r="U179" i="12"/>
  <c r="U180" i="12"/>
  <c r="X180" i="12" s="1"/>
  <c r="U181" i="12"/>
  <c r="U182" i="12"/>
  <c r="U183" i="12"/>
  <c r="U186" i="12"/>
  <c r="U188" i="12"/>
  <c r="U189" i="12"/>
  <c r="U190" i="12"/>
  <c r="X190" i="12" s="1"/>
  <c r="U191" i="12"/>
  <c r="X191" i="12" s="1"/>
  <c r="U196" i="12"/>
  <c r="X196" i="12" s="1"/>
  <c r="U197" i="12"/>
  <c r="U198" i="12"/>
  <c r="X198" i="12" s="1"/>
  <c r="U199" i="12"/>
  <c r="X199" i="12" s="1"/>
  <c r="U200" i="12"/>
  <c r="X200" i="12" s="1"/>
  <c r="U201" i="12"/>
  <c r="U202" i="12"/>
  <c r="X202" i="12" s="1"/>
  <c r="U204" i="12"/>
  <c r="X204" i="12" s="1"/>
  <c r="U205" i="12"/>
  <c r="X205" i="12" s="1"/>
  <c r="U212" i="12"/>
  <c r="U213" i="12"/>
  <c r="U214" i="12"/>
  <c r="U215" i="12"/>
  <c r="X215" i="12" s="1"/>
  <c r="U216" i="12"/>
  <c r="U217" i="12"/>
  <c r="U218" i="12"/>
  <c r="X218" i="12" s="1"/>
  <c r="U223" i="12"/>
  <c r="X223" i="12" s="1"/>
  <c r="U224" i="12"/>
  <c r="U225" i="12"/>
  <c r="U228" i="12"/>
  <c r="U229" i="12"/>
  <c r="U230" i="12"/>
  <c r="U236" i="12"/>
  <c r="U237" i="12"/>
  <c r="U238" i="12"/>
  <c r="X238" i="12" s="1"/>
  <c r="U239" i="12"/>
  <c r="U240" i="12"/>
  <c r="X240" i="12" s="1"/>
  <c r="U241" i="12"/>
  <c r="X241" i="12" s="1"/>
  <c r="U244" i="12"/>
  <c r="U245" i="12"/>
  <c r="U246" i="12"/>
  <c r="X246" i="12" s="1"/>
  <c r="U247" i="12"/>
  <c r="X247" i="12" s="1"/>
  <c r="U248" i="12"/>
  <c r="X248" i="12" s="1"/>
  <c r="U249" i="12"/>
  <c r="X249" i="12" s="1"/>
  <c r="U250" i="12"/>
  <c r="X250" i="12" s="1"/>
  <c r="U251" i="12"/>
  <c r="U252" i="12"/>
  <c r="X252" i="12" s="1"/>
  <c r="U253" i="12"/>
  <c r="X253" i="12" s="1"/>
  <c r="U254" i="12"/>
  <c r="X254" i="12" s="1"/>
  <c r="U255" i="12"/>
  <c r="U256" i="12"/>
  <c r="X256" i="12" s="1"/>
  <c r="G32" i="12"/>
  <c r="G51" i="12"/>
  <c r="G117" i="12"/>
  <c r="H78" i="12"/>
  <c r="I32" i="12"/>
  <c r="I51" i="12"/>
  <c r="I117" i="12"/>
  <c r="AA141" i="12"/>
  <c r="L57" i="12"/>
  <c r="C81" i="12"/>
  <c r="D22" i="11"/>
  <c r="D29" i="11"/>
  <c r="D35" i="11"/>
  <c r="D42" i="11"/>
  <c r="D48" i="11"/>
  <c r="V203" i="11"/>
  <c r="E10" i="11"/>
  <c r="E22" i="11"/>
  <c r="E29" i="11"/>
  <c r="E32" i="11"/>
  <c r="E35" i="11"/>
  <c r="E42" i="11"/>
  <c r="E48" i="11"/>
  <c r="E60" i="11"/>
  <c r="E63" i="11"/>
  <c r="E72" i="11"/>
  <c r="E78" i="11"/>
  <c r="W20" i="11"/>
  <c r="W16" i="11" s="1"/>
  <c r="W35" i="11"/>
  <c r="W58" i="11"/>
  <c r="W57" i="11" s="1"/>
  <c r="W203" i="11"/>
  <c r="W222" i="11"/>
  <c r="C12" i="11"/>
  <c r="F12" i="11" s="1"/>
  <c r="C13" i="11"/>
  <c r="F13" i="11" s="1"/>
  <c r="C14" i="11"/>
  <c r="C15" i="11"/>
  <c r="F15" i="11" s="1"/>
  <c r="C23" i="11"/>
  <c r="F23" i="11" s="1"/>
  <c r="BC12" i="11" s="1"/>
  <c r="C24" i="11"/>
  <c r="F24" i="11" s="1"/>
  <c r="C26" i="11"/>
  <c r="C27" i="11"/>
  <c r="C30" i="11"/>
  <c r="C31" i="11"/>
  <c r="C33" i="11"/>
  <c r="C34" i="11"/>
  <c r="C36" i="11"/>
  <c r="F36" i="11" s="1"/>
  <c r="C37" i="11"/>
  <c r="C43" i="11"/>
  <c r="C44" i="11"/>
  <c r="F44" i="11" s="1"/>
  <c r="C46" i="11"/>
  <c r="C47" i="11"/>
  <c r="C49" i="11"/>
  <c r="F49" i="11" s="1"/>
  <c r="C50" i="11"/>
  <c r="F50" i="11" s="1"/>
  <c r="C52" i="11"/>
  <c r="F52" i="11" s="1"/>
  <c r="C53" i="11"/>
  <c r="C55" i="11"/>
  <c r="F55" i="11" s="1"/>
  <c r="C56" i="11"/>
  <c r="C58" i="11"/>
  <c r="C59" i="11"/>
  <c r="C61" i="11"/>
  <c r="C62" i="11"/>
  <c r="C64" i="11"/>
  <c r="C65" i="11"/>
  <c r="C67" i="11"/>
  <c r="C68" i="11"/>
  <c r="C70" i="11"/>
  <c r="C71" i="11"/>
  <c r="C73" i="11"/>
  <c r="C74" i="11"/>
  <c r="C76" i="11"/>
  <c r="C77" i="11"/>
  <c r="C79" i="11"/>
  <c r="C80" i="11"/>
  <c r="C82" i="11"/>
  <c r="F82" i="11" s="1"/>
  <c r="C83" i="11"/>
  <c r="C86" i="11"/>
  <c r="C87" i="11"/>
  <c r="F87" i="11" s="1"/>
  <c r="C88" i="11"/>
  <c r="F88" i="11" s="1"/>
  <c r="AQ11" i="11" s="1"/>
  <c r="C89" i="11"/>
  <c r="C90" i="11"/>
  <c r="F90" i="11" s="1"/>
  <c r="C91" i="11"/>
  <c r="F91" i="11" s="1"/>
  <c r="C92" i="11"/>
  <c r="F92" i="11" s="1"/>
  <c r="C94" i="11"/>
  <c r="C95" i="11"/>
  <c r="F95" i="11" s="1"/>
  <c r="C96" i="11"/>
  <c r="C97" i="11"/>
  <c r="C100" i="11"/>
  <c r="F100" i="11" s="1"/>
  <c r="C101" i="11"/>
  <c r="F101" i="11" s="1"/>
  <c r="C102" i="11"/>
  <c r="C103" i="11"/>
  <c r="F103" i="11" s="1"/>
  <c r="M103" i="11" s="1"/>
  <c r="C104" i="11"/>
  <c r="C105" i="11"/>
  <c r="C106" i="11"/>
  <c r="F106" i="11" s="1"/>
  <c r="C109" i="11"/>
  <c r="C110" i="11"/>
  <c r="C111" i="11"/>
  <c r="C112" i="11"/>
  <c r="F112" i="11" s="1"/>
  <c r="N112" i="11" s="1"/>
  <c r="C113" i="11"/>
  <c r="F113" i="11" s="1"/>
  <c r="C114" i="11"/>
  <c r="C115" i="11"/>
  <c r="F115" i="11" s="1"/>
  <c r="C116" i="11"/>
  <c r="F116" i="11" s="1"/>
  <c r="C118" i="11"/>
  <c r="C119" i="11"/>
  <c r="U17" i="11"/>
  <c r="X17" i="11" s="1"/>
  <c r="U18" i="11"/>
  <c r="X18" i="11" s="1"/>
  <c r="U19" i="11"/>
  <c r="U21" i="11"/>
  <c r="U22" i="11"/>
  <c r="X22" i="11" s="1"/>
  <c r="U23" i="11"/>
  <c r="X23" i="11" s="1"/>
  <c r="U24" i="11"/>
  <c r="U25" i="11"/>
  <c r="U26" i="11"/>
  <c r="X26" i="11"/>
  <c r="AJ26" i="11" s="1"/>
  <c r="U27" i="11"/>
  <c r="X27" i="11" s="1"/>
  <c r="U28" i="11"/>
  <c r="U29" i="11"/>
  <c r="X29" i="11" s="1"/>
  <c r="U30" i="11"/>
  <c r="X30" i="11" s="1"/>
  <c r="AI30" i="11" s="1"/>
  <c r="U31" i="11"/>
  <c r="U32" i="11"/>
  <c r="X32" i="11" s="1"/>
  <c r="U33" i="11"/>
  <c r="U36" i="11"/>
  <c r="X36" i="11" s="1"/>
  <c r="U37" i="11"/>
  <c r="X37" i="11" s="1"/>
  <c r="U38" i="11"/>
  <c r="X38" i="11" s="1"/>
  <c r="AI38" i="11" s="1"/>
  <c r="U39" i="11"/>
  <c r="U40" i="11"/>
  <c r="U41" i="11"/>
  <c r="U45" i="11"/>
  <c r="U46" i="11"/>
  <c r="U47" i="11"/>
  <c r="X47" i="11" s="1"/>
  <c r="U48" i="11"/>
  <c r="X48" i="11" s="1"/>
  <c r="U50" i="11"/>
  <c r="X50" i="11" s="1"/>
  <c r="U51" i="11"/>
  <c r="U52" i="11"/>
  <c r="U53" i="11"/>
  <c r="X53" i="11" s="1"/>
  <c r="U54" i="11"/>
  <c r="X54" i="11" s="1"/>
  <c r="U55" i="11"/>
  <c r="U59" i="11"/>
  <c r="X59" i="11" s="1"/>
  <c r="U60" i="11"/>
  <c r="U61" i="11"/>
  <c r="X61" i="11" s="1"/>
  <c r="U66" i="11"/>
  <c r="U67" i="11"/>
  <c r="X67" i="11" s="1"/>
  <c r="U68" i="11"/>
  <c r="X68" i="11" s="1"/>
  <c r="U70" i="11"/>
  <c r="X70" i="11" s="1"/>
  <c r="U71" i="11"/>
  <c r="X71" i="11" s="1"/>
  <c r="U72" i="11"/>
  <c r="X72" i="11" s="1"/>
  <c r="U73" i="11"/>
  <c r="X73" i="11" s="1"/>
  <c r="U74" i="11"/>
  <c r="U75" i="11"/>
  <c r="U76" i="11"/>
  <c r="U77" i="11"/>
  <c r="X77" i="11" s="1"/>
  <c r="U78" i="11"/>
  <c r="X78" i="11" s="1"/>
  <c r="U79" i="11"/>
  <c r="U80" i="11"/>
  <c r="X80" i="11" s="1"/>
  <c r="U81" i="11"/>
  <c r="U84" i="11"/>
  <c r="U85" i="11"/>
  <c r="X85" i="11" s="1"/>
  <c r="U86" i="11"/>
  <c r="X86" i="11" s="1"/>
  <c r="U87" i="11"/>
  <c r="U88" i="11"/>
  <c r="U92" i="11"/>
  <c r="X92" i="11" s="1"/>
  <c r="U93" i="11"/>
  <c r="X93" i="11" s="1"/>
  <c r="U94" i="11"/>
  <c r="U95" i="11"/>
  <c r="U97" i="11"/>
  <c r="U98" i="11"/>
  <c r="X98" i="11" s="1"/>
  <c r="U99" i="11"/>
  <c r="X99" i="11" s="1"/>
  <c r="U100" i="11"/>
  <c r="U101" i="11"/>
  <c r="X101" i="11" s="1"/>
  <c r="U102" i="11"/>
  <c r="U106" i="11"/>
  <c r="U107" i="11"/>
  <c r="U108" i="11"/>
  <c r="X108" i="11" s="1"/>
  <c r="AH108" i="11" s="1"/>
  <c r="U115" i="11"/>
  <c r="U116" i="11"/>
  <c r="U117" i="11"/>
  <c r="X117" i="11" s="1"/>
  <c r="U118" i="11"/>
  <c r="X118" i="11" s="1"/>
  <c r="U119" i="11"/>
  <c r="X119" i="11" s="1"/>
  <c r="U120" i="11"/>
  <c r="U121" i="11"/>
  <c r="U124" i="11"/>
  <c r="U125" i="11"/>
  <c r="X125" i="11" s="1"/>
  <c r="U126" i="11"/>
  <c r="U127" i="11"/>
  <c r="X127" i="11" s="1"/>
  <c r="U128" i="11"/>
  <c r="X128" i="11" s="1"/>
  <c r="U129" i="11"/>
  <c r="X129" i="11" s="1"/>
  <c r="U130" i="11"/>
  <c r="U131" i="11"/>
  <c r="X131" i="11" s="1"/>
  <c r="U132" i="11"/>
  <c r="U133" i="11"/>
  <c r="U134" i="11"/>
  <c r="U135" i="11"/>
  <c r="X135" i="11" s="1"/>
  <c r="AH135" i="11" s="1"/>
  <c r="U136" i="11"/>
  <c r="U137" i="11"/>
  <c r="X137" i="11" s="1"/>
  <c r="U138" i="11"/>
  <c r="X138" i="11" s="1"/>
  <c r="U139" i="11"/>
  <c r="X139" i="11" s="1"/>
  <c r="U142" i="11"/>
  <c r="U143" i="11"/>
  <c r="X143" i="11" s="1"/>
  <c r="AH143" i="11" s="1"/>
  <c r="U148" i="11"/>
  <c r="U150" i="11"/>
  <c r="U151" i="11"/>
  <c r="U152" i="11"/>
  <c r="U153" i="11"/>
  <c r="U156" i="11"/>
  <c r="U158" i="11"/>
  <c r="U159" i="11"/>
  <c r="U160" i="11"/>
  <c r="U161" i="11"/>
  <c r="X161" i="11" s="1"/>
  <c r="U162" i="11"/>
  <c r="U163" i="11"/>
  <c r="X163" i="11" s="1"/>
  <c r="U164" i="11"/>
  <c r="U165" i="11"/>
  <c r="U166" i="11"/>
  <c r="X166" i="11" s="1"/>
  <c r="U167" i="11"/>
  <c r="U168" i="11"/>
  <c r="U173" i="11"/>
  <c r="U174" i="11"/>
  <c r="X174" i="11" s="1"/>
  <c r="U177" i="11"/>
  <c r="U178" i="11"/>
  <c r="X178" i="11" s="1"/>
  <c r="U179" i="11"/>
  <c r="U180" i="11"/>
  <c r="X180" i="11" s="1"/>
  <c r="U181" i="11"/>
  <c r="U182" i="11"/>
  <c r="X182" i="11" s="1"/>
  <c r="U183" i="11"/>
  <c r="U186" i="11"/>
  <c r="X186" i="11" s="1"/>
  <c r="U188" i="11"/>
  <c r="U189" i="11"/>
  <c r="U190" i="11"/>
  <c r="X190" i="11" s="1"/>
  <c r="U191" i="11"/>
  <c r="X191" i="11" s="1"/>
  <c r="U196" i="11"/>
  <c r="X196" i="11" s="1"/>
  <c r="U197" i="11"/>
  <c r="U198" i="11"/>
  <c r="X198" i="11" s="1"/>
  <c r="U199" i="11"/>
  <c r="U200" i="11"/>
  <c r="X200" i="11" s="1"/>
  <c r="U201" i="11"/>
  <c r="X201" i="11" s="1"/>
  <c r="U202" i="11"/>
  <c r="X202" i="11" s="1"/>
  <c r="U204" i="11"/>
  <c r="X204" i="11" s="1"/>
  <c r="X203" i="11" s="1"/>
  <c r="U205" i="11"/>
  <c r="X205" i="11" s="1"/>
  <c r="U212" i="11"/>
  <c r="U213" i="11"/>
  <c r="U214" i="11"/>
  <c r="U215" i="11"/>
  <c r="X215" i="11" s="1"/>
  <c r="AH215" i="11" s="1"/>
  <c r="U216" i="11"/>
  <c r="U217" i="11"/>
  <c r="U218" i="11"/>
  <c r="X218" i="11" s="1"/>
  <c r="AH218" i="11" s="1"/>
  <c r="U223" i="11"/>
  <c r="X223" i="11" s="1"/>
  <c r="U224" i="11"/>
  <c r="U225" i="11"/>
  <c r="U228" i="11"/>
  <c r="U229" i="11"/>
  <c r="U230" i="11"/>
  <c r="U236" i="11"/>
  <c r="U237" i="11"/>
  <c r="X237" i="11" s="1"/>
  <c r="AH237" i="11" s="1"/>
  <c r="U238" i="11"/>
  <c r="X238" i="11" s="1"/>
  <c r="U239" i="11"/>
  <c r="U240" i="11"/>
  <c r="X240" i="11" s="1"/>
  <c r="U241" i="11"/>
  <c r="X241" i="11" s="1"/>
  <c r="U244" i="11"/>
  <c r="X244" i="11" s="1"/>
  <c r="U245" i="11"/>
  <c r="U246" i="11"/>
  <c r="U247" i="11"/>
  <c r="X247" i="11" s="1"/>
  <c r="U248" i="11"/>
  <c r="X248" i="11" s="1"/>
  <c r="U249" i="11"/>
  <c r="U250" i="11"/>
  <c r="X250" i="11" s="1"/>
  <c r="AH250" i="11" s="1"/>
  <c r="U251" i="11"/>
  <c r="U252" i="11"/>
  <c r="X252" i="11" s="1"/>
  <c r="U253" i="11"/>
  <c r="X253" i="11" s="1"/>
  <c r="U254" i="11"/>
  <c r="X254" i="11" s="1"/>
  <c r="U255" i="11"/>
  <c r="U256" i="11"/>
  <c r="G32" i="11"/>
  <c r="G51" i="11"/>
  <c r="G117" i="11"/>
  <c r="H78" i="11"/>
  <c r="I32" i="11"/>
  <c r="I51" i="11"/>
  <c r="I117" i="11"/>
  <c r="J57" i="11"/>
  <c r="AB222" i="11"/>
  <c r="L81" i="11"/>
  <c r="AD222" i="11"/>
  <c r="AI138" i="11"/>
  <c r="C81" i="11"/>
  <c r="D22" i="10"/>
  <c r="D29" i="10"/>
  <c r="D35" i="10"/>
  <c r="D42" i="10"/>
  <c r="D45" i="10"/>
  <c r="D48" i="10"/>
  <c r="D81" i="10"/>
  <c r="V58" i="10"/>
  <c r="V57" i="10" s="1"/>
  <c r="V96" i="10"/>
  <c r="V141" i="10"/>
  <c r="V187" i="10"/>
  <c r="V185" i="10" s="1"/>
  <c r="V203" i="10"/>
  <c r="E10" i="10"/>
  <c r="E22" i="10"/>
  <c r="E29" i="10"/>
  <c r="E32" i="10"/>
  <c r="E35" i="10"/>
  <c r="E42" i="10"/>
  <c r="E48" i="10"/>
  <c r="E51" i="10"/>
  <c r="E60" i="10"/>
  <c r="E63" i="10"/>
  <c r="E69" i="10"/>
  <c r="E72" i="10"/>
  <c r="E78" i="10"/>
  <c r="E81" i="10"/>
  <c r="E117" i="10"/>
  <c r="E108" i="10" s="1"/>
  <c r="W20" i="10"/>
  <c r="W16" i="10" s="1"/>
  <c r="W35" i="10"/>
  <c r="W58" i="10"/>
  <c r="W57" i="10" s="1"/>
  <c r="W91" i="10"/>
  <c r="W105" i="10"/>
  <c r="W104" i="10" s="1"/>
  <c r="W123" i="10"/>
  <c r="W203" i="10"/>
  <c r="W222" i="10"/>
  <c r="C12" i="10"/>
  <c r="F12" i="10" s="1"/>
  <c r="C13" i="10"/>
  <c r="F13" i="10" s="1"/>
  <c r="C14" i="10"/>
  <c r="C15" i="10"/>
  <c r="F15" i="10" s="1"/>
  <c r="C23" i="10"/>
  <c r="F23" i="10" s="1"/>
  <c r="C24" i="10"/>
  <c r="C26" i="10"/>
  <c r="C27" i="10"/>
  <c r="F27" i="10" s="1"/>
  <c r="N27" i="10" s="1"/>
  <c r="C30" i="10"/>
  <c r="F30" i="10" s="1"/>
  <c r="C31" i="10"/>
  <c r="F31" i="10" s="1"/>
  <c r="C33" i="10"/>
  <c r="C34" i="10"/>
  <c r="F34" i="10" s="1"/>
  <c r="C36" i="10"/>
  <c r="F36" i="10" s="1"/>
  <c r="C37" i="10"/>
  <c r="F37" i="10" s="1"/>
  <c r="C43" i="10"/>
  <c r="F43" i="10" s="1"/>
  <c r="C44" i="10"/>
  <c r="F44" i="10" s="1"/>
  <c r="N44" i="10" s="1"/>
  <c r="C46" i="10"/>
  <c r="C47" i="10"/>
  <c r="C49" i="10"/>
  <c r="C50" i="10"/>
  <c r="F50" i="10" s="1"/>
  <c r="C52" i="10"/>
  <c r="C53" i="10"/>
  <c r="C55" i="10"/>
  <c r="F55" i="10"/>
  <c r="N55" i="10" s="1"/>
  <c r="C56" i="10"/>
  <c r="C58" i="10"/>
  <c r="C59" i="10"/>
  <c r="F59" i="10"/>
  <c r="C61" i="10"/>
  <c r="C62" i="10"/>
  <c r="C64" i="10"/>
  <c r="C65" i="10"/>
  <c r="F65" i="10" s="1"/>
  <c r="C67" i="10"/>
  <c r="C68" i="10"/>
  <c r="C70" i="10"/>
  <c r="C71" i="10"/>
  <c r="C73" i="10"/>
  <c r="C74" i="10"/>
  <c r="C76" i="10"/>
  <c r="C77" i="10"/>
  <c r="F77" i="10" s="1"/>
  <c r="C79" i="10"/>
  <c r="C80" i="10"/>
  <c r="C82" i="10"/>
  <c r="F82" i="10" s="1"/>
  <c r="C83" i="10"/>
  <c r="F83" i="10" s="1"/>
  <c r="C86" i="10"/>
  <c r="C87" i="10"/>
  <c r="F87" i="10" s="1"/>
  <c r="C88" i="10"/>
  <c r="F88" i="10" s="1"/>
  <c r="C89" i="10"/>
  <c r="C90" i="10"/>
  <c r="F90" i="10" s="1"/>
  <c r="AQ13" i="10" s="1"/>
  <c r="C91" i="10"/>
  <c r="F91" i="10" s="1"/>
  <c r="C92" i="10"/>
  <c r="F92" i="10" s="1"/>
  <c r="C94" i="10"/>
  <c r="C95" i="10"/>
  <c r="C96" i="10"/>
  <c r="C97" i="10"/>
  <c r="F97" i="10" s="1"/>
  <c r="C100" i="10"/>
  <c r="F100" i="10" s="1"/>
  <c r="C101" i="10"/>
  <c r="F101" i="10" s="1"/>
  <c r="C102" i="10"/>
  <c r="C103" i="10"/>
  <c r="F103" i="10" s="1"/>
  <c r="C104" i="10"/>
  <c r="F104" i="10" s="1"/>
  <c r="C105" i="10"/>
  <c r="C106" i="10"/>
  <c r="C109" i="10"/>
  <c r="C110" i="10"/>
  <c r="F110" i="10" s="1"/>
  <c r="C111" i="10"/>
  <c r="C112" i="10"/>
  <c r="C113" i="10"/>
  <c r="C114" i="10"/>
  <c r="F114" i="10" s="1"/>
  <c r="C115" i="10"/>
  <c r="F115" i="10" s="1"/>
  <c r="M115" i="10" s="1"/>
  <c r="C116" i="10"/>
  <c r="F116" i="10" s="1"/>
  <c r="C118" i="10"/>
  <c r="C119" i="10"/>
  <c r="F119" i="10" s="1"/>
  <c r="U17" i="10"/>
  <c r="U18" i="10"/>
  <c r="X18" i="10" s="1"/>
  <c r="U19" i="10"/>
  <c r="U21" i="10"/>
  <c r="U22" i="10"/>
  <c r="X22" i="10" s="1"/>
  <c r="U23" i="10"/>
  <c r="X23" i="10" s="1"/>
  <c r="U24" i="10"/>
  <c r="U25" i="10"/>
  <c r="X25" i="10" s="1"/>
  <c r="U26" i="10"/>
  <c r="X26" i="10" s="1"/>
  <c r="U27" i="10"/>
  <c r="X27" i="10" s="1"/>
  <c r="U28" i="10"/>
  <c r="X28" i="10" s="1"/>
  <c r="U29" i="10"/>
  <c r="X29" i="10" s="1"/>
  <c r="U30" i="10"/>
  <c r="X30" i="10" s="1"/>
  <c r="AH30" i="10" s="1"/>
  <c r="U31" i="10"/>
  <c r="X31" i="10" s="1"/>
  <c r="U32" i="10"/>
  <c r="X32" i="10" s="1"/>
  <c r="U33" i="10"/>
  <c r="X33" i="10" s="1"/>
  <c r="U36" i="10"/>
  <c r="X36" i="10" s="1"/>
  <c r="U37" i="10"/>
  <c r="X37" i="10" s="1"/>
  <c r="U38" i="10"/>
  <c r="X38" i="10" s="1"/>
  <c r="U39" i="10"/>
  <c r="X39" i="10" s="1"/>
  <c r="U40" i="10"/>
  <c r="X40" i="10" s="1"/>
  <c r="AI40" i="10" s="1"/>
  <c r="U41" i="10"/>
  <c r="U45" i="10"/>
  <c r="U46" i="10"/>
  <c r="X46" i="10" s="1"/>
  <c r="U47" i="10"/>
  <c r="X47" i="10" s="1"/>
  <c r="U48" i="10"/>
  <c r="X48" i="10" s="1"/>
  <c r="U50" i="10"/>
  <c r="U51" i="10"/>
  <c r="U52" i="10"/>
  <c r="X52" i="10" s="1"/>
  <c r="U53" i="10"/>
  <c r="X53" i="10" s="1"/>
  <c r="U54" i="10"/>
  <c r="X54" i="10" s="1"/>
  <c r="U55" i="10"/>
  <c r="U59" i="10"/>
  <c r="X59" i="10" s="1"/>
  <c r="U60" i="10"/>
  <c r="X60" i="10" s="1"/>
  <c r="U61" i="10"/>
  <c r="U66" i="10"/>
  <c r="X66" i="10" s="1"/>
  <c r="U67" i="10"/>
  <c r="X67" i="10" s="1"/>
  <c r="U68" i="10"/>
  <c r="U70" i="10"/>
  <c r="X70" i="10" s="1"/>
  <c r="U71" i="10"/>
  <c r="X71" i="10" s="1"/>
  <c r="U72" i="10"/>
  <c r="X72" i="10" s="1"/>
  <c r="U73" i="10"/>
  <c r="X73" i="10" s="1"/>
  <c r="U74" i="10"/>
  <c r="X74" i="10" s="1"/>
  <c r="AI74" i="10" s="1"/>
  <c r="U75" i="10"/>
  <c r="U76" i="10"/>
  <c r="U77" i="10"/>
  <c r="U78" i="10"/>
  <c r="X78" i="10" s="1"/>
  <c r="U79" i="10"/>
  <c r="X79" i="10" s="1"/>
  <c r="U80" i="10"/>
  <c r="X80" i="10" s="1"/>
  <c r="U81" i="10"/>
  <c r="U84" i="10"/>
  <c r="U85" i="10"/>
  <c r="X85" i="10" s="1"/>
  <c r="U86" i="10"/>
  <c r="X86" i="10" s="1"/>
  <c r="U87" i="10"/>
  <c r="U88" i="10"/>
  <c r="U92" i="10"/>
  <c r="X92" i="10" s="1"/>
  <c r="U93" i="10"/>
  <c r="X93" i="10" s="1"/>
  <c r="U94" i="10"/>
  <c r="U95" i="10"/>
  <c r="X95" i="10" s="1"/>
  <c r="U97" i="10"/>
  <c r="X97" i="10" s="1"/>
  <c r="U98" i="10"/>
  <c r="X98" i="10" s="1"/>
  <c r="U99" i="10"/>
  <c r="U100" i="10"/>
  <c r="U101" i="10"/>
  <c r="X101" i="10" s="1"/>
  <c r="U102" i="10"/>
  <c r="U106" i="10"/>
  <c r="U107" i="10"/>
  <c r="X107" i="10" s="1"/>
  <c r="U108" i="10"/>
  <c r="X108" i="10" s="1"/>
  <c r="AI108" i="10" s="1"/>
  <c r="U115" i="10"/>
  <c r="U116" i="10"/>
  <c r="U117" i="10"/>
  <c r="X117" i="10" s="1"/>
  <c r="AH117" i="10" s="1"/>
  <c r="U118" i="10"/>
  <c r="X118" i="10" s="1"/>
  <c r="U119" i="10"/>
  <c r="X119" i="10" s="1"/>
  <c r="AH119" i="10" s="1"/>
  <c r="U120" i="10"/>
  <c r="U121" i="10"/>
  <c r="U124" i="10"/>
  <c r="X124" i="10" s="1"/>
  <c r="U125" i="10"/>
  <c r="X125" i="10" s="1"/>
  <c r="U126" i="10"/>
  <c r="U127" i="10"/>
  <c r="X127" i="10" s="1"/>
  <c r="U128" i="10"/>
  <c r="X128" i="10" s="1"/>
  <c r="U129" i="10"/>
  <c r="X129" i="10" s="1"/>
  <c r="U130" i="10"/>
  <c r="U131" i="10"/>
  <c r="U132" i="10"/>
  <c r="X132" i="10" s="1"/>
  <c r="U133" i="10"/>
  <c r="X133" i="10" s="1"/>
  <c r="U134" i="10"/>
  <c r="U135" i="10"/>
  <c r="X135" i="10" s="1"/>
  <c r="AI135" i="10" s="1"/>
  <c r="U136" i="10"/>
  <c r="X136" i="10" s="1"/>
  <c r="AH136" i="10" s="1"/>
  <c r="U137" i="10"/>
  <c r="X137" i="10" s="1"/>
  <c r="AH137" i="10" s="1"/>
  <c r="U138" i="10"/>
  <c r="U139" i="10"/>
  <c r="U142" i="10"/>
  <c r="U143" i="10"/>
  <c r="X143" i="10" s="1"/>
  <c r="U148" i="10"/>
  <c r="U150" i="10"/>
  <c r="U151" i="10"/>
  <c r="U152" i="10"/>
  <c r="X152" i="10" s="1"/>
  <c r="U153" i="10"/>
  <c r="U156" i="10"/>
  <c r="U158" i="10"/>
  <c r="X158" i="10" s="1"/>
  <c r="U159" i="10"/>
  <c r="U160" i="10"/>
  <c r="U161" i="10"/>
  <c r="U162" i="10"/>
  <c r="X162" i="10" s="1"/>
  <c r="U163" i="10"/>
  <c r="X163" i="10" s="1"/>
  <c r="U164" i="10"/>
  <c r="U165" i="10"/>
  <c r="U166" i="10"/>
  <c r="X166" i="10" s="1"/>
  <c r="U167" i="10"/>
  <c r="X167" i="10" s="1"/>
  <c r="U168" i="10"/>
  <c r="U173" i="10"/>
  <c r="U174" i="10"/>
  <c r="U177" i="10"/>
  <c r="X177" i="10" s="1"/>
  <c r="U178" i="10"/>
  <c r="U179" i="10"/>
  <c r="U180" i="10"/>
  <c r="X180" i="10" s="1"/>
  <c r="U181" i="10"/>
  <c r="U182" i="10"/>
  <c r="U183" i="10"/>
  <c r="U186" i="10"/>
  <c r="X186" i="10" s="1"/>
  <c r="AI186" i="10" s="1"/>
  <c r="U188" i="10"/>
  <c r="U189" i="10"/>
  <c r="U190" i="10"/>
  <c r="X190" i="10" s="1"/>
  <c r="U191" i="10"/>
  <c r="X191" i="10" s="1"/>
  <c r="U196" i="10"/>
  <c r="U197" i="10"/>
  <c r="U198" i="10"/>
  <c r="X198" i="10" s="1"/>
  <c r="U199" i="10"/>
  <c r="X199" i="10" s="1"/>
  <c r="U200" i="10"/>
  <c r="X200" i="10" s="1"/>
  <c r="U201" i="10"/>
  <c r="U202" i="10"/>
  <c r="X202" i="10" s="1"/>
  <c r="U204" i="10"/>
  <c r="X204" i="10" s="1"/>
  <c r="X203" i="10" s="1"/>
  <c r="U205" i="10"/>
  <c r="U212" i="10"/>
  <c r="U213" i="10"/>
  <c r="U214" i="10"/>
  <c r="U215" i="10"/>
  <c r="X215" i="10" s="1"/>
  <c r="AH215" i="10" s="1"/>
  <c r="U216" i="10"/>
  <c r="U217" i="10"/>
  <c r="U218" i="10"/>
  <c r="X218" i="10" s="1"/>
  <c r="U223" i="10"/>
  <c r="U224" i="10"/>
  <c r="U225" i="10"/>
  <c r="U228" i="10"/>
  <c r="U229" i="10"/>
  <c r="U230" i="10"/>
  <c r="U236" i="10"/>
  <c r="X236" i="10"/>
  <c r="U237" i="10"/>
  <c r="X237" i="10" s="1"/>
  <c r="U238" i="10"/>
  <c r="X238" i="10" s="1"/>
  <c r="AI238" i="10" s="1"/>
  <c r="U239" i="10"/>
  <c r="U240" i="10"/>
  <c r="X240" i="10" s="1"/>
  <c r="U241" i="10"/>
  <c r="X241" i="10" s="1"/>
  <c r="U244" i="10"/>
  <c r="X244" i="10" s="1"/>
  <c r="U245" i="10"/>
  <c r="U246" i="10"/>
  <c r="X246" i="10" s="1"/>
  <c r="AI246" i="10" s="1"/>
  <c r="U247" i="10"/>
  <c r="U248" i="10"/>
  <c r="X248" i="10" s="1"/>
  <c r="AI248" i="10" s="1"/>
  <c r="U249" i="10"/>
  <c r="X249" i="10" s="1"/>
  <c r="U250" i="10"/>
  <c r="X250" i="10" s="1"/>
  <c r="AI250" i="10" s="1"/>
  <c r="U251" i="10"/>
  <c r="U252" i="10"/>
  <c r="X252" i="10" s="1"/>
  <c r="U253" i="10"/>
  <c r="X253" i="10" s="1"/>
  <c r="AH253" i="10" s="1"/>
  <c r="U254" i="10"/>
  <c r="X254" i="10" s="1"/>
  <c r="U255" i="10"/>
  <c r="U256" i="10"/>
  <c r="X256" i="10" s="1"/>
  <c r="AI256" i="10" s="1"/>
  <c r="G32" i="10"/>
  <c r="G45" i="10"/>
  <c r="G51" i="10"/>
  <c r="G117" i="10"/>
  <c r="H78" i="10"/>
  <c r="I32" i="10"/>
  <c r="I51" i="10"/>
  <c r="I117" i="10"/>
  <c r="BD21" i="10" s="1"/>
  <c r="AA141" i="10"/>
  <c r="BO20" i="10" s="1"/>
  <c r="J32" i="10"/>
  <c r="J57" i="10"/>
  <c r="AB222" i="10"/>
  <c r="L32" i="10"/>
  <c r="L81" i="10"/>
  <c r="AD172" i="10"/>
  <c r="AD222" i="10"/>
  <c r="N115" i="10"/>
  <c r="AH254" i="10"/>
  <c r="C32" i="10"/>
  <c r="C81" i="10"/>
  <c r="C117" i="10"/>
  <c r="D22" i="7"/>
  <c r="D29" i="7"/>
  <c r="D35" i="7"/>
  <c r="D42" i="7"/>
  <c r="D45" i="7"/>
  <c r="D48" i="7"/>
  <c r="D54" i="7"/>
  <c r="D57" i="7"/>
  <c r="D63" i="7"/>
  <c r="D66" i="7"/>
  <c r="D75" i="7"/>
  <c r="D78" i="7"/>
  <c r="D81" i="7"/>
  <c r="V49" i="7"/>
  <c r="V58" i="7"/>
  <c r="V57" i="7" s="1"/>
  <c r="V83" i="7"/>
  <c r="V96" i="7"/>
  <c r="V123" i="7"/>
  <c r="V141" i="7"/>
  <c r="V172" i="7"/>
  <c r="V187" i="7"/>
  <c r="V185" i="7" s="1"/>
  <c r="V195" i="7"/>
  <c r="V203" i="7"/>
  <c r="V222" i="7"/>
  <c r="V227" i="7"/>
  <c r="V235" i="7"/>
  <c r="E10" i="7"/>
  <c r="E22" i="7"/>
  <c r="E25" i="7"/>
  <c r="E29" i="7"/>
  <c r="E32" i="7"/>
  <c r="E35" i="7"/>
  <c r="E42" i="7"/>
  <c r="E48" i="7"/>
  <c r="E51" i="7"/>
  <c r="E57" i="7"/>
  <c r="E60" i="7"/>
  <c r="E63" i="7"/>
  <c r="E69" i="7"/>
  <c r="E72" i="7"/>
  <c r="E78" i="7"/>
  <c r="E81" i="7"/>
  <c r="E93" i="7"/>
  <c r="E85" i="7" s="1"/>
  <c r="E117" i="7"/>
  <c r="W20" i="7"/>
  <c r="W16" i="7" s="1"/>
  <c r="W35" i="7"/>
  <c r="W44" i="7"/>
  <c r="W58" i="7"/>
  <c r="W57" i="7" s="1"/>
  <c r="W91" i="7"/>
  <c r="W105" i="7"/>
  <c r="W104" i="7" s="1"/>
  <c r="W123" i="7"/>
  <c r="W141" i="7"/>
  <c r="W149" i="7"/>
  <c r="W147" i="7" s="1"/>
  <c r="W187" i="7"/>
  <c r="W185" i="7" s="1"/>
  <c r="W195" i="7"/>
  <c r="W203" i="7"/>
  <c r="W227" i="7"/>
  <c r="W235" i="7"/>
  <c r="C12" i="7"/>
  <c r="C13" i="7"/>
  <c r="F13" i="7" s="1"/>
  <c r="C14" i="7"/>
  <c r="C15" i="7"/>
  <c r="F15" i="7" s="1"/>
  <c r="C23" i="7"/>
  <c r="F23" i="7" s="1"/>
  <c r="C24" i="7"/>
  <c r="F24" i="7" s="1"/>
  <c r="C26" i="7"/>
  <c r="C27" i="7"/>
  <c r="F27" i="7" s="1"/>
  <c r="C30" i="7"/>
  <c r="F30" i="7" s="1"/>
  <c r="C31" i="7"/>
  <c r="F31" i="7" s="1"/>
  <c r="C33" i="7"/>
  <c r="C34" i="7"/>
  <c r="C36" i="7"/>
  <c r="F36" i="7" s="1"/>
  <c r="C37" i="7"/>
  <c r="F37" i="7" s="1"/>
  <c r="C41" i="7"/>
  <c r="F41" i="7" s="1"/>
  <c r="M41" i="7" s="1"/>
  <c r="C43" i="7"/>
  <c r="F43" i="7" s="1"/>
  <c r="N43" i="7" s="1"/>
  <c r="C44" i="7"/>
  <c r="F44" i="7" s="1"/>
  <c r="C46" i="7"/>
  <c r="C47" i="7"/>
  <c r="F47" i="7" s="1"/>
  <c r="M47" i="7" s="1"/>
  <c r="C49" i="7"/>
  <c r="F49" i="7" s="1"/>
  <c r="M49" i="7" s="1"/>
  <c r="C50" i="7"/>
  <c r="F50" i="7" s="1"/>
  <c r="C52" i="7"/>
  <c r="F52" i="7" s="1"/>
  <c r="C53" i="7"/>
  <c r="F53" i="7" s="1"/>
  <c r="C55" i="7"/>
  <c r="C56" i="7"/>
  <c r="F56" i="7" s="1"/>
  <c r="N56" i="7" s="1"/>
  <c r="C58" i="7"/>
  <c r="F58" i="7" s="1"/>
  <c r="C59" i="7"/>
  <c r="F59" i="7" s="1"/>
  <c r="F57" i="7" s="1"/>
  <c r="C61" i="7"/>
  <c r="C62" i="7"/>
  <c r="C64" i="7"/>
  <c r="F64" i="7" s="1"/>
  <c r="C65" i="7"/>
  <c r="F65" i="7" s="1"/>
  <c r="C67" i="7"/>
  <c r="C68" i="7"/>
  <c r="F68" i="7" s="1"/>
  <c r="C70" i="7"/>
  <c r="F70" i="7" s="1"/>
  <c r="C71" i="7"/>
  <c r="F71" i="7" s="1"/>
  <c r="C73" i="7"/>
  <c r="F73" i="7" s="1"/>
  <c r="C74" i="7"/>
  <c r="F74" i="7" s="1"/>
  <c r="C76" i="7"/>
  <c r="C77" i="7"/>
  <c r="F77" i="7" s="1"/>
  <c r="C79" i="7"/>
  <c r="C80" i="7"/>
  <c r="C82" i="7"/>
  <c r="C83" i="7"/>
  <c r="F83" i="7" s="1"/>
  <c r="C86" i="7"/>
  <c r="F86" i="7" s="1"/>
  <c r="C87" i="7"/>
  <c r="F87" i="7" s="1"/>
  <c r="C88" i="7"/>
  <c r="C89" i="7"/>
  <c r="F89" i="7" s="1"/>
  <c r="M89" i="7" s="1"/>
  <c r="C90" i="7"/>
  <c r="F90" i="7" s="1"/>
  <c r="C91" i="7"/>
  <c r="F91" i="7" s="1"/>
  <c r="N91" i="7" s="1"/>
  <c r="C92" i="7"/>
  <c r="F92" i="7" s="1"/>
  <c r="N92" i="7" s="1"/>
  <c r="C94" i="7"/>
  <c r="C95" i="7"/>
  <c r="F95" i="7" s="1"/>
  <c r="C96" i="7"/>
  <c r="C97" i="7"/>
  <c r="F97" i="7" s="1"/>
  <c r="C100" i="7"/>
  <c r="C101" i="7"/>
  <c r="F101" i="7" s="1"/>
  <c r="C102" i="7"/>
  <c r="C103" i="7"/>
  <c r="F103" i="7" s="1"/>
  <c r="C104" i="7"/>
  <c r="F104" i="7" s="1"/>
  <c r="C105" i="7"/>
  <c r="C106" i="7"/>
  <c r="C109" i="7"/>
  <c r="F109" i="7" s="1"/>
  <c r="C110" i="7"/>
  <c r="F110" i="7" s="1"/>
  <c r="C111" i="7"/>
  <c r="C112" i="7"/>
  <c r="F112" i="7"/>
  <c r="C113" i="7"/>
  <c r="C114" i="7"/>
  <c r="F114" i="7" s="1"/>
  <c r="C115" i="7"/>
  <c r="C116" i="7"/>
  <c r="F116" i="7" s="1"/>
  <c r="C118" i="7"/>
  <c r="C119" i="7"/>
  <c r="F119" i="7" s="1"/>
  <c r="M119" i="7" s="1"/>
  <c r="U17" i="7"/>
  <c r="U18" i="7"/>
  <c r="X18" i="7" s="1"/>
  <c r="U19" i="7"/>
  <c r="U21" i="7"/>
  <c r="X21" i="7" s="1"/>
  <c r="U22" i="7"/>
  <c r="U23" i="7"/>
  <c r="X23" i="7" s="1"/>
  <c r="U24" i="7"/>
  <c r="U25" i="7"/>
  <c r="X25" i="7" s="1"/>
  <c r="U26" i="7"/>
  <c r="U27" i="7"/>
  <c r="X27" i="7" s="1"/>
  <c r="U28" i="7"/>
  <c r="X28" i="7" s="1"/>
  <c r="U29" i="7"/>
  <c r="X29" i="7" s="1"/>
  <c r="U30" i="7"/>
  <c r="X30" i="7" s="1"/>
  <c r="U31" i="7"/>
  <c r="U32" i="7"/>
  <c r="X32" i="7" s="1"/>
  <c r="U33" i="7"/>
  <c r="U36" i="7"/>
  <c r="X36" i="7" s="1"/>
  <c r="U37" i="7"/>
  <c r="X37" i="7" s="1"/>
  <c r="U38" i="7"/>
  <c r="X38" i="7" s="1"/>
  <c r="U39" i="7"/>
  <c r="X39" i="7" s="1"/>
  <c r="U40" i="7"/>
  <c r="X40" i="7" s="1"/>
  <c r="U41" i="7"/>
  <c r="U45" i="7"/>
  <c r="U46" i="7"/>
  <c r="X46" i="7" s="1"/>
  <c r="U47" i="7"/>
  <c r="X47" i="7" s="1"/>
  <c r="U48" i="7"/>
  <c r="X48" i="7" s="1"/>
  <c r="U50" i="7"/>
  <c r="X50" i="7" s="1"/>
  <c r="U51" i="7"/>
  <c r="X51" i="7" s="1"/>
  <c r="U52" i="7"/>
  <c r="X52" i="7" s="1"/>
  <c r="AH52" i="7" s="1"/>
  <c r="U53" i="7"/>
  <c r="X53" i="7" s="1"/>
  <c r="U54" i="7"/>
  <c r="X54" i="7" s="1"/>
  <c r="U55" i="7"/>
  <c r="U59" i="7"/>
  <c r="X59" i="7" s="1"/>
  <c r="U60" i="7"/>
  <c r="X60" i="7" s="1"/>
  <c r="U61" i="7"/>
  <c r="U66" i="7"/>
  <c r="X66" i="7" s="1"/>
  <c r="U67" i="7"/>
  <c r="X67" i="7" s="1"/>
  <c r="AH67" i="7" s="1"/>
  <c r="U68" i="7"/>
  <c r="X68" i="7" s="1"/>
  <c r="U70" i="7"/>
  <c r="X70" i="7" s="1"/>
  <c r="U71" i="7"/>
  <c r="X71" i="7" s="1"/>
  <c r="U72" i="7"/>
  <c r="U73" i="7"/>
  <c r="U74" i="7"/>
  <c r="X74" i="7" s="1"/>
  <c r="AI74" i="7" s="1"/>
  <c r="U75" i="7"/>
  <c r="X75" i="7" s="1"/>
  <c r="U76" i="7"/>
  <c r="U77" i="7"/>
  <c r="X77" i="7" s="1"/>
  <c r="U78" i="7"/>
  <c r="X78" i="7" s="1"/>
  <c r="U79" i="7"/>
  <c r="X79" i="7" s="1"/>
  <c r="U80" i="7"/>
  <c r="U81" i="7"/>
  <c r="U84" i="7"/>
  <c r="U85" i="7"/>
  <c r="U86" i="7"/>
  <c r="U87" i="7"/>
  <c r="X87" i="7" s="1"/>
  <c r="U88" i="7"/>
  <c r="U92" i="7"/>
  <c r="X92" i="7" s="1"/>
  <c r="U93" i="7"/>
  <c r="U94" i="7"/>
  <c r="X94" i="7" s="1"/>
  <c r="AH94" i="7" s="1"/>
  <c r="U95" i="7"/>
  <c r="U97" i="7"/>
  <c r="X97" i="7" s="1"/>
  <c r="U98" i="7"/>
  <c r="U99" i="7"/>
  <c r="X99" i="7" s="1"/>
  <c r="U100" i="7"/>
  <c r="U101" i="7"/>
  <c r="X101" i="7" s="1"/>
  <c r="U102" i="7"/>
  <c r="U106" i="7"/>
  <c r="X106" i="7" s="1"/>
  <c r="U107" i="7"/>
  <c r="U108" i="7"/>
  <c r="X108" i="7" s="1"/>
  <c r="U115" i="7"/>
  <c r="U116" i="7"/>
  <c r="X116" i="7" s="1"/>
  <c r="U117" i="7"/>
  <c r="X117" i="7" s="1"/>
  <c r="U118" i="7"/>
  <c r="U119" i="7"/>
  <c r="U120" i="7"/>
  <c r="X120" i="7" s="1"/>
  <c r="U121" i="7"/>
  <c r="X121" i="7" s="1"/>
  <c r="AI121" i="7" s="1"/>
  <c r="U124" i="7"/>
  <c r="U125" i="7"/>
  <c r="U126" i="7"/>
  <c r="X126" i="7" s="1"/>
  <c r="U127" i="7"/>
  <c r="X127" i="7" s="1"/>
  <c r="U128" i="7"/>
  <c r="X128" i="7" s="1"/>
  <c r="U129" i="7"/>
  <c r="U130" i="7"/>
  <c r="X130" i="7" s="1"/>
  <c r="AH130" i="7" s="1"/>
  <c r="U131" i="7"/>
  <c r="U132" i="7"/>
  <c r="X132" i="7" s="1"/>
  <c r="U133" i="7"/>
  <c r="X133" i="7" s="1"/>
  <c r="U134" i="7"/>
  <c r="X134" i="7" s="1"/>
  <c r="U135" i="7"/>
  <c r="X135" i="7" s="1"/>
  <c r="U136" i="7"/>
  <c r="X136" i="7" s="1"/>
  <c r="U137" i="7"/>
  <c r="X137" i="7" s="1"/>
  <c r="U138" i="7"/>
  <c r="X138" i="7" s="1"/>
  <c r="U139" i="7"/>
  <c r="U142" i="7"/>
  <c r="U143" i="7"/>
  <c r="X143" i="7" s="1"/>
  <c r="U148" i="7"/>
  <c r="X148" i="7" s="1"/>
  <c r="U150" i="7"/>
  <c r="U151" i="7"/>
  <c r="X151" i="7" s="1"/>
  <c r="U152" i="7"/>
  <c r="X152" i="7" s="1"/>
  <c r="U153" i="7"/>
  <c r="U156" i="7"/>
  <c r="U158" i="7"/>
  <c r="U159" i="7"/>
  <c r="U160" i="7"/>
  <c r="X160" i="7" s="1"/>
  <c r="AI160" i="7" s="1"/>
  <c r="U161" i="7"/>
  <c r="U162" i="7"/>
  <c r="X162" i="7" s="1"/>
  <c r="U163" i="7"/>
  <c r="X163" i="7" s="1"/>
  <c r="U164" i="7"/>
  <c r="X164" i="7" s="1"/>
  <c r="AH164" i="7" s="1"/>
  <c r="U165" i="7"/>
  <c r="U166" i="7"/>
  <c r="X166" i="7" s="1"/>
  <c r="U167" i="7"/>
  <c r="X167" i="7" s="1"/>
  <c r="U168" i="7"/>
  <c r="U173" i="7"/>
  <c r="U174" i="7"/>
  <c r="U177" i="7"/>
  <c r="X177" i="7" s="1"/>
  <c r="BN23" i="7" s="1"/>
  <c r="U178" i="7"/>
  <c r="X178" i="7" s="1"/>
  <c r="U179" i="7"/>
  <c r="U180" i="7"/>
  <c r="X180" i="7" s="1"/>
  <c r="U181" i="7"/>
  <c r="U182" i="7"/>
  <c r="X182" i="7" s="1"/>
  <c r="U183" i="7"/>
  <c r="U186" i="7"/>
  <c r="X186" i="7" s="1"/>
  <c r="U188" i="7"/>
  <c r="X188" i="7" s="1"/>
  <c r="U189" i="7"/>
  <c r="X189" i="7" s="1"/>
  <c r="U190" i="7"/>
  <c r="X190" i="7" s="1"/>
  <c r="U191" i="7"/>
  <c r="X191" i="7" s="1"/>
  <c r="U196" i="7"/>
  <c r="X196" i="7" s="1"/>
  <c r="U197" i="7"/>
  <c r="X197" i="7" s="1"/>
  <c r="AI197" i="7" s="1"/>
  <c r="U198" i="7"/>
  <c r="X198" i="7" s="1"/>
  <c r="U199" i="7"/>
  <c r="X199" i="7" s="1"/>
  <c r="AI199" i="7" s="1"/>
  <c r="U200" i="7"/>
  <c r="X200" i="7" s="1"/>
  <c r="U201" i="7"/>
  <c r="X201" i="7" s="1"/>
  <c r="AH201" i="7" s="1"/>
  <c r="U202" i="7"/>
  <c r="X202" i="7" s="1"/>
  <c r="U204" i="7"/>
  <c r="U205" i="7"/>
  <c r="X205" i="7" s="1"/>
  <c r="U212" i="7"/>
  <c r="U213" i="7"/>
  <c r="U214" i="7"/>
  <c r="X214" i="7" s="1"/>
  <c r="U215" i="7"/>
  <c r="X215" i="7" s="1"/>
  <c r="U216" i="7"/>
  <c r="X216" i="7" s="1"/>
  <c r="U217" i="7"/>
  <c r="X217" i="7" s="1"/>
  <c r="U218" i="7"/>
  <c r="X218" i="7" s="1"/>
  <c r="U223" i="7"/>
  <c r="X223" i="7" s="1"/>
  <c r="U224" i="7"/>
  <c r="X224" i="7" s="1"/>
  <c r="U225" i="7"/>
  <c r="X225" i="7" s="1"/>
  <c r="U228" i="7"/>
  <c r="X228" i="7" s="1"/>
  <c r="AH228" i="7" s="1"/>
  <c r="U229" i="7"/>
  <c r="U230" i="7"/>
  <c r="X230" i="7" s="1"/>
  <c r="U236" i="7"/>
  <c r="X236" i="7" s="1"/>
  <c r="U237" i="7"/>
  <c r="U238" i="7"/>
  <c r="X238" i="7" s="1"/>
  <c r="U239" i="7"/>
  <c r="X239" i="7" s="1"/>
  <c r="U240" i="7"/>
  <c r="X240" i="7" s="1"/>
  <c r="AI240" i="7" s="1"/>
  <c r="U241" i="7"/>
  <c r="X241" i="7" s="1"/>
  <c r="U244" i="7"/>
  <c r="U245" i="7"/>
  <c r="X245" i="7" s="1"/>
  <c r="U246" i="7"/>
  <c r="X246" i="7" s="1"/>
  <c r="AH246" i="7" s="1"/>
  <c r="U247" i="7"/>
  <c r="X247" i="7" s="1"/>
  <c r="U248" i="7"/>
  <c r="X248" i="7" s="1"/>
  <c r="U249" i="7"/>
  <c r="X249" i="7" s="1"/>
  <c r="U250" i="7"/>
  <c r="X250" i="7" s="1"/>
  <c r="U251" i="7"/>
  <c r="U252" i="7"/>
  <c r="X252" i="7" s="1"/>
  <c r="U253" i="7"/>
  <c r="X253" i="7" s="1"/>
  <c r="AH253" i="7" s="1"/>
  <c r="U254" i="7"/>
  <c r="X254" i="7" s="1"/>
  <c r="U255" i="7"/>
  <c r="X255" i="7" s="1"/>
  <c r="U256" i="7"/>
  <c r="G32" i="7"/>
  <c r="G42" i="7"/>
  <c r="G45" i="7"/>
  <c r="G51" i="7"/>
  <c r="G117" i="7"/>
  <c r="Y105" i="7"/>
  <c r="Y187" i="7"/>
  <c r="H10" i="7"/>
  <c r="H22" i="7"/>
  <c r="H25" i="7"/>
  <c r="H29" i="7"/>
  <c r="H32" i="7"/>
  <c r="H35" i="7"/>
  <c r="H42" i="7"/>
  <c r="H45" i="7"/>
  <c r="H48" i="7"/>
  <c r="H51" i="7"/>
  <c r="H54" i="7"/>
  <c r="H57" i="7"/>
  <c r="H60" i="7"/>
  <c r="H63" i="7"/>
  <c r="H66" i="7"/>
  <c r="H69" i="7"/>
  <c r="H72" i="7"/>
  <c r="H75" i="7"/>
  <c r="H78" i="7"/>
  <c r="H81" i="7"/>
  <c r="H93" i="7"/>
  <c r="H85" i="7" s="1"/>
  <c r="H99" i="7"/>
  <c r="H108"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5" i="7"/>
  <c r="Z203" i="7"/>
  <c r="Z211" i="7"/>
  <c r="Z210" i="7" s="1"/>
  <c r="Z209" i="7" s="1"/>
  <c r="Z207" i="7" s="1"/>
  <c r="Z222" i="7"/>
  <c r="Z227" i="7"/>
  <c r="Z235" i="7"/>
  <c r="Z243" i="7"/>
  <c r="I32" i="7"/>
  <c r="I35" i="7"/>
  <c r="I45" i="7"/>
  <c r="I51" i="7"/>
  <c r="I117" i="7"/>
  <c r="AA105" i="7"/>
  <c r="AA104" i="7" s="1"/>
  <c r="AA141" i="7"/>
  <c r="AA222" i="7"/>
  <c r="J25" i="7"/>
  <c r="J32" i="7"/>
  <c r="J45" i="7"/>
  <c r="J54" i="7"/>
  <c r="J66" i="7"/>
  <c r="J72" i="7"/>
  <c r="J81" i="7"/>
  <c r="AB172" i="7"/>
  <c r="AB222" i="7"/>
  <c r="K10" i="7"/>
  <c r="K22" i="7"/>
  <c r="K25" i="7"/>
  <c r="K29" i="7"/>
  <c r="K32" i="7"/>
  <c r="K35" i="7"/>
  <c r="K42" i="7"/>
  <c r="K45" i="7"/>
  <c r="K48" i="7"/>
  <c r="K51" i="7"/>
  <c r="K54" i="7"/>
  <c r="K57" i="7"/>
  <c r="K60" i="7"/>
  <c r="K63" i="7"/>
  <c r="K66" i="7"/>
  <c r="K69" i="7"/>
  <c r="K72" i="7"/>
  <c r="K75" i="7"/>
  <c r="K78" i="7"/>
  <c r="K81" i="7"/>
  <c r="K93" i="7"/>
  <c r="K99" i="7"/>
  <c r="K108" i="7"/>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5" i="7"/>
  <c r="AC203" i="7"/>
  <c r="AC211" i="7"/>
  <c r="AC210" i="7" s="1"/>
  <c r="AC209" i="7" s="1"/>
  <c r="AC207" i="7" s="1"/>
  <c r="AC222" i="7"/>
  <c r="AC227" i="7"/>
  <c r="AC235" i="7"/>
  <c r="AC243" i="7"/>
  <c r="L25" i="7"/>
  <c r="AS8" i="7" s="1"/>
  <c r="L32" i="7"/>
  <c r="L45" i="7"/>
  <c r="L54" i="7"/>
  <c r="L66" i="7"/>
  <c r="AD222" i="7"/>
  <c r="N41" i="7"/>
  <c r="N44" i="7"/>
  <c r="N89" i="7"/>
  <c r="N110" i="7"/>
  <c r="AF20" i="7"/>
  <c r="AF16" i="7" s="1"/>
  <c r="AF35" i="7"/>
  <c r="AF44" i="7"/>
  <c r="AF49" i="7"/>
  <c r="AF58" i="7"/>
  <c r="AF57" i="7" s="1"/>
  <c r="AF69" i="7"/>
  <c r="AF65" i="7" s="1"/>
  <c r="AF83" i="7"/>
  <c r="AF91" i="7"/>
  <c r="AF96" i="7"/>
  <c r="AF105" i="7"/>
  <c r="AF104" i="7" s="1"/>
  <c r="AF114" i="7"/>
  <c r="AF123" i="7"/>
  <c r="AF141" i="7"/>
  <c r="AF149" i="7"/>
  <c r="AF147" i="7" s="1"/>
  <c r="AF157" i="7"/>
  <c r="AF155" i="7" s="1"/>
  <c r="AF145" i="7" s="1"/>
  <c r="AF172" i="7"/>
  <c r="AF176" i="7"/>
  <c r="AF187" i="7"/>
  <c r="AF185" i="7" s="1"/>
  <c r="AF195" i="7"/>
  <c r="AF203" i="7"/>
  <c r="AF211" i="7"/>
  <c r="AF210" i="7"/>
  <c r="AF209" i="7"/>
  <c r="AF207" i="7" s="1"/>
  <c r="AF222" i="7"/>
  <c r="AF227" i="7"/>
  <c r="AF235" i="7"/>
  <c r="AF243" i="7"/>
  <c r="AH74" i="7"/>
  <c r="AH117" i="7"/>
  <c r="AH133" i="7"/>
  <c r="AH240" i="7"/>
  <c r="P10" i="7"/>
  <c r="P22" i="7"/>
  <c r="P25" i="7"/>
  <c r="P29" i="7"/>
  <c r="P32" i="7"/>
  <c r="P35" i="7"/>
  <c r="P42" i="7"/>
  <c r="P45" i="7"/>
  <c r="P48" i="7"/>
  <c r="P51" i="7"/>
  <c r="P54" i="7"/>
  <c r="P57" i="7"/>
  <c r="P60" i="7"/>
  <c r="P63" i="7"/>
  <c r="P66" i="7"/>
  <c r="P69" i="7"/>
  <c r="P72" i="7"/>
  <c r="P75" i="7"/>
  <c r="P78" i="7"/>
  <c r="P81" i="7"/>
  <c r="P93" i="7"/>
  <c r="P85" i="7" s="1"/>
  <c r="P99" i="7"/>
  <c r="P108" i="7"/>
  <c r="AI70" i="7"/>
  <c r="AI135" i="7"/>
  <c r="AI225" i="7"/>
  <c r="AI236" i="7"/>
  <c r="Q10" i="7"/>
  <c r="Q22" i="7"/>
  <c r="Q25" i="7"/>
  <c r="Q29" i="7"/>
  <c r="Q32" i="7"/>
  <c r="Q35" i="7"/>
  <c r="Q42" i="7"/>
  <c r="Q45" i="7"/>
  <c r="Q48" i="7"/>
  <c r="Q51" i="7"/>
  <c r="Q54" i="7"/>
  <c r="Q57" i="7"/>
  <c r="Q60" i="7"/>
  <c r="Q63" i="7"/>
  <c r="Q66" i="7"/>
  <c r="Q69" i="7"/>
  <c r="Q72" i="7"/>
  <c r="Q75" i="7"/>
  <c r="Q78" i="7"/>
  <c r="Q81" i="7"/>
  <c r="Q93" i="7"/>
  <c r="Q85" i="7" s="1"/>
  <c r="Q108" i="7"/>
  <c r="AJ54" i="7"/>
  <c r="C35" i="7"/>
  <c r="C81" i="7"/>
  <c r="U44" i="7"/>
  <c r="D22" i="9"/>
  <c r="D29" i="9"/>
  <c r="D35" i="9"/>
  <c r="D42" i="9"/>
  <c r="D48" i="9"/>
  <c r="D51" i="9"/>
  <c r="D63" i="9"/>
  <c r="D75" i="9"/>
  <c r="D81" i="9"/>
  <c r="V49" i="9"/>
  <c r="V58" i="9"/>
  <c r="V57" i="9" s="1"/>
  <c r="V96" i="9"/>
  <c r="V123" i="9"/>
  <c r="V141" i="9"/>
  <c r="V172" i="9"/>
  <c r="V187" i="9"/>
  <c r="V185" i="9" s="1"/>
  <c r="V203" i="9"/>
  <c r="V222" i="9"/>
  <c r="V227" i="9"/>
  <c r="E10" i="9"/>
  <c r="E22" i="9"/>
  <c r="E25" i="9"/>
  <c r="E29" i="9"/>
  <c r="E32" i="9"/>
  <c r="E35" i="9"/>
  <c r="E42" i="9"/>
  <c r="E48" i="9"/>
  <c r="E51" i="9"/>
  <c r="E57" i="9"/>
  <c r="E60" i="9"/>
  <c r="E63" i="9"/>
  <c r="E69" i="9"/>
  <c r="E72" i="9"/>
  <c r="E78" i="9"/>
  <c r="E81" i="9"/>
  <c r="E93" i="9"/>
  <c r="E85" i="9" s="1"/>
  <c r="E117" i="9"/>
  <c r="W20" i="9"/>
  <c r="W16" i="9" s="1"/>
  <c r="W35" i="9"/>
  <c r="W44" i="9"/>
  <c r="W58" i="9"/>
  <c r="W57" i="9" s="1"/>
  <c r="W83" i="9"/>
  <c r="W91" i="9"/>
  <c r="W105" i="9"/>
  <c r="W104" i="9" s="1"/>
  <c r="W123" i="9"/>
  <c r="W149" i="9"/>
  <c r="W147" i="9" s="1"/>
  <c r="W172" i="9"/>
  <c r="W187" i="9"/>
  <c r="W185" i="9" s="1"/>
  <c r="W203" i="9"/>
  <c r="W222" i="9"/>
  <c r="C12" i="9"/>
  <c r="F12" i="9" s="1"/>
  <c r="C13" i="9"/>
  <c r="F13" i="9" s="1"/>
  <c r="C14" i="9"/>
  <c r="C15" i="9"/>
  <c r="F15" i="9" s="1"/>
  <c r="C23" i="9"/>
  <c r="C24" i="9"/>
  <c r="F24" i="9" s="1"/>
  <c r="C26" i="9"/>
  <c r="C27" i="9"/>
  <c r="F27" i="9" s="1"/>
  <c r="C30" i="9"/>
  <c r="F30" i="9" s="1"/>
  <c r="C31" i="9"/>
  <c r="C33" i="9"/>
  <c r="C34" i="9"/>
  <c r="F34" i="9" s="1"/>
  <c r="N34" i="9" s="1"/>
  <c r="C36" i="9"/>
  <c r="F36" i="9" s="1"/>
  <c r="C37" i="9"/>
  <c r="F37" i="9" s="1"/>
  <c r="M37" i="9" s="1"/>
  <c r="C43" i="9"/>
  <c r="C44" i="9"/>
  <c r="F44" i="9" s="1"/>
  <c r="C46" i="9"/>
  <c r="C47" i="9"/>
  <c r="C49" i="9"/>
  <c r="C50" i="9"/>
  <c r="F50" i="9" s="1"/>
  <c r="C52" i="9"/>
  <c r="F52" i="9" s="1"/>
  <c r="N52" i="9" s="1"/>
  <c r="C53" i="9"/>
  <c r="C55" i="9"/>
  <c r="F55" i="9" s="1"/>
  <c r="C56" i="9"/>
  <c r="C58" i="9"/>
  <c r="F58" i="9" s="1"/>
  <c r="N58" i="9" s="1"/>
  <c r="C59" i="9"/>
  <c r="C61" i="9"/>
  <c r="C62" i="9"/>
  <c r="C64" i="9"/>
  <c r="C65" i="9"/>
  <c r="C67" i="9"/>
  <c r="F67" i="9" s="1"/>
  <c r="M67" i="9" s="1"/>
  <c r="C68" i="9"/>
  <c r="C70" i="9"/>
  <c r="C71" i="9"/>
  <c r="C73" i="9"/>
  <c r="C74" i="9"/>
  <c r="C76" i="9"/>
  <c r="C77" i="9"/>
  <c r="C79" i="9"/>
  <c r="F79" i="9" s="1"/>
  <c r="C80" i="9"/>
  <c r="C82" i="9"/>
  <c r="F82" i="9" s="1"/>
  <c r="C83" i="9"/>
  <c r="F83" i="9" s="1"/>
  <c r="N83" i="9" s="1"/>
  <c r="C86" i="9"/>
  <c r="F86" i="9" s="1"/>
  <c r="C87" i="9"/>
  <c r="F87" i="9" s="1"/>
  <c r="C88" i="9"/>
  <c r="F88" i="9" s="1"/>
  <c r="C89" i="9"/>
  <c r="C90" i="9"/>
  <c r="F90" i="9" s="1"/>
  <c r="AQ13" i="9" s="1"/>
  <c r="C91" i="9"/>
  <c r="F91" i="9" s="1"/>
  <c r="C92" i="9"/>
  <c r="F92" i="9" s="1"/>
  <c r="C94" i="9"/>
  <c r="C95" i="9"/>
  <c r="F95" i="9" s="1"/>
  <c r="C96" i="9"/>
  <c r="C97" i="9"/>
  <c r="F97" i="9" s="1"/>
  <c r="N97" i="9" s="1"/>
  <c r="C100" i="9"/>
  <c r="F100" i="9" s="1"/>
  <c r="C101" i="9"/>
  <c r="F101" i="9" s="1"/>
  <c r="C102" i="9"/>
  <c r="C103" i="9"/>
  <c r="F103" i="9" s="1"/>
  <c r="C104" i="9"/>
  <c r="F104" i="9" s="1"/>
  <c r="C105" i="9"/>
  <c r="C106" i="9"/>
  <c r="C109" i="9"/>
  <c r="C110" i="9"/>
  <c r="F110" i="9" s="1"/>
  <c r="C111" i="9"/>
  <c r="C112" i="9"/>
  <c r="F112" i="9" s="1"/>
  <c r="C113" i="9"/>
  <c r="F113" i="9" s="1"/>
  <c r="C114" i="9"/>
  <c r="F114" i="9" s="1"/>
  <c r="C115" i="9"/>
  <c r="C116" i="9"/>
  <c r="F116" i="9" s="1"/>
  <c r="C118" i="9"/>
  <c r="C119" i="9"/>
  <c r="F119" i="9" s="1"/>
  <c r="U17" i="9"/>
  <c r="U18" i="9"/>
  <c r="X18" i="9" s="1"/>
  <c r="U19" i="9"/>
  <c r="U21" i="9"/>
  <c r="U22" i="9"/>
  <c r="U23" i="9"/>
  <c r="X23" i="9" s="1"/>
  <c r="U24" i="9"/>
  <c r="U25" i="9"/>
  <c r="X25" i="9" s="1"/>
  <c r="AH25" i="9" s="1"/>
  <c r="U26" i="9"/>
  <c r="X26" i="9" s="1"/>
  <c r="U27" i="9"/>
  <c r="X27" i="9" s="1"/>
  <c r="U28" i="9"/>
  <c r="X28" i="9" s="1"/>
  <c r="U29" i="9"/>
  <c r="X29" i="9" s="1"/>
  <c r="AH29" i="9" s="1"/>
  <c r="U30" i="9"/>
  <c r="X30" i="9" s="1"/>
  <c r="U31" i="9"/>
  <c r="X31" i="9" s="1"/>
  <c r="U32" i="9"/>
  <c r="X32" i="9" s="1"/>
  <c r="U33" i="9"/>
  <c r="U36" i="9"/>
  <c r="X36" i="9" s="1"/>
  <c r="U37" i="9"/>
  <c r="X37" i="9" s="1"/>
  <c r="AH37" i="9" s="1"/>
  <c r="U38" i="9"/>
  <c r="X38" i="9" s="1"/>
  <c r="U39" i="9"/>
  <c r="X39" i="9" s="1"/>
  <c r="U40" i="9"/>
  <c r="X40" i="9" s="1"/>
  <c r="U41" i="9"/>
  <c r="U45" i="9"/>
  <c r="U46" i="9"/>
  <c r="X46" i="9" s="1"/>
  <c r="U47" i="9"/>
  <c r="U48" i="9"/>
  <c r="X48" i="9" s="1"/>
  <c r="U50" i="9"/>
  <c r="X50" i="9" s="1"/>
  <c r="U51" i="9"/>
  <c r="U52" i="9"/>
  <c r="U53" i="9"/>
  <c r="U54" i="9"/>
  <c r="X54" i="9" s="1"/>
  <c r="U55" i="9"/>
  <c r="U59" i="9"/>
  <c r="X59" i="9" s="1"/>
  <c r="U60" i="9"/>
  <c r="U61" i="9"/>
  <c r="X61" i="9" s="1"/>
  <c r="U66" i="9"/>
  <c r="X66" i="9" s="1"/>
  <c r="U67" i="9"/>
  <c r="X67" i="9" s="1"/>
  <c r="U68" i="9"/>
  <c r="X68" i="9" s="1"/>
  <c r="U70" i="9"/>
  <c r="X70" i="9" s="1"/>
  <c r="AI70" i="9" s="1"/>
  <c r="U71" i="9"/>
  <c r="X71" i="9" s="1"/>
  <c r="U72" i="9"/>
  <c r="U73" i="9"/>
  <c r="X73" i="9" s="1"/>
  <c r="U74" i="9"/>
  <c r="X74" i="9" s="1"/>
  <c r="AH74" i="9" s="1"/>
  <c r="U75" i="9"/>
  <c r="U76" i="9"/>
  <c r="U77" i="9"/>
  <c r="X77" i="9" s="1"/>
  <c r="U78" i="9"/>
  <c r="X78" i="9" s="1"/>
  <c r="U79" i="9"/>
  <c r="X79" i="9" s="1"/>
  <c r="U80" i="9"/>
  <c r="X80" i="9" s="1"/>
  <c r="U81" i="9"/>
  <c r="U84" i="9"/>
  <c r="U85" i="9"/>
  <c r="X85" i="9" s="1"/>
  <c r="U86" i="9"/>
  <c r="X86" i="9" s="1"/>
  <c r="U87" i="9"/>
  <c r="U88" i="9"/>
  <c r="U92" i="9"/>
  <c r="X92" i="9" s="1"/>
  <c r="U93" i="9"/>
  <c r="X93" i="9" s="1"/>
  <c r="U94" i="9"/>
  <c r="U95" i="9"/>
  <c r="X95" i="9" s="1"/>
  <c r="U97" i="9"/>
  <c r="X97" i="9" s="1"/>
  <c r="U98" i="9"/>
  <c r="X98" i="9" s="1"/>
  <c r="U99" i="9"/>
  <c r="X99" i="9" s="1"/>
  <c r="U100" i="9"/>
  <c r="U101" i="9"/>
  <c r="X101" i="9" s="1"/>
  <c r="U102" i="9"/>
  <c r="X102" i="9" s="1"/>
  <c r="U106" i="9"/>
  <c r="U107" i="9"/>
  <c r="U108" i="9"/>
  <c r="X108" i="9" s="1"/>
  <c r="U115" i="9"/>
  <c r="U116" i="9"/>
  <c r="X116" i="9" s="1"/>
  <c r="U117" i="9"/>
  <c r="X117" i="9" s="1"/>
  <c r="U118" i="9"/>
  <c r="U119" i="9"/>
  <c r="X119" i="9" s="1"/>
  <c r="AH119" i="9" s="1"/>
  <c r="U120" i="9"/>
  <c r="X120" i="9" s="1"/>
  <c r="U121" i="9"/>
  <c r="U124" i="9"/>
  <c r="X124" i="9" s="1"/>
  <c r="U125" i="9"/>
  <c r="X125" i="9" s="1"/>
  <c r="AH125" i="9" s="1"/>
  <c r="U126" i="9"/>
  <c r="X126" i="9" s="1"/>
  <c r="U127" i="9"/>
  <c r="X127" i="9" s="1"/>
  <c r="U128" i="9"/>
  <c r="X128" i="9" s="1"/>
  <c r="U129" i="9"/>
  <c r="U130" i="9"/>
  <c r="X130" i="9" s="1"/>
  <c r="U131" i="9"/>
  <c r="X131" i="9" s="1"/>
  <c r="U132" i="9"/>
  <c r="X132" i="9" s="1"/>
  <c r="AI132" i="9" s="1"/>
  <c r="U133" i="9"/>
  <c r="X133" i="9" s="1"/>
  <c r="U134" i="9"/>
  <c r="U135" i="9"/>
  <c r="X135" i="9" s="1"/>
  <c r="AI135" i="9" s="1"/>
  <c r="U136" i="9"/>
  <c r="X136" i="9" s="1"/>
  <c r="AH136" i="9" s="1"/>
  <c r="U137" i="9"/>
  <c r="X137" i="9" s="1"/>
  <c r="U138" i="9"/>
  <c r="U139" i="9"/>
  <c r="X139" i="9" s="1"/>
  <c r="AI139" i="9" s="1"/>
  <c r="U142" i="9"/>
  <c r="U143" i="9"/>
  <c r="U148" i="9"/>
  <c r="U150" i="9"/>
  <c r="U151" i="9"/>
  <c r="U152" i="9"/>
  <c r="X152" i="9" s="1"/>
  <c r="U153" i="9"/>
  <c r="U156" i="9"/>
  <c r="X156" i="9" s="1"/>
  <c r="U158" i="9"/>
  <c r="X158" i="9" s="1"/>
  <c r="U159" i="9"/>
  <c r="U160" i="9"/>
  <c r="U161" i="9"/>
  <c r="U162" i="9"/>
  <c r="X162" i="9" s="1"/>
  <c r="U163" i="9"/>
  <c r="X163" i="9" s="1"/>
  <c r="U164" i="9"/>
  <c r="U165" i="9"/>
  <c r="X165" i="9" s="1"/>
  <c r="U166" i="9"/>
  <c r="X166" i="9" s="1"/>
  <c r="U167" i="9"/>
  <c r="X167" i="9" s="1"/>
  <c r="AJ167" i="9" s="1"/>
  <c r="U168" i="9"/>
  <c r="U173" i="9"/>
  <c r="X173" i="9" s="1"/>
  <c r="U174" i="9"/>
  <c r="X174" i="9" s="1"/>
  <c r="AH174" i="9" s="1"/>
  <c r="U177" i="9"/>
  <c r="X177" i="9" s="1"/>
  <c r="U178" i="9"/>
  <c r="U179" i="9"/>
  <c r="U180" i="9"/>
  <c r="X180" i="9" s="1"/>
  <c r="U181" i="9"/>
  <c r="U182" i="9"/>
  <c r="U183" i="9"/>
  <c r="U186" i="9"/>
  <c r="X186" i="9" s="1"/>
  <c r="AI186" i="9" s="1"/>
  <c r="U188" i="9"/>
  <c r="U189" i="9"/>
  <c r="U190" i="9"/>
  <c r="X190" i="9" s="1"/>
  <c r="U191" i="9"/>
  <c r="X191" i="9" s="1"/>
  <c r="U196" i="9"/>
  <c r="U197" i="9"/>
  <c r="U198" i="9"/>
  <c r="X198" i="9" s="1"/>
  <c r="U199" i="9"/>
  <c r="X199" i="9" s="1"/>
  <c r="U200" i="9"/>
  <c r="X200" i="9" s="1"/>
  <c r="U201" i="9"/>
  <c r="U202" i="9"/>
  <c r="X202" i="9" s="1"/>
  <c r="AI202" i="9" s="1"/>
  <c r="U204" i="9"/>
  <c r="X204" i="9" s="1"/>
  <c r="U205" i="9"/>
  <c r="X205" i="9" s="1"/>
  <c r="U212" i="9"/>
  <c r="U213" i="9"/>
  <c r="U214" i="9"/>
  <c r="X214" i="9" s="1"/>
  <c r="U215" i="9"/>
  <c r="X215" i="9" s="1"/>
  <c r="U216" i="9"/>
  <c r="X216" i="9" s="1"/>
  <c r="U217" i="9"/>
  <c r="U218" i="9"/>
  <c r="X218" i="9" s="1"/>
  <c r="U223" i="9"/>
  <c r="X223" i="9" s="1"/>
  <c r="U224" i="9"/>
  <c r="U225" i="9"/>
  <c r="X225" i="9" s="1"/>
  <c r="U228" i="9"/>
  <c r="X228" i="9" s="1"/>
  <c r="AH228" i="9" s="1"/>
  <c r="U229" i="9"/>
  <c r="X229" i="9" s="1"/>
  <c r="U230" i="9"/>
  <c r="X230" i="9" s="1"/>
  <c r="U236" i="9"/>
  <c r="X236" i="9" s="1"/>
  <c r="U237" i="9"/>
  <c r="X237" i="9" s="1"/>
  <c r="U238" i="9"/>
  <c r="X238" i="9" s="1"/>
  <c r="U239" i="9"/>
  <c r="X239" i="9" s="1"/>
  <c r="U240" i="9"/>
  <c r="X240" i="9" s="1"/>
  <c r="AH240" i="9" s="1"/>
  <c r="U241" i="9"/>
  <c r="X241" i="9" s="1"/>
  <c r="U244" i="9"/>
  <c r="X244" i="9" s="1"/>
  <c r="U245" i="9"/>
  <c r="U246" i="9"/>
  <c r="X246" i="9" s="1"/>
  <c r="U247" i="9"/>
  <c r="X247" i="9" s="1"/>
  <c r="U248" i="9"/>
  <c r="X248" i="9" s="1"/>
  <c r="U249" i="9"/>
  <c r="X249" i="9" s="1"/>
  <c r="U250" i="9"/>
  <c r="X250" i="9" s="1"/>
  <c r="U251" i="9"/>
  <c r="U252" i="9"/>
  <c r="X252" i="9" s="1"/>
  <c r="U253" i="9"/>
  <c r="X253" i="9" s="1"/>
  <c r="U254" i="9"/>
  <c r="X254" i="9" s="1"/>
  <c r="U255" i="9"/>
  <c r="X255" i="9" s="1"/>
  <c r="U256" i="9"/>
  <c r="G32" i="9"/>
  <c r="G35" i="9"/>
  <c r="G45" i="9"/>
  <c r="G51" i="9"/>
  <c r="G117" i="9"/>
  <c r="Y141" i="9"/>
  <c r="Y172" i="9"/>
  <c r="H78" i="9"/>
  <c r="I32" i="9"/>
  <c r="I35" i="9"/>
  <c r="I45" i="9"/>
  <c r="I51" i="9"/>
  <c r="I117" i="9"/>
  <c r="AA141" i="9"/>
  <c r="BO20" i="9" s="1"/>
  <c r="J32" i="9"/>
  <c r="J42" i="9"/>
  <c r="J54" i="9"/>
  <c r="J81" i="9"/>
  <c r="AB172" i="9"/>
  <c r="AB222" i="9"/>
  <c r="L32" i="9"/>
  <c r="L54" i="9"/>
  <c r="AD222" i="9"/>
  <c r="M87" i="9"/>
  <c r="N87" i="9"/>
  <c r="AH39" i="9"/>
  <c r="AH215" i="9"/>
  <c r="AI119" i="9"/>
  <c r="AJ36" i="9"/>
  <c r="C32" i="9"/>
  <c r="C81" i="9"/>
  <c r="U203" i="9"/>
  <c r="D22" i="8"/>
  <c r="D29" i="8"/>
  <c r="D35" i="8"/>
  <c r="D42" i="8"/>
  <c r="D48" i="8"/>
  <c r="D54" i="8"/>
  <c r="D63" i="8"/>
  <c r="D66" i="8"/>
  <c r="D75" i="8"/>
  <c r="D78" i="8"/>
  <c r="D81" i="8"/>
  <c r="V49" i="8"/>
  <c r="V58" i="8"/>
  <c r="V57" i="8" s="1"/>
  <c r="V96" i="8"/>
  <c r="V123" i="8"/>
  <c r="V141" i="8"/>
  <c r="V187" i="8"/>
  <c r="V185" i="8" s="1"/>
  <c r="V195" i="8"/>
  <c r="V203" i="8"/>
  <c r="V222" i="8"/>
  <c r="V227" i="8"/>
  <c r="V235" i="8"/>
  <c r="E10" i="8"/>
  <c r="E22" i="8"/>
  <c r="E25" i="8"/>
  <c r="E29" i="8"/>
  <c r="E32" i="8"/>
  <c r="E35" i="8"/>
  <c r="E42" i="8"/>
  <c r="E48" i="8"/>
  <c r="E51" i="8"/>
  <c r="E57" i="8"/>
  <c r="E60" i="8"/>
  <c r="E63" i="8"/>
  <c r="E69" i="8"/>
  <c r="E72" i="8"/>
  <c r="E78" i="8"/>
  <c r="E81" i="8"/>
  <c r="E93" i="8"/>
  <c r="E85" i="8" s="1"/>
  <c r="E117" i="8"/>
  <c r="E108" i="8" s="1"/>
  <c r="W20" i="8"/>
  <c r="W16" i="8" s="1"/>
  <c r="W35" i="8"/>
  <c r="W44" i="8"/>
  <c r="W58" i="8"/>
  <c r="W57" i="8" s="1"/>
  <c r="W91" i="8"/>
  <c r="W105" i="8"/>
  <c r="W104" i="8" s="1"/>
  <c r="W123" i="8"/>
  <c r="W172" i="8"/>
  <c r="W187" i="8"/>
  <c r="W185" i="8" s="1"/>
  <c r="W203" i="8"/>
  <c r="W222" i="8"/>
  <c r="W227" i="8"/>
  <c r="W235" i="8"/>
  <c r="C12" i="8"/>
  <c r="F12" i="8" s="1"/>
  <c r="C13" i="8"/>
  <c r="F13" i="8" s="1"/>
  <c r="C14" i="8"/>
  <c r="F14" i="8" s="1"/>
  <c r="C15" i="8"/>
  <c r="F15" i="8" s="1"/>
  <c r="C23" i="8"/>
  <c r="F23" i="8" s="1"/>
  <c r="C24" i="8"/>
  <c r="C26" i="8"/>
  <c r="C27" i="8"/>
  <c r="F27" i="8" s="1"/>
  <c r="C30" i="8"/>
  <c r="F30" i="8" s="1"/>
  <c r="C31" i="8"/>
  <c r="F31" i="8" s="1"/>
  <c r="M31" i="8" s="1"/>
  <c r="C33" i="8"/>
  <c r="F33" i="8" s="1"/>
  <c r="C34" i="8"/>
  <c r="F34" i="8" s="1"/>
  <c r="N34" i="8" s="1"/>
  <c r="C36" i="8"/>
  <c r="F36" i="8" s="1"/>
  <c r="C37" i="8"/>
  <c r="C41" i="8"/>
  <c r="F41" i="8" s="1"/>
  <c r="C43" i="8"/>
  <c r="F43" i="8" s="1"/>
  <c r="C44" i="8"/>
  <c r="C46" i="8"/>
  <c r="C47" i="8"/>
  <c r="C49" i="8"/>
  <c r="F49" i="8" s="1"/>
  <c r="C50" i="8"/>
  <c r="F50" i="8" s="1"/>
  <c r="C52" i="8"/>
  <c r="C53" i="8"/>
  <c r="F53" i="8" s="1"/>
  <c r="C55" i="8"/>
  <c r="F55" i="8" s="1"/>
  <c r="C56" i="8"/>
  <c r="C58" i="8"/>
  <c r="C59" i="8"/>
  <c r="F59" i="8" s="1"/>
  <c r="C61" i="8"/>
  <c r="C62" i="8"/>
  <c r="F62" i="8" s="1"/>
  <c r="C64" i="8"/>
  <c r="C65" i="8"/>
  <c r="F65" i="8" s="1"/>
  <c r="C67" i="8"/>
  <c r="F67" i="8" s="1"/>
  <c r="C68" i="8"/>
  <c r="C70" i="8"/>
  <c r="C71" i="8"/>
  <c r="F71" i="8" s="1"/>
  <c r="C73" i="8"/>
  <c r="C74" i="8"/>
  <c r="F74" i="8" s="1"/>
  <c r="C76" i="8"/>
  <c r="C77" i="8"/>
  <c r="F77" i="8" s="1"/>
  <c r="C79" i="8"/>
  <c r="F79" i="8" s="1"/>
  <c r="C80" i="8"/>
  <c r="C82" i="8"/>
  <c r="F82" i="8" s="1"/>
  <c r="C83" i="8"/>
  <c r="F83" i="8" s="1"/>
  <c r="C86" i="8"/>
  <c r="F86" i="8" s="1"/>
  <c r="C87" i="8"/>
  <c r="F87" i="8" s="1"/>
  <c r="C88" i="8"/>
  <c r="F88" i="8" s="1"/>
  <c r="C89" i="8"/>
  <c r="F89" i="8" s="1"/>
  <c r="C90" i="8"/>
  <c r="C91" i="8"/>
  <c r="F91" i="8" s="1"/>
  <c r="C92" i="8"/>
  <c r="F92" i="8" s="1"/>
  <c r="C94" i="8"/>
  <c r="C95" i="8"/>
  <c r="F95" i="8" s="1"/>
  <c r="N95" i="8" s="1"/>
  <c r="C96" i="8"/>
  <c r="F96" i="8" s="1"/>
  <c r="M96" i="8" s="1"/>
  <c r="C97" i="8"/>
  <c r="F97" i="8" s="1"/>
  <c r="C100" i="8"/>
  <c r="F100" i="8" s="1"/>
  <c r="N100" i="8" s="1"/>
  <c r="C101" i="8"/>
  <c r="C102" i="8"/>
  <c r="F102" i="8" s="1"/>
  <c r="N102" i="8" s="1"/>
  <c r="C103" i="8"/>
  <c r="F103" i="8" s="1"/>
  <c r="C104" i="8"/>
  <c r="F104" i="8" s="1"/>
  <c r="C105" i="8"/>
  <c r="C106" i="8"/>
  <c r="F106" i="8" s="1"/>
  <c r="C109" i="8"/>
  <c r="C110" i="8"/>
  <c r="F110" i="8" s="1"/>
  <c r="C111" i="8"/>
  <c r="C112" i="8"/>
  <c r="F112" i="8" s="1"/>
  <c r="C113" i="8"/>
  <c r="C114" i="8"/>
  <c r="F114" i="8" s="1"/>
  <c r="M114" i="8" s="1"/>
  <c r="C115" i="8"/>
  <c r="C116" i="8"/>
  <c r="F116" i="8" s="1"/>
  <c r="C118" i="8"/>
  <c r="C119" i="8"/>
  <c r="F119" i="8" s="1"/>
  <c r="U17" i="8"/>
  <c r="U18" i="8"/>
  <c r="X18" i="8" s="1"/>
  <c r="U19" i="8"/>
  <c r="U21" i="8"/>
  <c r="U22" i="8"/>
  <c r="X22" i="8" s="1"/>
  <c r="U23" i="8"/>
  <c r="X23" i="8" s="1"/>
  <c r="U24" i="8"/>
  <c r="U25" i="8"/>
  <c r="X25" i="8" s="1"/>
  <c r="U26" i="8"/>
  <c r="X26" i="8" s="1"/>
  <c r="U27" i="8"/>
  <c r="X27" i="8" s="1"/>
  <c r="U28" i="8"/>
  <c r="X28" i="8" s="1"/>
  <c r="AH28" i="8" s="1"/>
  <c r="U29" i="8"/>
  <c r="X29" i="8" s="1"/>
  <c r="U30" i="8"/>
  <c r="X30" i="8" s="1"/>
  <c r="U31" i="8"/>
  <c r="X31" i="8" s="1"/>
  <c r="U32" i="8"/>
  <c r="X32" i="8" s="1"/>
  <c r="AH32" i="8" s="1"/>
  <c r="U33" i="8"/>
  <c r="U36" i="8"/>
  <c r="X36" i="8" s="1"/>
  <c r="U37" i="8"/>
  <c r="X37" i="8" s="1"/>
  <c r="U38" i="8"/>
  <c r="X38" i="8" s="1"/>
  <c r="U39" i="8"/>
  <c r="X39" i="8" s="1"/>
  <c r="U40" i="8"/>
  <c r="X40" i="8" s="1"/>
  <c r="AH40" i="8" s="1"/>
  <c r="U41" i="8"/>
  <c r="U45" i="8"/>
  <c r="U46" i="8"/>
  <c r="X46" i="8" s="1"/>
  <c r="U47" i="8"/>
  <c r="X47" i="8" s="1"/>
  <c r="U48" i="8"/>
  <c r="X48" i="8" s="1"/>
  <c r="AH48" i="8" s="1"/>
  <c r="U50" i="8"/>
  <c r="X50" i="8" s="1"/>
  <c r="U51" i="8"/>
  <c r="U52" i="8"/>
  <c r="X52" i="8" s="1"/>
  <c r="U53" i="8"/>
  <c r="U54" i="8"/>
  <c r="X54" i="8" s="1"/>
  <c r="U55" i="8"/>
  <c r="U59" i="8"/>
  <c r="X59" i="8" s="1"/>
  <c r="U60" i="8"/>
  <c r="U61" i="8"/>
  <c r="X61" i="8" s="1"/>
  <c r="U66" i="8"/>
  <c r="X66" i="8" s="1"/>
  <c r="U67" i="8"/>
  <c r="X67" i="8" s="1"/>
  <c r="U68" i="8"/>
  <c r="X68" i="8" s="1"/>
  <c r="AI68" i="8" s="1"/>
  <c r="U70" i="8"/>
  <c r="X70" i="8" s="1"/>
  <c r="U71" i="8"/>
  <c r="X71" i="8" s="1"/>
  <c r="AJ71" i="8" s="1"/>
  <c r="U72" i="8"/>
  <c r="X72" i="8" s="1"/>
  <c r="U73" i="8"/>
  <c r="X73" i="8" s="1"/>
  <c r="AI73" i="8" s="1"/>
  <c r="U74" i="8"/>
  <c r="X74" i="8" s="1"/>
  <c r="U75" i="8"/>
  <c r="U76" i="8"/>
  <c r="U77" i="8"/>
  <c r="U78" i="8"/>
  <c r="X78" i="8" s="1"/>
  <c r="U79" i="8"/>
  <c r="X79" i="8" s="1"/>
  <c r="U80" i="8"/>
  <c r="X80" i="8" s="1"/>
  <c r="U81" i="8"/>
  <c r="U84" i="8"/>
  <c r="X84" i="8"/>
  <c r="AH84" i="8" s="1"/>
  <c r="U85" i="8"/>
  <c r="X85" i="8" s="1"/>
  <c r="U86" i="8"/>
  <c r="X86" i="8" s="1"/>
  <c r="U87" i="8"/>
  <c r="X87" i="8"/>
  <c r="AH87" i="8" s="1"/>
  <c r="U88" i="8"/>
  <c r="U92" i="8"/>
  <c r="X92" i="8" s="1"/>
  <c r="U93" i="8"/>
  <c r="U94" i="8"/>
  <c r="U95" i="8"/>
  <c r="X95" i="8" s="1"/>
  <c r="AH95" i="8" s="1"/>
  <c r="U97" i="8"/>
  <c r="X97" i="8" s="1"/>
  <c r="U98" i="8"/>
  <c r="X98" i="8" s="1"/>
  <c r="U99" i="8"/>
  <c r="U100" i="8"/>
  <c r="U101" i="8"/>
  <c r="X101" i="8" s="1"/>
  <c r="AH101" i="8" s="1"/>
  <c r="U102" i="8"/>
  <c r="U106" i="8"/>
  <c r="U107" i="8"/>
  <c r="X107" i="8" s="1"/>
  <c r="U108" i="8"/>
  <c r="X108" i="8" s="1"/>
  <c r="U115" i="8"/>
  <c r="U116" i="8"/>
  <c r="X116" i="8" s="1"/>
  <c r="U117" i="8"/>
  <c r="X117" i="8" s="1"/>
  <c r="AH117" i="8" s="1"/>
  <c r="U118" i="8"/>
  <c r="X118" i="8" s="1"/>
  <c r="U119" i="8"/>
  <c r="U120" i="8"/>
  <c r="X120" i="8" s="1"/>
  <c r="U121" i="8"/>
  <c r="U124" i="8"/>
  <c r="X124" i="8" s="1"/>
  <c r="U125" i="8"/>
  <c r="X125" i="8" s="1"/>
  <c r="U126" i="8"/>
  <c r="X126" i="8" s="1"/>
  <c r="U127" i="8"/>
  <c r="X127" i="8" s="1"/>
  <c r="U128" i="8"/>
  <c r="X128" i="8" s="1"/>
  <c r="U129" i="8"/>
  <c r="X129" i="8" s="1"/>
  <c r="U130" i="8"/>
  <c r="X130" i="8" s="1"/>
  <c r="U131" i="8"/>
  <c r="X131" i="8" s="1"/>
  <c r="U132" i="8"/>
  <c r="X132" i="8" s="1"/>
  <c r="U133" i="8"/>
  <c r="X133" i="8" s="1"/>
  <c r="U134" i="8"/>
  <c r="X134" i="8" s="1"/>
  <c r="U135" i="8"/>
  <c r="X135" i="8" s="1"/>
  <c r="AI135" i="8" s="1"/>
  <c r="U136" i="8"/>
  <c r="X136" i="8" s="1"/>
  <c r="U137" i="8"/>
  <c r="X137" i="8" s="1"/>
  <c r="AH137" i="8" s="1"/>
  <c r="U138" i="8"/>
  <c r="X138" i="8" s="1"/>
  <c r="AJ138" i="8" s="1"/>
  <c r="U139" i="8"/>
  <c r="X139" i="8" s="1"/>
  <c r="U142" i="8"/>
  <c r="U143" i="8"/>
  <c r="X143" i="8" s="1"/>
  <c r="U148" i="8"/>
  <c r="X148" i="8" s="1"/>
  <c r="U150" i="8"/>
  <c r="U151" i="8"/>
  <c r="X151" i="8" s="1"/>
  <c r="U152" i="8"/>
  <c r="X152" i="8" s="1"/>
  <c r="U153" i="8"/>
  <c r="U156" i="8"/>
  <c r="X156" i="8" s="1"/>
  <c r="U158" i="8"/>
  <c r="X158" i="8" s="1"/>
  <c r="U159" i="8"/>
  <c r="U160" i="8"/>
  <c r="U161" i="8"/>
  <c r="U162" i="8"/>
  <c r="X162" i="8" s="1"/>
  <c r="U163" i="8"/>
  <c r="X163" i="8" s="1"/>
  <c r="U164" i="8"/>
  <c r="X164" i="8" s="1"/>
  <c r="U165" i="8"/>
  <c r="X165" i="8" s="1"/>
  <c r="U166" i="8"/>
  <c r="X166" i="8" s="1"/>
  <c r="U167" i="8"/>
  <c r="X167" i="8" s="1"/>
  <c r="AJ167" i="8" s="1"/>
  <c r="U168" i="8"/>
  <c r="U173" i="8"/>
  <c r="U174" i="8"/>
  <c r="X174" i="8" s="1"/>
  <c r="U177" i="8"/>
  <c r="U178" i="8"/>
  <c r="X178" i="8" s="1"/>
  <c r="U179" i="8"/>
  <c r="U180" i="8"/>
  <c r="X180" i="8" s="1"/>
  <c r="U181" i="8"/>
  <c r="U182" i="8"/>
  <c r="X182" i="8" s="1"/>
  <c r="AI182" i="8" s="1"/>
  <c r="U183" i="8"/>
  <c r="U186" i="8"/>
  <c r="X186" i="8" s="1"/>
  <c r="U188" i="8"/>
  <c r="X188" i="8" s="1"/>
  <c r="U189" i="8"/>
  <c r="U190" i="8"/>
  <c r="X190" i="8" s="1"/>
  <c r="U191" i="8"/>
  <c r="X191" i="8" s="1"/>
  <c r="AH191" i="8" s="1"/>
  <c r="U196" i="8"/>
  <c r="U197" i="8"/>
  <c r="X197" i="8" s="1"/>
  <c r="U198" i="8"/>
  <c r="X198" i="8" s="1"/>
  <c r="U199" i="8"/>
  <c r="X199" i="8" s="1"/>
  <c r="U200" i="8"/>
  <c r="X200" i="8" s="1"/>
  <c r="U201" i="8"/>
  <c r="X201" i="8" s="1"/>
  <c r="U202" i="8"/>
  <c r="X202" i="8" s="1"/>
  <c r="U204" i="8"/>
  <c r="U205" i="8"/>
  <c r="U212" i="8"/>
  <c r="X212" i="8" s="1"/>
  <c r="U213" i="8"/>
  <c r="U214" i="8"/>
  <c r="X214" i="8" s="1"/>
  <c r="U215" i="8"/>
  <c r="X215" i="8" s="1"/>
  <c r="AH215" i="8" s="1"/>
  <c r="U216" i="8"/>
  <c r="X216" i="8" s="1"/>
  <c r="U217" i="8"/>
  <c r="U218" i="8"/>
  <c r="X218" i="8" s="1"/>
  <c r="U223" i="8"/>
  <c r="X223" i="8" s="1"/>
  <c r="U224" i="8"/>
  <c r="X224" i="8" s="1"/>
  <c r="U225" i="8"/>
  <c r="X225" i="8" s="1"/>
  <c r="U228" i="8"/>
  <c r="U229" i="8"/>
  <c r="X229" i="8" s="1"/>
  <c r="U230" i="8"/>
  <c r="X230" i="8" s="1"/>
  <c r="U236" i="8"/>
  <c r="X236" i="8" s="1"/>
  <c r="U237" i="8"/>
  <c r="U238" i="8"/>
  <c r="X238" i="8" s="1"/>
  <c r="U239" i="8"/>
  <c r="X239" i="8" s="1"/>
  <c r="U240" i="8"/>
  <c r="X240" i="8" s="1"/>
  <c r="U241" i="8"/>
  <c r="X241" i="8" s="1"/>
  <c r="U244" i="8"/>
  <c r="X244" i="8" s="1"/>
  <c r="U245" i="8"/>
  <c r="U246" i="8"/>
  <c r="X246" i="8" s="1"/>
  <c r="AH246" i="8" s="1"/>
  <c r="U247" i="8"/>
  <c r="X247" i="8" s="1"/>
  <c r="U248" i="8"/>
  <c r="X248" i="8" s="1"/>
  <c r="U249" i="8"/>
  <c r="X249" i="8" s="1"/>
  <c r="AJ249" i="8" s="1"/>
  <c r="U250" i="8"/>
  <c r="X250" i="8" s="1"/>
  <c r="U251" i="8"/>
  <c r="U252" i="8"/>
  <c r="X252" i="8" s="1"/>
  <c r="U253" i="8"/>
  <c r="X253" i="8" s="1"/>
  <c r="U254" i="8"/>
  <c r="X254" i="8"/>
  <c r="U255" i="8"/>
  <c r="X255" i="8" s="1"/>
  <c r="U256" i="8"/>
  <c r="X256" i="8" s="1"/>
  <c r="G32" i="8"/>
  <c r="G35" i="8"/>
  <c r="G45" i="8"/>
  <c r="G51" i="8"/>
  <c r="G117" i="8"/>
  <c r="Y105" i="8"/>
  <c r="Y104" i="8" s="1"/>
  <c r="Y141" i="8"/>
  <c r="Y172" i="8"/>
  <c r="Y187" i="8"/>
  <c r="H78" i="8"/>
  <c r="I32" i="8"/>
  <c r="I35" i="8"/>
  <c r="I45" i="8"/>
  <c r="I51" i="8"/>
  <c r="I117" i="8"/>
  <c r="AA141" i="8"/>
  <c r="AA172" i="8"/>
  <c r="AA187" i="8"/>
  <c r="AA185" i="8" s="1"/>
  <c r="J22" i="8"/>
  <c r="J32" i="8"/>
  <c r="J42" i="8"/>
  <c r="J45" i="8"/>
  <c r="J54" i="8"/>
  <c r="J57" i="8"/>
  <c r="J66" i="8"/>
  <c r="AB172" i="8"/>
  <c r="AB222" i="8"/>
  <c r="L29" i="8"/>
  <c r="L32" i="8"/>
  <c r="L45" i="8"/>
  <c r="L48" i="8"/>
  <c r="L54" i="8"/>
  <c r="L66" i="8"/>
  <c r="L75" i="8"/>
  <c r="AD222" i="8"/>
  <c r="AD227" i="8"/>
  <c r="M100" i="8"/>
  <c r="AH73" i="8"/>
  <c r="AH98" i="8"/>
  <c r="AH216" i="8"/>
  <c r="AI30" i="8"/>
  <c r="AI212" i="8"/>
  <c r="AI216" i="8"/>
  <c r="AI225" i="8"/>
  <c r="AJ73" i="8"/>
  <c r="C66" i="8"/>
  <c r="C81" i="8"/>
  <c r="D22" i="6"/>
  <c r="D25" i="6"/>
  <c r="D29" i="6"/>
  <c r="D35" i="6"/>
  <c r="D42" i="6"/>
  <c r="D48" i="6"/>
  <c r="D54" i="6"/>
  <c r="D60" i="6"/>
  <c r="D63" i="6"/>
  <c r="D66" i="6"/>
  <c r="D69" i="6"/>
  <c r="D72" i="6"/>
  <c r="D75" i="6"/>
  <c r="D78" i="6"/>
  <c r="D81" i="6"/>
  <c r="D93" i="6"/>
  <c r="D85" i="6" s="1"/>
  <c r="V20" i="6"/>
  <c r="V16" i="6" s="1"/>
  <c r="V35" i="6"/>
  <c r="V44" i="6"/>
  <c r="V49" i="6"/>
  <c r="V58" i="6"/>
  <c r="V57" i="6" s="1"/>
  <c r="V69" i="6"/>
  <c r="V65" i="6" s="1"/>
  <c r="V91" i="6"/>
  <c r="V96" i="6"/>
  <c r="V105" i="6"/>
  <c r="V104" i="6" s="1"/>
  <c r="V114" i="6"/>
  <c r="V123" i="6"/>
  <c r="V141" i="6"/>
  <c r="V149" i="6"/>
  <c r="V157" i="6"/>
  <c r="V155" i="6" s="1"/>
  <c r="V187" i="6"/>
  <c r="V185" i="6" s="1"/>
  <c r="V195" i="6"/>
  <c r="V203" i="6"/>
  <c r="V211" i="6"/>
  <c r="V210" i="6" s="1"/>
  <c r="V209" i="6" s="1"/>
  <c r="V207" i="6" s="1"/>
  <c r="V222" i="6"/>
  <c r="V227" i="6"/>
  <c r="V235" i="6"/>
  <c r="V243" i="6"/>
  <c r="E10" i="6"/>
  <c r="E22" i="6"/>
  <c r="E25" i="6"/>
  <c r="E29" i="6"/>
  <c r="E32" i="6"/>
  <c r="E35" i="6"/>
  <c r="E42" i="6"/>
  <c r="E45" i="6"/>
  <c r="E48" i="6"/>
  <c r="E51" i="6"/>
  <c r="E54" i="6"/>
  <c r="E57" i="6"/>
  <c r="E60" i="6"/>
  <c r="E63" i="6"/>
  <c r="E66" i="6"/>
  <c r="E69" i="6"/>
  <c r="E72" i="6"/>
  <c r="E75" i="6"/>
  <c r="E78" i="6"/>
  <c r="E81" i="6"/>
  <c r="E93" i="6"/>
  <c r="E85" i="6" s="1"/>
  <c r="E99" i="6"/>
  <c r="E117" i="6"/>
  <c r="E108" i="6" s="1"/>
  <c r="W20" i="6"/>
  <c r="W16" i="6" s="1"/>
  <c r="W35" i="6"/>
  <c r="W44" i="6"/>
  <c r="W49" i="6"/>
  <c r="W58" i="6"/>
  <c r="W57" i="6" s="1"/>
  <c r="W69" i="6"/>
  <c r="W65" i="6" s="1"/>
  <c r="W91" i="6"/>
  <c r="W96" i="6"/>
  <c r="W105" i="6"/>
  <c r="W104" i="6" s="1"/>
  <c r="W114" i="6"/>
  <c r="W123" i="6"/>
  <c r="W141" i="6"/>
  <c r="W149" i="6"/>
  <c r="W147" i="6" s="1"/>
  <c r="W157" i="6"/>
  <c r="W155" i="6" s="1"/>
  <c r="W172" i="6"/>
  <c r="W176" i="6"/>
  <c r="W187" i="6"/>
  <c r="W185" i="6" s="1"/>
  <c r="W195" i="6"/>
  <c r="W203" i="6"/>
  <c r="W211" i="6"/>
  <c r="W210" i="6" s="1"/>
  <c r="W209" i="6" s="1"/>
  <c r="W207" i="6" s="1"/>
  <c r="W222" i="6"/>
  <c r="W227" i="6"/>
  <c r="W235" i="6"/>
  <c r="W243" i="6"/>
  <c r="C12" i="6"/>
  <c r="F12" i="6" s="1"/>
  <c r="C13" i="6"/>
  <c r="C14" i="6"/>
  <c r="C15" i="6"/>
  <c r="F15" i="6" s="1"/>
  <c r="M15" i="6" s="1"/>
  <c r="C23" i="6"/>
  <c r="F23" i="6" s="1"/>
  <c r="C24" i="6"/>
  <c r="F24" i="6" s="1"/>
  <c r="M24" i="6" s="1"/>
  <c r="C26" i="6"/>
  <c r="C27" i="6"/>
  <c r="C30" i="6"/>
  <c r="F30" i="6" s="1"/>
  <c r="C31" i="6"/>
  <c r="F31" i="6" s="1"/>
  <c r="C33" i="6"/>
  <c r="C34" i="6"/>
  <c r="F34" i="6" s="1"/>
  <c r="M34" i="6" s="1"/>
  <c r="C36" i="6"/>
  <c r="F36" i="6" s="1"/>
  <c r="C37" i="6"/>
  <c r="F37" i="6" s="1"/>
  <c r="C41" i="6"/>
  <c r="C43" i="6"/>
  <c r="C44" i="6"/>
  <c r="F44" i="6" s="1"/>
  <c r="C46" i="6"/>
  <c r="F46" i="6" s="1"/>
  <c r="C47" i="6"/>
  <c r="C49" i="6"/>
  <c r="F49" i="6" s="1"/>
  <c r="C50" i="6"/>
  <c r="C52" i="6"/>
  <c r="F52" i="6" s="1"/>
  <c r="C53" i="6"/>
  <c r="C55" i="6"/>
  <c r="F55" i="6" s="1"/>
  <c r="C56" i="6"/>
  <c r="F56" i="6" s="1"/>
  <c r="C58" i="6"/>
  <c r="F58" i="6" s="1"/>
  <c r="C59" i="6"/>
  <c r="C61" i="6"/>
  <c r="C62" i="6"/>
  <c r="F62" i="6" s="1"/>
  <c r="C64" i="6"/>
  <c r="C65" i="6"/>
  <c r="F65" i="6" s="1"/>
  <c r="C67" i="6"/>
  <c r="C68" i="6"/>
  <c r="F68" i="6" s="1"/>
  <c r="N68" i="6" s="1"/>
  <c r="C70" i="6"/>
  <c r="C71" i="6"/>
  <c r="F71" i="6"/>
  <c r="M71" i="6" s="1"/>
  <c r="C73" i="6"/>
  <c r="C74" i="6"/>
  <c r="F74" i="6" s="1"/>
  <c r="C76" i="6"/>
  <c r="C77" i="6"/>
  <c r="F77" i="6" s="1"/>
  <c r="C79" i="6"/>
  <c r="F79" i="6" s="1"/>
  <c r="C80" i="6"/>
  <c r="F80" i="6" s="1"/>
  <c r="C82" i="6"/>
  <c r="F82" i="6" s="1"/>
  <c r="C83" i="6"/>
  <c r="F83" i="6" s="1"/>
  <c r="C86" i="6"/>
  <c r="F86" i="6" s="1"/>
  <c r="C87" i="6"/>
  <c r="F87" i="6" s="1"/>
  <c r="C88" i="6"/>
  <c r="F88" i="6" s="1"/>
  <c r="C89" i="6"/>
  <c r="F89" i="6" s="1"/>
  <c r="C90" i="6"/>
  <c r="F90" i="6" s="1"/>
  <c r="AQ13" i="6" s="1"/>
  <c r="C91" i="6"/>
  <c r="F91" i="6" s="1"/>
  <c r="C92" i="6"/>
  <c r="F92" i="6" s="1"/>
  <c r="C94" i="6"/>
  <c r="F94" i="6" s="1"/>
  <c r="C95" i="6"/>
  <c r="F95" i="6" s="1"/>
  <c r="C96" i="6"/>
  <c r="C97" i="6"/>
  <c r="F97" i="6" s="1"/>
  <c r="C100" i="6"/>
  <c r="F100" i="6" s="1"/>
  <c r="N100" i="6" s="1"/>
  <c r="C101" i="6"/>
  <c r="F101" i="6" s="1"/>
  <c r="N101" i="6" s="1"/>
  <c r="C102" i="6"/>
  <c r="C103" i="6"/>
  <c r="F103" i="6" s="1"/>
  <c r="C104" i="6"/>
  <c r="F104" i="6" s="1"/>
  <c r="C105" i="6"/>
  <c r="C106" i="6"/>
  <c r="F106" i="6" s="1"/>
  <c r="C109" i="6"/>
  <c r="C110" i="6"/>
  <c r="F110" i="6" s="1"/>
  <c r="C111" i="6"/>
  <c r="C112" i="6"/>
  <c r="F112" i="6" s="1"/>
  <c r="C113" i="6"/>
  <c r="C114" i="6"/>
  <c r="F114" i="6" s="1"/>
  <c r="C115" i="6"/>
  <c r="F115" i="6" s="1"/>
  <c r="C116" i="6"/>
  <c r="F116" i="6" s="1"/>
  <c r="C118" i="6"/>
  <c r="C119" i="6"/>
  <c r="U17" i="6"/>
  <c r="X17" i="6" s="1"/>
  <c r="U18" i="6"/>
  <c r="X18" i="6" s="1"/>
  <c r="AH18" i="6" s="1"/>
  <c r="U19" i="6"/>
  <c r="X19" i="6" s="1"/>
  <c r="U21" i="6"/>
  <c r="X21" i="6" s="1"/>
  <c r="U22" i="6"/>
  <c r="X22" i="6" s="1"/>
  <c r="AJ22" i="6" s="1"/>
  <c r="U23" i="6"/>
  <c r="X23" i="6" s="1"/>
  <c r="U24" i="6"/>
  <c r="X24" i="6" s="1"/>
  <c r="U25" i="6"/>
  <c r="X25" i="6" s="1"/>
  <c r="U26" i="6"/>
  <c r="X26" i="6" s="1"/>
  <c r="AJ26" i="6" s="1"/>
  <c r="U27" i="6"/>
  <c r="X27" i="6" s="1"/>
  <c r="U28" i="6"/>
  <c r="X28" i="6" s="1"/>
  <c r="U29" i="6"/>
  <c r="X29" i="6" s="1"/>
  <c r="U30" i="6"/>
  <c r="X30" i="6" s="1"/>
  <c r="AJ30" i="6" s="1"/>
  <c r="U31" i="6"/>
  <c r="X31" i="6" s="1"/>
  <c r="U32" i="6"/>
  <c r="X32" i="6" s="1"/>
  <c r="U33" i="6"/>
  <c r="U36" i="6"/>
  <c r="X36" i="6" s="1"/>
  <c r="U37" i="6"/>
  <c r="X37" i="6" s="1"/>
  <c r="U38" i="6"/>
  <c r="X38" i="6" s="1"/>
  <c r="U39" i="6"/>
  <c r="X39" i="6" s="1"/>
  <c r="U40" i="6"/>
  <c r="X40" i="6" s="1"/>
  <c r="U41" i="6"/>
  <c r="X41" i="6" s="1"/>
  <c r="AJ41" i="6" s="1"/>
  <c r="U45" i="6"/>
  <c r="U46" i="6"/>
  <c r="X46" i="6" s="1"/>
  <c r="AJ46" i="6" s="1"/>
  <c r="U47" i="6"/>
  <c r="X47" i="6" s="1"/>
  <c r="AI47" i="6" s="1"/>
  <c r="U48" i="6"/>
  <c r="X48" i="6" s="1"/>
  <c r="U50" i="6"/>
  <c r="X50" i="6" s="1"/>
  <c r="U51" i="6"/>
  <c r="U52" i="6"/>
  <c r="X52" i="6" s="1"/>
  <c r="U53" i="6"/>
  <c r="X53" i="6" s="1"/>
  <c r="U54" i="6"/>
  <c r="X54" i="6" s="1"/>
  <c r="U55" i="6"/>
  <c r="X55" i="6" s="1"/>
  <c r="U59" i="6"/>
  <c r="U60" i="6"/>
  <c r="X60" i="6" s="1"/>
  <c r="U61" i="6"/>
  <c r="X61" i="6" s="1"/>
  <c r="U66" i="6"/>
  <c r="X66" i="6" s="1"/>
  <c r="U67" i="6"/>
  <c r="X67" i="6" s="1"/>
  <c r="AH67" i="6" s="1"/>
  <c r="U68" i="6"/>
  <c r="X68" i="6" s="1"/>
  <c r="U70" i="6"/>
  <c r="X70" i="6" s="1"/>
  <c r="U71" i="6"/>
  <c r="X71" i="6" s="1"/>
  <c r="U72" i="6"/>
  <c r="X72" i="6" s="1"/>
  <c r="AI72" i="6" s="1"/>
  <c r="U73" i="6"/>
  <c r="X73" i="6" s="1"/>
  <c r="U74" i="6"/>
  <c r="X74" i="6" s="1"/>
  <c r="U75" i="6"/>
  <c r="X75" i="6" s="1"/>
  <c r="U76" i="6"/>
  <c r="X76" i="6" s="1"/>
  <c r="U77" i="6"/>
  <c r="X77" i="6" s="1"/>
  <c r="U78" i="6"/>
  <c r="X78" i="6" s="1"/>
  <c r="U79" i="6"/>
  <c r="X79" i="6" s="1"/>
  <c r="U80" i="6"/>
  <c r="X80" i="6" s="1"/>
  <c r="U81" i="6"/>
  <c r="U84" i="6"/>
  <c r="X84" i="6" s="1"/>
  <c r="U85" i="6"/>
  <c r="X85" i="6" s="1"/>
  <c r="AI85" i="6" s="1"/>
  <c r="U86" i="6"/>
  <c r="U87" i="6"/>
  <c r="X87" i="6" s="1"/>
  <c r="U88" i="6"/>
  <c r="U92" i="6"/>
  <c r="X92" i="6" s="1"/>
  <c r="U93" i="6"/>
  <c r="U94" i="6"/>
  <c r="X94" i="6" s="1"/>
  <c r="U95" i="6"/>
  <c r="X95" i="6" s="1"/>
  <c r="AJ95" i="6" s="1"/>
  <c r="U97" i="6"/>
  <c r="X97" i="6" s="1"/>
  <c r="AH97" i="6" s="1"/>
  <c r="U98" i="6"/>
  <c r="X98" i="6" s="1"/>
  <c r="U99" i="6"/>
  <c r="X99" i="6" s="1"/>
  <c r="U100" i="6"/>
  <c r="X100" i="6" s="1"/>
  <c r="U101" i="6"/>
  <c r="X101" i="6" s="1"/>
  <c r="AH101" i="6" s="1"/>
  <c r="U102" i="6"/>
  <c r="X102" i="6" s="1"/>
  <c r="U106" i="6"/>
  <c r="X106" i="6" s="1"/>
  <c r="U107" i="6"/>
  <c r="X107" i="6" s="1"/>
  <c r="U108" i="6"/>
  <c r="U115" i="6"/>
  <c r="X115" i="6" s="1"/>
  <c r="U116" i="6"/>
  <c r="X116" i="6" s="1"/>
  <c r="U117" i="6"/>
  <c r="X117" i="6" s="1"/>
  <c r="U118" i="6"/>
  <c r="X118" i="6" s="1"/>
  <c r="AI118" i="6" s="1"/>
  <c r="U119" i="6"/>
  <c r="X119" i="6" s="1"/>
  <c r="U120" i="6"/>
  <c r="X120" i="6" s="1"/>
  <c r="U121" i="6"/>
  <c r="U124" i="6"/>
  <c r="X124" i="6" s="1"/>
  <c r="U125" i="6"/>
  <c r="X125" i="6" s="1"/>
  <c r="U126" i="6"/>
  <c r="X126" i="6" s="1"/>
  <c r="U127" i="6"/>
  <c r="X127" i="6" s="1"/>
  <c r="AI127" i="6" s="1"/>
  <c r="U128" i="6"/>
  <c r="X128" i="6" s="1"/>
  <c r="U129" i="6"/>
  <c r="X129" i="6" s="1"/>
  <c r="U130" i="6"/>
  <c r="X130" i="6" s="1"/>
  <c r="U131" i="6"/>
  <c r="X131" i="6" s="1"/>
  <c r="AI131" i="6" s="1"/>
  <c r="U132" i="6"/>
  <c r="X132" i="6" s="1"/>
  <c r="U133" i="6"/>
  <c r="X133" i="6" s="1"/>
  <c r="U134" i="6"/>
  <c r="X134" i="6" s="1"/>
  <c r="U135" i="6"/>
  <c r="X135" i="6" s="1"/>
  <c r="U136" i="6"/>
  <c r="X136" i="6" s="1"/>
  <c r="U137" i="6"/>
  <c r="X137" i="6" s="1"/>
  <c r="U138" i="6"/>
  <c r="X138" i="6" s="1"/>
  <c r="U139" i="6"/>
  <c r="X139" i="6" s="1"/>
  <c r="AI139" i="6" s="1"/>
  <c r="U142" i="6"/>
  <c r="X142" i="6" s="1"/>
  <c r="U143" i="6"/>
  <c r="U148" i="6"/>
  <c r="U150" i="6"/>
  <c r="X150" i="6" s="1"/>
  <c r="U151" i="6"/>
  <c r="X151" i="6" s="1"/>
  <c r="U152" i="6"/>
  <c r="U153" i="6"/>
  <c r="U156" i="6"/>
  <c r="X156" i="6" s="1"/>
  <c r="U158" i="6"/>
  <c r="X158" i="6" s="1"/>
  <c r="AH158" i="6" s="1"/>
  <c r="U159" i="6"/>
  <c r="X159" i="6" s="1"/>
  <c r="U160" i="6"/>
  <c r="X160" i="6" s="1"/>
  <c r="U161" i="6"/>
  <c r="X161" i="6" s="1"/>
  <c r="U162" i="6"/>
  <c r="X162" i="6" s="1"/>
  <c r="U163" i="6"/>
  <c r="X163" i="6" s="1"/>
  <c r="U164" i="6"/>
  <c r="X164" i="6" s="1"/>
  <c r="U165" i="6"/>
  <c r="X165" i="6" s="1"/>
  <c r="AH165" i="6" s="1"/>
  <c r="U166" i="6"/>
  <c r="X166" i="6" s="1"/>
  <c r="U167" i="6"/>
  <c r="X167" i="6" s="1"/>
  <c r="U168" i="6"/>
  <c r="X168" i="6" s="1"/>
  <c r="AH168" i="6" s="1"/>
  <c r="U173" i="6"/>
  <c r="X173" i="6" s="1"/>
  <c r="U174" i="6"/>
  <c r="U177" i="6"/>
  <c r="U178" i="6"/>
  <c r="X178" i="6" s="1"/>
  <c r="AH178" i="6" s="1"/>
  <c r="U179" i="6"/>
  <c r="U180" i="6"/>
  <c r="X180" i="6" s="1"/>
  <c r="U181" i="6"/>
  <c r="X181" i="6" s="1"/>
  <c r="AJ181" i="6" s="1"/>
  <c r="U182" i="6"/>
  <c r="X182" i="6" s="1"/>
  <c r="U183" i="6"/>
  <c r="U186" i="6"/>
  <c r="X186" i="6" s="1"/>
  <c r="U188" i="6"/>
  <c r="U189" i="6"/>
  <c r="X189" i="6" s="1"/>
  <c r="U190" i="6"/>
  <c r="X190" i="6" s="1"/>
  <c r="U191" i="6"/>
  <c r="X191" i="6" s="1"/>
  <c r="U196" i="6"/>
  <c r="U197" i="6"/>
  <c r="X197" i="6" s="1"/>
  <c r="AJ197" i="6" s="1"/>
  <c r="U198" i="6"/>
  <c r="X198" i="6" s="1"/>
  <c r="U199" i="6"/>
  <c r="X199" i="6" s="1"/>
  <c r="U200" i="6"/>
  <c r="X200" i="6" s="1"/>
  <c r="U201" i="6"/>
  <c r="X201" i="6" s="1"/>
  <c r="U202" i="6"/>
  <c r="X202" i="6" s="1"/>
  <c r="U204" i="6"/>
  <c r="X204" i="6" s="1"/>
  <c r="U205" i="6"/>
  <c r="X205" i="6" s="1"/>
  <c r="AH205" i="6" s="1"/>
  <c r="U212" i="6"/>
  <c r="X212" i="6" s="1"/>
  <c r="U213" i="6"/>
  <c r="U214" i="6"/>
  <c r="X214" i="6" s="1"/>
  <c r="U215" i="6"/>
  <c r="X215" i="6" s="1"/>
  <c r="U216" i="6"/>
  <c r="X216" i="6" s="1"/>
  <c r="U217" i="6"/>
  <c r="X217" i="6" s="1"/>
  <c r="U218" i="6"/>
  <c r="X218" i="6" s="1"/>
  <c r="U223" i="6"/>
  <c r="U224" i="6"/>
  <c r="X224" i="6" s="1"/>
  <c r="U225" i="6"/>
  <c r="X225" i="6" s="1"/>
  <c r="U228" i="6"/>
  <c r="X228" i="6" s="1"/>
  <c r="U229" i="6"/>
  <c r="U230" i="6"/>
  <c r="X230" i="6" s="1"/>
  <c r="U236" i="6"/>
  <c r="X236" i="6" s="1"/>
  <c r="U237" i="6"/>
  <c r="U238" i="6"/>
  <c r="X238" i="6" s="1"/>
  <c r="U239" i="6"/>
  <c r="X239" i="6" s="1"/>
  <c r="U240" i="6"/>
  <c r="X240" i="6" s="1"/>
  <c r="U241" i="6"/>
  <c r="X241" i="6" s="1"/>
  <c r="U244" i="6"/>
  <c r="U245" i="6"/>
  <c r="X245" i="6" s="1"/>
  <c r="AH245" i="6" s="1"/>
  <c r="U246" i="6"/>
  <c r="X246" i="6" s="1"/>
  <c r="U247" i="6"/>
  <c r="X247" i="6" s="1"/>
  <c r="U248" i="6"/>
  <c r="X248" i="6" s="1"/>
  <c r="U249" i="6"/>
  <c r="X249" i="6" s="1"/>
  <c r="AI249" i="6" s="1"/>
  <c r="U250" i="6"/>
  <c r="X250" i="6" s="1"/>
  <c r="AJ250" i="6" s="1"/>
  <c r="U251" i="6"/>
  <c r="X251" i="6" s="1"/>
  <c r="U252" i="6"/>
  <c r="X252" i="6" s="1"/>
  <c r="U253" i="6"/>
  <c r="X253" i="6" s="1"/>
  <c r="U254" i="6"/>
  <c r="X254" i="6" s="1"/>
  <c r="AJ254" i="6" s="1"/>
  <c r="U255" i="6"/>
  <c r="X255" i="6" s="1"/>
  <c r="U256" i="6"/>
  <c r="X256" i="6" s="1"/>
  <c r="G29" i="6"/>
  <c r="G32" i="6"/>
  <c r="G35" i="6"/>
  <c r="G42" i="6"/>
  <c r="G45" i="6"/>
  <c r="G51" i="6"/>
  <c r="G54" i="6"/>
  <c r="G57" i="6"/>
  <c r="G81" i="6"/>
  <c r="G117" i="6"/>
  <c r="Y58" i="6"/>
  <c r="Y57" i="6" s="1"/>
  <c r="Y105" i="6"/>
  <c r="Y104" i="6" s="1"/>
  <c r="Y141" i="6"/>
  <c r="Y172" i="6"/>
  <c r="Y187" i="6"/>
  <c r="Y227" i="6"/>
  <c r="H10" i="6"/>
  <c r="H22" i="6"/>
  <c r="H25" i="6"/>
  <c r="H29" i="6"/>
  <c r="H32" i="6"/>
  <c r="H35" i="6"/>
  <c r="H42" i="6"/>
  <c r="H45" i="6"/>
  <c r="H48" i="6"/>
  <c r="H51" i="6"/>
  <c r="H54" i="6"/>
  <c r="H57" i="6"/>
  <c r="H60" i="6"/>
  <c r="H63" i="6"/>
  <c r="H66" i="6"/>
  <c r="H69" i="6"/>
  <c r="H72" i="6"/>
  <c r="H75" i="6"/>
  <c r="H78" i="6"/>
  <c r="H81" i="6"/>
  <c r="H93" i="6"/>
  <c r="H85" i="6" s="1"/>
  <c r="H99" i="6"/>
  <c r="H108"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5" i="6"/>
  <c r="Z203" i="6"/>
  <c r="Z194" i="6" s="1"/>
  <c r="Z193" i="6" s="1"/>
  <c r="Z211" i="6"/>
  <c r="Z210" i="6" s="1"/>
  <c r="Z209" i="6" s="1"/>
  <c r="Z207" i="6" s="1"/>
  <c r="Z222" i="6"/>
  <c r="Z227" i="6"/>
  <c r="Z235" i="6"/>
  <c r="Z243" i="6"/>
  <c r="I29" i="6"/>
  <c r="I32" i="6"/>
  <c r="I35" i="6"/>
  <c r="I42" i="6"/>
  <c r="I45" i="6"/>
  <c r="I51" i="6"/>
  <c r="I117" i="6"/>
  <c r="AA141" i="6"/>
  <c r="BO20" i="6" s="1"/>
  <c r="AA172" i="6"/>
  <c r="AA187" i="6"/>
  <c r="AA185" i="6" s="1"/>
  <c r="AA227" i="6"/>
  <c r="J10" i="6"/>
  <c r="J22" i="6"/>
  <c r="J25" i="6"/>
  <c r="J29" i="6"/>
  <c r="J32" i="6"/>
  <c r="J35" i="6"/>
  <c r="J42" i="6"/>
  <c r="J45" i="6"/>
  <c r="J48" i="6"/>
  <c r="J51" i="6"/>
  <c r="J54" i="6"/>
  <c r="J57" i="6"/>
  <c r="J66" i="6"/>
  <c r="J69" i="6"/>
  <c r="J81" i="6"/>
  <c r="J117" i="6"/>
  <c r="AB35" i="6"/>
  <c r="AB172" i="6"/>
  <c r="AB222" i="6"/>
  <c r="AB227" i="6"/>
  <c r="K22" i="6"/>
  <c r="K25" i="6"/>
  <c r="K29" i="6"/>
  <c r="K32" i="6"/>
  <c r="K35" i="6"/>
  <c r="K42" i="6"/>
  <c r="K45" i="6"/>
  <c r="K48" i="6"/>
  <c r="K51" i="6"/>
  <c r="K54" i="6"/>
  <c r="K57" i="6"/>
  <c r="K60" i="6"/>
  <c r="K63" i="6"/>
  <c r="K66" i="6"/>
  <c r="K69" i="6"/>
  <c r="K72" i="6"/>
  <c r="K75" i="6"/>
  <c r="K78" i="6"/>
  <c r="K81" i="6"/>
  <c r="K93" i="6"/>
  <c r="K99" i="6"/>
  <c r="K108"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5" i="6"/>
  <c r="AC203" i="6"/>
  <c r="AC211" i="6"/>
  <c r="AC210" i="6" s="1"/>
  <c r="AC209" i="6" s="1"/>
  <c r="AC207" i="6" s="1"/>
  <c r="AC222" i="6"/>
  <c r="AC227" i="6"/>
  <c r="AC235" i="6"/>
  <c r="AC243" i="6"/>
  <c r="L22" i="6"/>
  <c r="AS7" i="6" s="1"/>
  <c r="L25" i="6"/>
  <c r="AS8" i="6" s="1"/>
  <c r="L29" i="6"/>
  <c r="L32" i="6"/>
  <c r="L35" i="6"/>
  <c r="L42" i="6"/>
  <c r="L45" i="6"/>
  <c r="L48" i="6"/>
  <c r="L51" i="6"/>
  <c r="L54" i="6"/>
  <c r="L57" i="6"/>
  <c r="L66" i="6"/>
  <c r="L81" i="6"/>
  <c r="L117" i="6"/>
  <c r="AD172" i="6"/>
  <c r="AD222" i="6"/>
  <c r="AD227" i="6"/>
  <c r="AE58" i="6"/>
  <c r="AE57" i="6" s="1"/>
  <c r="AE105" i="6"/>
  <c r="AE141" i="6"/>
  <c r="N34" i="6"/>
  <c r="AF20" i="6"/>
  <c r="AF16" i="6" s="1"/>
  <c r="AF35" i="6"/>
  <c r="AF44" i="6"/>
  <c r="AF49" i="6"/>
  <c r="AF58" i="6"/>
  <c r="AF57" i="6" s="1"/>
  <c r="AF69" i="6"/>
  <c r="AF65" i="6" s="1"/>
  <c r="AF83" i="6"/>
  <c r="BQ14" i="6" s="1"/>
  <c r="AF91" i="6"/>
  <c r="AF96" i="6"/>
  <c r="AF105" i="6"/>
  <c r="AF104" i="6" s="1"/>
  <c r="AF114" i="6"/>
  <c r="AF123" i="6"/>
  <c r="AF141" i="6"/>
  <c r="AF149" i="6"/>
  <c r="AF147" i="6" s="1"/>
  <c r="AF157" i="6"/>
  <c r="AF155" i="6" s="1"/>
  <c r="AF172" i="6"/>
  <c r="AF176" i="6"/>
  <c r="AF187" i="6"/>
  <c r="AF185" i="6" s="1"/>
  <c r="AF195" i="6"/>
  <c r="AF203" i="6"/>
  <c r="AF194" i="6" s="1"/>
  <c r="AF193" i="6" s="1"/>
  <c r="AF211" i="6"/>
  <c r="AF210" i="6" s="1"/>
  <c r="AF209" i="6" s="1"/>
  <c r="AF222" i="6"/>
  <c r="AF227" i="6"/>
  <c r="AF235" i="6"/>
  <c r="AF243" i="6"/>
  <c r="AG141" i="6"/>
  <c r="AG227" i="6"/>
  <c r="AH215" i="6"/>
  <c r="AH247" i="6"/>
  <c r="P10" i="6"/>
  <c r="P22" i="6"/>
  <c r="P25" i="6"/>
  <c r="P29" i="6"/>
  <c r="P32" i="6"/>
  <c r="P35" i="6"/>
  <c r="P42" i="6"/>
  <c r="P45" i="6"/>
  <c r="P48" i="6"/>
  <c r="P51" i="6"/>
  <c r="P54" i="6"/>
  <c r="P57" i="6"/>
  <c r="P60" i="6"/>
  <c r="P63" i="6"/>
  <c r="P66" i="6"/>
  <c r="P69" i="6"/>
  <c r="P72" i="6"/>
  <c r="P75" i="6"/>
  <c r="P78" i="6"/>
  <c r="P81" i="6"/>
  <c r="P93" i="6"/>
  <c r="P85" i="6"/>
  <c r="P99" i="6"/>
  <c r="P108" i="6"/>
  <c r="AI53" i="6"/>
  <c r="AI135" i="6"/>
  <c r="Q10" i="6"/>
  <c r="Q22" i="6"/>
  <c r="Q25" i="6"/>
  <c r="Q29" i="6"/>
  <c r="Q32" i="6"/>
  <c r="Q35" i="6"/>
  <c r="Q42" i="6"/>
  <c r="Q45" i="6"/>
  <c r="Q48" i="6"/>
  <c r="Q51" i="6"/>
  <c r="Q54" i="6"/>
  <c r="Q57" i="6"/>
  <c r="Q60" i="6"/>
  <c r="Q63" i="6"/>
  <c r="Q66" i="6"/>
  <c r="Q69" i="6"/>
  <c r="Q72" i="6"/>
  <c r="Q75" i="6"/>
  <c r="Q78" i="6"/>
  <c r="Q81" i="6"/>
  <c r="Q93" i="6"/>
  <c r="Q85" i="6" s="1"/>
  <c r="Q108" i="6"/>
  <c r="AJ137" i="6"/>
  <c r="C22" i="6"/>
  <c r="C51" i="6"/>
  <c r="C81" i="6"/>
  <c r="U105" i="6"/>
  <c r="F109" i="5"/>
  <c r="F110" i="5"/>
  <c r="F111" i="5"/>
  <c r="F112" i="5"/>
  <c r="N112" i="5" s="1"/>
  <c r="F113" i="5"/>
  <c r="F114" i="5"/>
  <c r="M114" i="5" s="1"/>
  <c r="F115" i="5"/>
  <c r="F116" i="5"/>
  <c r="F119" i="5"/>
  <c r="F100" i="5"/>
  <c r="M100" i="5" s="1"/>
  <c r="F101" i="5"/>
  <c r="F102" i="5"/>
  <c r="F103" i="5"/>
  <c r="F104" i="5"/>
  <c r="M104" i="5" s="1"/>
  <c r="F105" i="5"/>
  <c r="F106" i="5"/>
  <c r="F23" i="5"/>
  <c r="F24" i="5"/>
  <c r="M24" i="5" s="1"/>
  <c r="F26" i="5"/>
  <c r="BC11" i="5" s="1"/>
  <c r="F27" i="5"/>
  <c r="N27" i="5" s="1"/>
  <c r="F30" i="5"/>
  <c r="F31" i="5"/>
  <c r="M31" i="5" s="1"/>
  <c r="F33" i="5"/>
  <c r="F34" i="5"/>
  <c r="F36" i="5"/>
  <c r="F37" i="5"/>
  <c r="M37" i="5" s="1"/>
  <c r="F41" i="5"/>
  <c r="N41" i="5" s="1"/>
  <c r="F43" i="5"/>
  <c r="F44" i="5"/>
  <c r="F46" i="5"/>
  <c r="M46" i="5" s="1"/>
  <c r="F47" i="5"/>
  <c r="F49" i="5"/>
  <c r="F50" i="5"/>
  <c r="F52" i="5"/>
  <c r="F53" i="5"/>
  <c r="F55" i="5"/>
  <c r="F56" i="5"/>
  <c r="F54" i="5" s="1"/>
  <c r="F58" i="5"/>
  <c r="F59" i="5"/>
  <c r="F61" i="5"/>
  <c r="F62" i="5"/>
  <c r="N62" i="5" s="1"/>
  <c r="F64" i="5"/>
  <c r="F65" i="5"/>
  <c r="F67" i="5"/>
  <c r="M67" i="5" s="1"/>
  <c r="F68" i="5"/>
  <c r="F66" i="5" s="1"/>
  <c r="F70" i="5"/>
  <c r="F71" i="5"/>
  <c r="M71" i="5" s="1"/>
  <c r="F73" i="5"/>
  <c r="F74" i="5"/>
  <c r="F76" i="5"/>
  <c r="F77" i="5"/>
  <c r="M77" i="5" s="1"/>
  <c r="C78" i="5"/>
  <c r="D78" i="5"/>
  <c r="E78" i="5"/>
  <c r="F82" i="5"/>
  <c r="F83" i="5"/>
  <c r="M83" i="5" s="1"/>
  <c r="F86" i="5"/>
  <c r="F87" i="5"/>
  <c r="F88" i="5"/>
  <c r="M88" i="5" s="1"/>
  <c r="F89" i="5"/>
  <c r="F90" i="5"/>
  <c r="M90" i="5" s="1"/>
  <c r="F91" i="5"/>
  <c r="F92" i="5"/>
  <c r="M92" i="5" s="1"/>
  <c r="F94" i="5"/>
  <c r="F95" i="5"/>
  <c r="M95" i="5" s="1"/>
  <c r="F96" i="5"/>
  <c r="F97" i="5"/>
  <c r="M97" i="5" s="1"/>
  <c r="F12" i="5"/>
  <c r="F13" i="5"/>
  <c r="F14" i="5"/>
  <c r="F15" i="5"/>
  <c r="M15" i="5" s="1"/>
  <c r="X17" i="5"/>
  <c r="X18" i="5"/>
  <c r="X19" i="5"/>
  <c r="X21" i="5"/>
  <c r="AH21" i="5" s="1"/>
  <c r="X22" i="5"/>
  <c r="AI22" i="5" s="1"/>
  <c r="X23" i="5"/>
  <c r="X24" i="5"/>
  <c r="X25" i="5"/>
  <c r="AH25" i="5" s="1"/>
  <c r="X26" i="5"/>
  <c r="AJ26" i="5" s="1"/>
  <c r="X27" i="5"/>
  <c r="X28" i="5"/>
  <c r="X29" i="5"/>
  <c r="AH29" i="5" s="1"/>
  <c r="X30" i="5"/>
  <c r="AJ30" i="5" s="1"/>
  <c r="X31" i="5"/>
  <c r="X32" i="5"/>
  <c r="X33" i="5"/>
  <c r="AH33" i="5" s="1"/>
  <c r="X36" i="5"/>
  <c r="AH36" i="5" s="1"/>
  <c r="X37" i="5"/>
  <c r="AI37" i="5" s="1"/>
  <c r="X38" i="5"/>
  <c r="AI38" i="5" s="1"/>
  <c r="X39" i="5"/>
  <c r="AI39" i="5" s="1"/>
  <c r="X40" i="5"/>
  <c r="AJ40" i="5" s="1"/>
  <c r="X41" i="5"/>
  <c r="X45" i="5"/>
  <c r="AJ45" i="5" s="1"/>
  <c r="X46" i="5"/>
  <c r="AJ46" i="5" s="1"/>
  <c r="X47" i="5"/>
  <c r="AI47" i="5" s="1"/>
  <c r="X48" i="5"/>
  <c r="X50" i="5"/>
  <c r="AJ50" i="5" s="1"/>
  <c r="X51" i="5"/>
  <c r="AJ51" i="5" s="1"/>
  <c r="X52" i="5"/>
  <c r="AI52" i="5" s="1"/>
  <c r="X53" i="5"/>
  <c r="X54" i="5"/>
  <c r="X55" i="5"/>
  <c r="X59" i="5"/>
  <c r="AJ59" i="5" s="1"/>
  <c r="X60" i="5"/>
  <c r="X61" i="5"/>
  <c r="X66" i="5"/>
  <c r="X67" i="5"/>
  <c r="AH67" i="5" s="1"/>
  <c r="X68" i="5"/>
  <c r="X70" i="5"/>
  <c r="AJ70" i="5" s="1"/>
  <c r="X71" i="5"/>
  <c r="AI71" i="5" s="1"/>
  <c r="X72" i="5"/>
  <c r="X73" i="5"/>
  <c r="X74" i="5"/>
  <c r="AH74" i="5" s="1"/>
  <c r="X75" i="5"/>
  <c r="AH75" i="5" s="1"/>
  <c r="X76" i="5"/>
  <c r="X77" i="5"/>
  <c r="X78" i="5"/>
  <c r="X79" i="5"/>
  <c r="AJ79" i="5" s="1"/>
  <c r="X80" i="5"/>
  <c r="X81" i="5"/>
  <c r="AI81" i="5" s="1"/>
  <c r="X84" i="5"/>
  <c r="X85" i="5"/>
  <c r="AI85" i="5" s="1"/>
  <c r="X86" i="5"/>
  <c r="X87" i="5"/>
  <c r="X88" i="5"/>
  <c r="AH88" i="5" s="1"/>
  <c r="X92" i="5"/>
  <c r="X93" i="5"/>
  <c r="AI93" i="5" s="1"/>
  <c r="X94" i="5"/>
  <c r="X95" i="5"/>
  <c r="X97" i="5"/>
  <c r="AJ97" i="5" s="1"/>
  <c r="X98" i="5"/>
  <c r="X99" i="5"/>
  <c r="AJ99" i="5" s="1"/>
  <c r="X100" i="5"/>
  <c r="X101" i="5"/>
  <c r="AH101" i="5" s="1"/>
  <c r="X102" i="5"/>
  <c r="X106" i="5"/>
  <c r="X107" i="5"/>
  <c r="X108" i="5"/>
  <c r="AI108" i="5" s="1"/>
  <c r="X115" i="5"/>
  <c r="AJ115" i="5" s="1"/>
  <c r="X116" i="5"/>
  <c r="X117" i="5"/>
  <c r="X118" i="5"/>
  <c r="AH118" i="5" s="1"/>
  <c r="X119" i="5"/>
  <c r="AJ119" i="5" s="1"/>
  <c r="X120" i="5"/>
  <c r="X121" i="5"/>
  <c r="X124" i="5"/>
  <c r="X125" i="5"/>
  <c r="X126" i="5"/>
  <c r="X127" i="5"/>
  <c r="AH127" i="5" s="1"/>
  <c r="X128" i="5"/>
  <c r="AI128" i="5" s="1"/>
  <c r="X129" i="5"/>
  <c r="X130" i="5"/>
  <c r="X131" i="5"/>
  <c r="AI131" i="5" s="1"/>
  <c r="X132" i="5"/>
  <c r="AH132" i="5" s="1"/>
  <c r="X133" i="5"/>
  <c r="X134" i="5"/>
  <c r="X135" i="5"/>
  <c r="AH135" i="5" s="1"/>
  <c r="X136" i="5"/>
  <c r="X137" i="5"/>
  <c r="X138" i="5"/>
  <c r="X139" i="5"/>
  <c r="AH139" i="5" s="1"/>
  <c r="X142" i="5"/>
  <c r="X143" i="5"/>
  <c r="X148" i="5"/>
  <c r="AH148" i="5" s="1"/>
  <c r="X150" i="5"/>
  <c r="AI150" i="5" s="1"/>
  <c r="X151" i="5"/>
  <c r="AI151" i="5" s="1"/>
  <c r="X152" i="5"/>
  <c r="AI152" i="5" s="1"/>
  <c r="X153" i="5"/>
  <c r="AH153" i="5" s="1"/>
  <c r="X156" i="5"/>
  <c r="X158" i="5"/>
  <c r="X159" i="5"/>
  <c r="X160" i="5"/>
  <c r="X161" i="5"/>
  <c r="AJ161" i="5" s="1"/>
  <c r="X162" i="5"/>
  <c r="AJ162" i="5" s="1"/>
  <c r="X163" i="5"/>
  <c r="X164" i="5"/>
  <c r="AI164" i="5" s="1"/>
  <c r="X165" i="5"/>
  <c r="X166" i="5"/>
  <c r="X167" i="5"/>
  <c r="X168" i="5"/>
  <c r="X173" i="5"/>
  <c r="AH173" i="5" s="1"/>
  <c r="X174" i="5"/>
  <c r="X177" i="5"/>
  <c r="X178" i="5"/>
  <c r="AI178" i="5" s="1"/>
  <c r="X179" i="5"/>
  <c r="AJ179" i="5" s="1"/>
  <c r="X180" i="5"/>
  <c r="AJ180" i="5" s="1"/>
  <c r="X181" i="5"/>
  <c r="X182" i="5"/>
  <c r="AJ182" i="5" s="1"/>
  <c r="X183" i="5"/>
  <c r="X186" i="5"/>
  <c r="X188" i="5"/>
  <c r="X189" i="5"/>
  <c r="X190" i="5"/>
  <c r="X191" i="5"/>
  <c r="X196" i="5"/>
  <c r="AH196" i="5" s="1"/>
  <c r="X197" i="5"/>
  <c r="X198" i="5"/>
  <c r="AI198" i="5" s="1"/>
  <c r="X199" i="5"/>
  <c r="X200" i="5"/>
  <c r="X201" i="5"/>
  <c r="AJ201" i="5" s="1"/>
  <c r="X202" i="5"/>
  <c r="X204" i="5"/>
  <c r="X203" i="5" s="1"/>
  <c r="X205" i="5"/>
  <c r="X212" i="5"/>
  <c r="AH212" i="5" s="1"/>
  <c r="X213" i="5"/>
  <c r="AI213" i="5" s="1"/>
  <c r="X214" i="5"/>
  <c r="X215" i="5"/>
  <c r="X216" i="5"/>
  <c r="AH216" i="5" s="1"/>
  <c r="X217" i="5"/>
  <c r="AI217" i="5" s="1"/>
  <c r="X218" i="5"/>
  <c r="X223" i="5"/>
  <c r="AI223" i="5" s="1"/>
  <c r="X224" i="5"/>
  <c r="AH224" i="5" s="1"/>
  <c r="X225" i="5"/>
  <c r="X228" i="5"/>
  <c r="AH228" i="5" s="1"/>
  <c r="X229" i="5"/>
  <c r="X230" i="5"/>
  <c r="X236" i="5"/>
  <c r="X237" i="5"/>
  <c r="X238" i="5"/>
  <c r="X239" i="5"/>
  <c r="AH239" i="5" s="1"/>
  <c r="X240" i="5"/>
  <c r="AJ240" i="5" s="1"/>
  <c r="X241" i="5"/>
  <c r="X244" i="5"/>
  <c r="X245" i="5"/>
  <c r="AH245" i="5" s="1"/>
  <c r="X246" i="5"/>
  <c r="X247" i="5"/>
  <c r="X248" i="5"/>
  <c r="AI248" i="5" s="1"/>
  <c r="X249" i="5"/>
  <c r="AH249" i="5" s="1"/>
  <c r="X250" i="5"/>
  <c r="X251" i="5"/>
  <c r="X252" i="5"/>
  <c r="AI252" i="5" s="1"/>
  <c r="X253" i="5"/>
  <c r="AH253" i="5" s="1"/>
  <c r="X254" i="5"/>
  <c r="X255" i="5"/>
  <c r="AJ255" i="5" s="1"/>
  <c r="X256" i="5"/>
  <c r="AH256" i="5" s="1"/>
  <c r="H10" i="5"/>
  <c r="H22" i="5"/>
  <c r="H25" i="5"/>
  <c r="H29" i="5"/>
  <c r="H32" i="5"/>
  <c r="H35" i="5"/>
  <c r="H42" i="5"/>
  <c r="H45" i="5"/>
  <c r="H48" i="5"/>
  <c r="H51" i="5"/>
  <c r="H54" i="5"/>
  <c r="H57" i="5"/>
  <c r="H60" i="5"/>
  <c r="H63" i="5"/>
  <c r="H66" i="5"/>
  <c r="H69" i="5"/>
  <c r="H72" i="5"/>
  <c r="H75" i="5"/>
  <c r="H78" i="5"/>
  <c r="H81" i="5"/>
  <c r="H93" i="5"/>
  <c r="H85" i="5" s="1"/>
  <c r="H99" i="5"/>
  <c r="H108"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5" i="5"/>
  <c r="Z203" i="5"/>
  <c r="Z211" i="5"/>
  <c r="Z210" i="5"/>
  <c r="Z209" i="5" s="1"/>
  <c r="Z207" i="5" s="1"/>
  <c r="Z222" i="5"/>
  <c r="Z227" i="5"/>
  <c r="Z235" i="5"/>
  <c r="Z243" i="5"/>
  <c r="Z234" i="5" s="1"/>
  <c r="Z232" i="5" s="1"/>
  <c r="I10" i="5"/>
  <c r="I29" i="5"/>
  <c r="I32" i="5"/>
  <c r="I35" i="5"/>
  <c r="I42" i="5"/>
  <c r="I45" i="5"/>
  <c r="I51" i="5"/>
  <c r="I54" i="5"/>
  <c r="I57" i="5"/>
  <c r="I66" i="5"/>
  <c r="I69" i="5"/>
  <c r="I81" i="5"/>
  <c r="I93" i="5"/>
  <c r="I99" i="5"/>
  <c r="I117" i="5"/>
  <c r="AA44" i="5"/>
  <c r="AA58" i="5"/>
  <c r="AA57" i="5" s="1"/>
  <c r="AA141" i="5"/>
  <c r="AA157" i="5"/>
  <c r="AA172" i="5"/>
  <c r="AA187" i="5"/>
  <c r="AA185" i="5" s="1"/>
  <c r="AA203" i="5"/>
  <c r="AA211" i="5"/>
  <c r="AA210" i="5" s="1"/>
  <c r="AA209" i="5" s="1"/>
  <c r="AA207" i="5" s="1"/>
  <c r="AA222" i="5"/>
  <c r="AA227" i="5"/>
  <c r="AA235" i="5"/>
  <c r="AA243" i="5"/>
  <c r="K10" i="5"/>
  <c r="K22" i="5"/>
  <c r="K25" i="5"/>
  <c r="K29" i="5"/>
  <c r="K32" i="5"/>
  <c r="K35" i="5"/>
  <c r="K42" i="5"/>
  <c r="K45" i="5"/>
  <c r="K48" i="5"/>
  <c r="K51" i="5"/>
  <c r="K54" i="5"/>
  <c r="K57" i="5"/>
  <c r="K60" i="5"/>
  <c r="K63" i="5"/>
  <c r="K66" i="5"/>
  <c r="K69" i="5"/>
  <c r="K72" i="5"/>
  <c r="K75" i="5"/>
  <c r="K78" i="5"/>
  <c r="K81" i="5"/>
  <c r="K93" i="5"/>
  <c r="BE19" i="5" s="1"/>
  <c r="K99" i="5"/>
  <c r="K108"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5" i="5"/>
  <c r="AC203" i="5"/>
  <c r="AC211" i="5"/>
  <c r="AC210" i="5" s="1"/>
  <c r="AC209" i="5" s="1"/>
  <c r="AC207" i="5" s="1"/>
  <c r="AC222" i="5"/>
  <c r="AC227" i="5"/>
  <c r="AC235" i="5"/>
  <c r="AC243" i="5"/>
  <c r="AC234" i="5" s="1"/>
  <c r="AC232" i="5" s="1"/>
  <c r="L10" i="5"/>
  <c r="L22" i="5"/>
  <c r="AS7" i="5" s="1"/>
  <c r="L25" i="5"/>
  <c r="L29" i="5"/>
  <c r="L32" i="5"/>
  <c r="L35" i="5"/>
  <c r="L42" i="5"/>
  <c r="L45" i="5"/>
  <c r="L48" i="5"/>
  <c r="L51" i="5"/>
  <c r="L54" i="5"/>
  <c r="L57" i="5"/>
  <c r="L66" i="5"/>
  <c r="L69" i="5"/>
  <c r="L81" i="5"/>
  <c r="L93" i="5"/>
  <c r="L99" i="5"/>
  <c r="L117" i="5"/>
  <c r="AD35" i="5"/>
  <c r="AD44" i="5"/>
  <c r="AD49" i="5"/>
  <c r="AD58" i="5"/>
  <c r="AD57" i="5" s="1"/>
  <c r="AD141" i="5"/>
  <c r="AD176" i="5"/>
  <c r="AD187" i="5"/>
  <c r="AD211" i="5"/>
  <c r="AD210" i="5" s="1"/>
  <c r="AD209" i="5" s="1"/>
  <c r="AD207" i="5" s="1"/>
  <c r="AD222" i="5"/>
  <c r="AD227" i="5"/>
  <c r="AD235" i="5"/>
  <c r="M109" i="5"/>
  <c r="M111" i="5"/>
  <c r="M115" i="5"/>
  <c r="M116" i="5"/>
  <c r="M101" i="5"/>
  <c r="M103" i="5"/>
  <c r="M105" i="5"/>
  <c r="M30" i="5"/>
  <c r="M33" i="5"/>
  <c r="M36" i="5"/>
  <c r="M41" i="5"/>
  <c r="M44" i="5"/>
  <c r="M47" i="5"/>
  <c r="M49" i="5"/>
  <c r="M52" i="5"/>
  <c r="M55" i="5"/>
  <c r="M58" i="5"/>
  <c r="M59" i="5"/>
  <c r="M62" i="5"/>
  <c r="M68" i="5"/>
  <c r="M70" i="5"/>
  <c r="M73" i="5"/>
  <c r="M82" i="5"/>
  <c r="M87" i="5"/>
  <c r="M89" i="5"/>
  <c r="M91" i="5"/>
  <c r="M94" i="5"/>
  <c r="M96" i="5"/>
  <c r="M12" i="5"/>
  <c r="M14" i="5"/>
  <c r="N109" i="5"/>
  <c r="N111" i="5"/>
  <c r="N114" i="5"/>
  <c r="N115" i="5"/>
  <c r="N101" i="5"/>
  <c r="N103" i="5"/>
  <c r="N105" i="5"/>
  <c r="N106" i="5"/>
  <c r="N33" i="5"/>
  <c r="N36" i="5"/>
  <c r="N37" i="5"/>
  <c r="N44" i="5"/>
  <c r="N47" i="5"/>
  <c r="N49" i="5"/>
  <c r="N50" i="5"/>
  <c r="N52" i="5"/>
  <c r="N53" i="5"/>
  <c r="N55" i="5"/>
  <c r="N56" i="5"/>
  <c r="N59" i="5"/>
  <c r="N61" i="5"/>
  <c r="N68" i="5"/>
  <c r="N73" i="5"/>
  <c r="N76" i="5"/>
  <c r="N82" i="5"/>
  <c r="N83" i="5"/>
  <c r="N87" i="5"/>
  <c r="N88" i="5"/>
  <c r="N89" i="5"/>
  <c r="N90" i="5"/>
  <c r="N91" i="5"/>
  <c r="N92" i="5"/>
  <c r="N94" i="5"/>
  <c r="N95" i="5"/>
  <c r="N12" i="5"/>
  <c r="N14"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5" i="5"/>
  <c r="AF203" i="5"/>
  <c r="AF211" i="5"/>
  <c r="AF210" i="5" s="1"/>
  <c r="AF209" i="5" s="1"/>
  <c r="AF207" i="5" s="1"/>
  <c r="AF222" i="5"/>
  <c r="AF227" i="5"/>
  <c r="AF235" i="5"/>
  <c r="AF243" i="5"/>
  <c r="AG35" i="5"/>
  <c r="AG44" i="5"/>
  <c r="AG58" i="5"/>
  <c r="AG57" i="5" s="1"/>
  <c r="AG83" i="5"/>
  <c r="AG96" i="5"/>
  <c r="AG105" i="5"/>
  <c r="AG104" i="5"/>
  <c r="AG114" i="5"/>
  <c r="AG141" i="5"/>
  <c r="AG149" i="5"/>
  <c r="AG147" i="5"/>
  <c r="AG172" i="5"/>
  <c r="AG187" i="5"/>
  <c r="AG185" i="5" s="1"/>
  <c r="AG203" i="5"/>
  <c r="AG211" i="5"/>
  <c r="AG210" i="5" s="1"/>
  <c r="AG209" i="5" s="1"/>
  <c r="AG207" i="5" s="1"/>
  <c r="AG222" i="5"/>
  <c r="AG227" i="5"/>
  <c r="AG235" i="5"/>
  <c r="P10" i="5"/>
  <c r="P22" i="5"/>
  <c r="P25" i="5"/>
  <c r="P29" i="5"/>
  <c r="P32" i="5"/>
  <c r="P35" i="5"/>
  <c r="P42" i="5"/>
  <c r="P45" i="5"/>
  <c r="P48" i="5"/>
  <c r="P51" i="5"/>
  <c r="P54" i="5"/>
  <c r="P57" i="5"/>
  <c r="P60" i="5"/>
  <c r="P63" i="5"/>
  <c r="P66" i="5"/>
  <c r="P69" i="5"/>
  <c r="P72" i="5"/>
  <c r="P75" i="5"/>
  <c r="P78" i="5"/>
  <c r="P81" i="5"/>
  <c r="P93" i="5"/>
  <c r="P85" i="5" s="1"/>
  <c r="P99" i="5"/>
  <c r="P108" i="5"/>
  <c r="AH19" i="5"/>
  <c r="AH22" i="5"/>
  <c r="AH24" i="5"/>
  <c r="AH26" i="5"/>
  <c r="AH28" i="5"/>
  <c r="AH30" i="5"/>
  <c r="AH32" i="5"/>
  <c r="AH37" i="5"/>
  <c r="AH38" i="5"/>
  <c r="AH39" i="5"/>
  <c r="AH40" i="5"/>
  <c r="AH46" i="5"/>
  <c r="AH54" i="5"/>
  <c r="AH59" i="5"/>
  <c r="AH61" i="5"/>
  <c r="AH70" i="5"/>
  <c r="AH76" i="5"/>
  <c r="AH78" i="5"/>
  <c r="AH80" i="5"/>
  <c r="AH81" i="5"/>
  <c r="AH84" i="5"/>
  <c r="AH85" i="5"/>
  <c r="AH93" i="5"/>
  <c r="AH95" i="5"/>
  <c r="AH97" i="5"/>
  <c r="AH98" i="5"/>
  <c r="AH99" i="5"/>
  <c r="AH100" i="5"/>
  <c r="AH107" i="5"/>
  <c r="AH108" i="5"/>
  <c r="AH117" i="5"/>
  <c r="AH119" i="5"/>
  <c r="AH121" i="5"/>
  <c r="AH126" i="5"/>
  <c r="AH130" i="5"/>
  <c r="AH131" i="5"/>
  <c r="AH136" i="5"/>
  <c r="AH138" i="5"/>
  <c r="AH142" i="5"/>
  <c r="AH150" i="5"/>
  <c r="AH152" i="5"/>
  <c r="AH159" i="5"/>
  <c r="AH162" i="5"/>
  <c r="AH163" i="5"/>
  <c r="AH165" i="5"/>
  <c r="AH167" i="5"/>
  <c r="AH179" i="5"/>
  <c r="AH180" i="5"/>
  <c r="AH181" i="5"/>
  <c r="AH182" i="5"/>
  <c r="AH183" i="5"/>
  <c r="AH186" i="5"/>
  <c r="AH188" i="5"/>
  <c r="AH189" i="5"/>
  <c r="AH190" i="5"/>
  <c r="AH197" i="5"/>
  <c r="AH200" i="5"/>
  <c r="AH201" i="5"/>
  <c r="AH202" i="5"/>
  <c r="AH205" i="5"/>
  <c r="AH213" i="5"/>
  <c r="AH215" i="5"/>
  <c r="AH217" i="5"/>
  <c r="AH218" i="5"/>
  <c r="AH223" i="5"/>
  <c r="AH229" i="5"/>
  <c r="AH236" i="5"/>
  <c r="AH238" i="5"/>
  <c r="AH240" i="5"/>
  <c r="AH244" i="5"/>
  <c r="AH247" i="5"/>
  <c r="AH248" i="5"/>
  <c r="AH251" i="5"/>
  <c r="AH252" i="5"/>
  <c r="Q10" i="5"/>
  <c r="Q22" i="5"/>
  <c r="Q25" i="5"/>
  <c r="Q29" i="5"/>
  <c r="Q32" i="5"/>
  <c r="Q35" i="5"/>
  <c r="Q42" i="5"/>
  <c r="Q45" i="5"/>
  <c r="Q48" i="5"/>
  <c r="Q51" i="5"/>
  <c r="Q54" i="5"/>
  <c r="Q57" i="5"/>
  <c r="Q60" i="5"/>
  <c r="Q63" i="5"/>
  <c r="Q66" i="5"/>
  <c r="Q69" i="5"/>
  <c r="Q72" i="5"/>
  <c r="Q75" i="5"/>
  <c r="Q78" i="5"/>
  <c r="Q81" i="5"/>
  <c r="Q93" i="5"/>
  <c r="Q85" i="5" s="1"/>
  <c r="Q108" i="5"/>
  <c r="AI17" i="5"/>
  <c r="AI19" i="5"/>
  <c r="AI24" i="5"/>
  <c r="AI26" i="5"/>
  <c r="AI28" i="5"/>
  <c r="AI30" i="5"/>
  <c r="AI32" i="5"/>
  <c r="AI40" i="5"/>
  <c r="AI46" i="5"/>
  <c r="AI51" i="5"/>
  <c r="AI54" i="5"/>
  <c r="AI61" i="5"/>
  <c r="AI70" i="5"/>
  <c r="AI72" i="5"/>
  <c r="AI75" i="5"/>
  <c r="AI76" i="5"/>
  <c r="AI77" i="5"/>
  <c r="AI78" i="5"/>
  <c r="AI80" i="5"/>
  <c r="AI87" i="5"/>
  <c r="AI95" i="5"/>
  <c r="AI99" i="5"/>
  <c r="AI107" i="5"/>
  <c r="AI116" i="5"/>
  <c r="AI118" i="5"/>
  <c r="AI119" i="5"/>
  <c r="AI120" i="5"/>
  <c r="AI121" i="5"/>
  <c r="AI126" i="5"/>
  <c r="AI127" i="5"/>
  <c r="AI130" i="5"/>
  <c r="AI132" i="5"/>
  <c r="AI134" i="5"/>
  <c r="AI135" i="5"/>
  <c r="AI136" i="5"/>
  <c r="AI138" i="5"/>
  <c r="AI142" i="5"/>
  <c r="AI148" i="5"/>
  <c r="AI158" i="5"/>
  <c r="AI159" i="5"/>
  <c r="AI165" i="5"/>
  <c r="AI167" i="5"/>
  <c r="AI180" i="5"/>
  <c r="AI181" i="5"/>
  <c r="AI182" i="5"/>
  <c r="AI183" i="5"/>
  <c r="AI186" i="5"/>
  <c r="AI188" i="5"/>
  <c r="AI189" i="5"/>
  <c r="AI190" i="5"/>
  <c r="AI191" i="5"/>
  <c r="AI201" i="5"/>
  <c r="AI202" i="5"/>
  <c r="AI212" i="5"/>
  <c r="AI215" i="5"/>
  <c r="AI216" i="5"/>
  <c r="AI218" i="5"/>
  <c r="AI224" i="5"/>
  <c r="AI229" i="5"/>
  <c r="AI236" i="5"/>
  <c r="AI238" i="5"/>
  <c r="AI240" i="5"/>
  <c r="AI247" i="5"/>
  <c r="AI249" i="5"/>
  <c r="AI251" i="5"/>
  <c r="AI253" i="5"/>
  <c r="AI255" i="5"/>
  <c r="AJ19" i="5"/>
  <c r="AJ24" i="5"/>
  <c r="AJ25" i="5"/>
  <c r="AJ28" i="5"/>
  <c r="AJ29" i="5"/>
  <c r="AJ32" i="5"/>
  <c r="AJ36" i="5"/>
  <c r="AJ48" i="5"/>
  <c r="AJ54" i="5"/>
  <c r="AJ55" i="5"/>
  <c r="AJ61" i="5"/>
  <c r="AJ66" i="5"/>
  <c r="AJ71" i="5"/>
  <c r="AJ73" i="5"/>
  <c r="AJ76" i="5"/>
  <c r="AJ78" i="5"/>
  <c r="AJ80" i="5"/>
  <c r="AJ93" i="5"/>
  <c r="AJ95" i="5"/>
  <c r="AJ98" i="5"/>
  <c r="AJ100" i="5"/>
  <c r="AJ107" i="5"/>
  <c r="AJ108" i="5"/>
  <c r="AJ117" i="5"/>
  <c r="AJ118" i="5"/>
  <c r="AJ121" i="5"/>
  <c r="AJ130" i="5"/>
  <c r="AJ131" i="5"/>
  <c r="AJ136" i="5"/>
  <c r="AJ138" i="5"/>
  <c r="AJ142" i="5"/>
  <c r="AJ148" i="5"/>
  <c r="AJ150" i="5"/>
  <c r="AJ151" i="5"/>
  <c r="AJ152" i="5"/>
  <c r="AJ156" i="5"/>
  <c r="AJ159" i="5"/>
  <c r="AJ163" i="5"/>
  <c r="AJ165" i="5"/>
  <c r="AJ167" i="5"/>
  <c r="AJ177" i="5"/>
  <c r="AJ178" i="5"/>
  <c r="AJ181" i="5"/>
  <c r="AJ186" i="5"/>
  <c r="AJ188" i="5"/>
  <c r="AJ189" i="5"/>
  <c r="AJ190" i="5"/>
  <c r="AJ191" i="5"/>
  <c r="AJ200" i="5"/>
  <c r="AJ202" i="5"/>
  <c r="AJ213" i="5"/>
  <c r="AJ215" i="5"/>
  <c r="AJ217" i="5"/>
  <c r="AJ218" i="5"/>
  <c r="AJ229" i="5"/>
  <c r="AJ238" i="5"/>
  <c r="AJ239" i="5"/>
  <c r="AJ244" i="5"/>
  <c r="AJ247" i="5"/>
  <c r="AJ249" i="5"/>
  <c r="AJ251" i="5"/>
  <c r="AJ253" i="5"/>
  <c r="D10" i="5"/>
  <c r="D22" i="5"/>
  <c r="D25" i="5"/>
  <c r="D29" i="5"/>
  <c r="D32" i="5"/>
  <c r="D35" i="5"/>
  <c r="D42" i="5"/>
  <c r="D45" i="5"/>
  <c r="D48" i="5"/>
  <c r="D51" i="5"/>
  <c r="D54" i="5"/>
  <c r="D57" i="5"/>
  <c r="D60" i="5"/>
  <c r="D63" i="5"/>
  <c r="D66" i="5"/>
  <c r="D69" i="5"/>
  <c r="D72" i="5"/>
  <c r="D75" i="5"/>
  <c r="D81" i="5"/>
  <c r="D93" i="5"/>
  <c r="D85" i="5" s="1"/>
  <c r="D99" i="5"/>
  <c r="V20" i="5"/>
  <c r="V16" i="5" s="1"/>
  <c r="V35" i="5"/>
  <c r="V44" i="5"/>
  <c r="V49" i="5"/>
  <c r="V58" i="5"/>
  <c r="V57" i="5" s="1"/>
  <c r="V69" i="5"/>
  <c r="V65" i="5" s="1"/>
  <c r="V83" i="5"/>
  <c r="V91" i="5"/>
  <c r="V96" i="5"/>
  <c r="V105" i="5"/>
  <c r="V104" i="5" s="1"/>
  <c r="V114" i="5"/>
  <c r="V123" i="5"/>
  <c r="V141" i="5"/>
  <c r="V149" i="5"/>
  <c r="V147" i="5" s="1"/>
  <c r="V157" i="5"/>
  <c r="V155" i="5" s="1"/>
  <c r="V172" i="5"/>
  <c r="V176" i="5"/>
  <c r="V187" i="5"/>
  <c r="V185" i="5" s="1"/>
  <c r="V195" i="5"/>
  <c r="V203" i="5"/>
  <c r="V211" i="5"/>
  <c r="V210" i="5" s="1"/>
  <c r="V209" i="5" s="1"/>
  <c r="V207" i="5" s="1"/>
  <c r="V222" i="5"/>
  <c r="V227" i="5"/>
  <c r="V235" i="5"/>
  <c r="V243" i="5"/>
  <c r="E10" i="5"/>
  <c r="E22" i="5"/>
  <c r="E25" i="5"/>
  <c r="E29" i="5"/>
  <c r="E32" i="5"/>
  <c r="E35" i="5"/>
  <c r="E42" i="5"/>
  <c r="E45" i="5"/>
  <c r="E48" i="5"/>
  <c r="E51" i="5"/>
  <c r="E54" i="5"/>
  <c r="E57" i="5"/>
  <c r="E60" i="5"/>
  <c r="E63" i="5"/>
  <c r="E66" i="5"/>
  <c r="E69" i="5"/>
  <c r="E72" i="5"/>
  <c r="E75" i="5"/>
  <c r="E81" i="5"/>
  <c r="E93" i="5"/>
  <c r="E85" i="5" s="1"/>
  <c r="E99" i="5"/>
  <c r="E117" i="5"/>
  <c r="E108" i="5"/>
  <c r="W20" i="5"/>
  <c r="W16" i="5" s="1"/>
  <c r="W35" i="5"/>
  <c r="W44" i="5"/>
  <c r="W49" i="5"/>
  <c r="W58" i="5"/>
  <c r="W57" i="5" s="1"/>
  <c r="W69" i="5"/>
  <c r="W65" i="5" s="1"/>
  <c r="W83" i="5"/>
  <c r="W91" i="5"/>
  <c r="W96" i="5"/>
  <c r="W105" i="5"/>
  <c r="W104" i="5" s="1"/>
  <c r="W114" i="5"/>
  <c r="W123" i="5"/>
  <c r="W141" i="5"/>
  <c r="W149" i="5"/>
  <c r="W147" i="5" s="1"/>
  <c r="W157" i="5"/>
  <c r="W155" i="5" s="1"/>
  <c r="W172" i="5"/>
  <c r="W176" i="5"/>
  <c r="W187" i="5"/>
  <c r="W185" i="5" s="1"/>
  <c r="W195" i="5"/>
  <c r="W203" i="5"/>
  <c r="W211" i="5"/>
  <c r="W210" i="5" s="1"/>
  <c r="W209" i="5" s="1"/>
  <c r="W207" i="5" s="1"/>
  <c r="W222" i="5"/>
  <c r="W227" i="5"/>
  <c r="W235" i="5"/>
  <c r="W243" i="5"/>
  <c r="C108" i="5"/>
  <c r="C99" i="5"/>
  <c r="C22" i="5"/>
  <c r="C25" i="5"/>
  <c r="C29" i="5"/>
  <c r="C32" i="5"/>
  <c r="C35" i="5"/>
  <c r="C42" i="5"/>
  <c r="C45" i="5"/>
  <c r="C48" i="5"/>
  <c r="C51" i="5"/>
  <c r="C54" i="5"/>
  <c r="C57" i="5"/>
  <c r="C60" i="5"/>
  <c r="C63" i="5"/>
  <c r="C66" i="5"/>
  <c r="C69" i="5"/>
  <c r="C72" i="5"/>
  <c r="C75" i="5"/>
  <c r="C93" i="5"/>
  <c r="C85" i="5" s="1"/>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c r="U195" i="5"/>
  <c r="U203" i="5"/>
  <c r="U211" i="5"/>
  <c r="U210" i="5"/>
  <c r="U209" i="5" s="1"/>
  <c r="U207" i="5" s="1"/>
  <c r="U222" i="5"/>
  <c r="U227" i="5"/>
  <c r="U235" i="5"/>
  <c r="U243" i="5"/>
  <c r="BQ19" i="16"/>
  <c r="Q43" i="20" s="1"/>
  <c r="BQ18" i="16"/>
  <c r="Q42" i="20" s="1"/>
  <c r="BQ19" i="15"/>
  <c r="P43" i="20" s="1"/>
  <c r="BQ18" i="15"/>
  <c r="P42" i="20" s="1"/>
  <c r="BQ19" i="14"/>
  <c r="O43" i="20" s="1"/>
  <c r="BQ18" i="14"/>
  <c r="O42" i="20" s="1"/>
  <c r="BQ19" i="13"/>
  <c r="N43" i="20" s="1"/>
  <c r="BQ18" i="13"/>
  <c r="N42" i="20" s="1"/>
  <c r="BO20" i="12"/>
  <c r="BQ19" i="12"/>
  <c r="M43" i="20" s="1"/>
  <c r="BQ18" i="12"/>
  <c r="M42" i="20" s="1"/>
  <c r="BQ19" i="11"/>
  <c r="L43" i="20" s="1"/>
  <c r="BQ18" i="11"/>
  <c r="L42" i="20" s="1"/>
  <c r="BQ19" i="10"/>
  <c r="K43" i="20" s="1"/>
  <c r="BQ18" i="10"/>
  <c r="K42" i="20" s="1"/>
  <c r="BQ19" i="9"/>
  <c r="J43" i="20" s="1"/>
  <c r="BQ18" i="9"/>
  <c r="J42" i="20" s="1"/>
  <c r="BO20" i="8"/>
  <c r="BQ19" i="8"/>
  <c r="I43" i="20" s="1"/>
  <c r="BQ18" i="8"/>
  <c r="I42" i="20" s="1"/>
  <c r="BQ20" i="7"/>
  <c r="H44" i="20" s="1"/>
  <c r="BO20" i="7"/>
  <c r="BQ19" i="7"/>
  <c r="H43" i="20" s="1"/>
  <c r="BQ18" i="7"/>
  <c r="H42" i="20" s="1"/>
  <c r="BQ16" i="7"/>
  <c r="H40" i="20" s="1"/>
  <c r="BQ20" i="6"/>
  <c r="G44" i="20" s="1"/>
  <c r="BQ19" i="6"/>
  <c r="G43" i="20" s="1"/>
  <c r="BQ18" i="6"/>
  <c r="G42" i="20" s="1"/>
  <c r="BQ19" i="5"/>
  <c r="F43" i="20" s="1"/>
  <c r="BP19" i="5"/>
  <c r="BO19" i="5"/>
  <c r="B15" i="5"/>
  <c r="B15" i="6" s="1"/>
  <c r="B15" i="7" s="1"/>
  <c r="B15" i="8" s="1"/>
  <c r="B15" i="9" s="1"/>
  <c r="B15" i="10" s="1"/>
  <c r="B15" i="11" s="1"/>
  <c r="B15" i="12" s="1"/>
  <c r="B15" i="13" s="1"/>
  <c r="B15" i="14" s="1"/>
  <c r="B15" i="15" s="1"/>
  <c r="B15" i="16" s="1"/>
  <c r="Q117" i="16"/>
  <c r="P117" i="16"/>
  <c r="K117" i="16"/>
  <c r="H117" i="16"/>
  <c r="H108" i="16" s="1"/>
  <c r="A119" i="6"/>
  <c r="A119" i="7" s="1"/>
  <c r="A119" i="8" s="1"/>
  <c r="A119" i="9" s="1"/>
  <c r="A119" i="10" s="1"/>
  <c r="A119" i="11" s="1"/>
  <c r="A119" i="12" s="1"/>
  <c r="A119" i="13" s="1"/>
  <c r="A119" i="14" s="1"/>
  <c r="A119" i="15" s="1"/>
  <c r="A119" i="16" s="1"/>
  <c r="B119" i="6"/>
  <c r="B119" i="7" s="1"/>
  <c r="B119" i="8" s="1"/>
  <c r="B119" i="9" s="1"/>
  <c r="B119" i="10" s="1"/>
  <c r="B119" i="11" s="1"/>
  <c r="B119" i="12" s="1"/>
  <c r="B119" i="13" s="1"/>
  <c r="B119" i="14" s="1"/>
  <c r="B119" i="15" s="1"/>
  <c r="B119" i="16" s="1"/>
  <c r="A118" i="6"/>
  <c r="A118" i="7"/>
  <c r="A118" i="8" s="1"/>
  <c r="A118" i="9" s="1"/>
  <c r="A118" i="10" s="1"/>
  <c r="A118" i="11" s="1"/>
  <c r="A118" i="12" s="1"/>
  <c r="A118" i="13" s="1"/>
  <c r="A118" i="14" s="1"/>
  <c r="A118" i="15" s="1"/>
  <c r="A118" i="16" s="1"/>
  <c r="B118" i="6"/>
  <c r="B118" i="7" s="1"/>
  <c r="B118" i="8" s="1"/>
  <c r="B118" i="9" s="1"/>
  <c r="B118" i="10" s="1"/>
  <c r="B118" i="11" s="1"/>
  <c r="B118" i="12" s="1"/>
  <c r="B118" i="13" s="1"/>
  <c r="B118" i="14" s="1"/>
  <c r="B118" i="15" s="1"/>
  <c r="B118" i="16" s="1"/>
  <c r="Q117" i="15"/>
  <c r="P117" i="15"/>
  <c r="K117" i="15"/>
  <c r="K108" i="15" s="1"/>
  <c r="H117" i="15"/>
  <c r="Q117" i="14"/>
  <c r="P117" i="14"/>
  <c r="K117" i="14"/>
  <c r="K108" i="14" s="1"/>
  <c r="H117" i="14"/>
  <c r="Q117" i="13"/>
  <c r="P117" i="13"/>
  <c r="K117" i="13"/>
  <c r="K108" i="13" s="1"/>
  <c r="H117" i="13"/>
  <c r="Q117" i="12"/>
  <c r="P117" i="12"/>
  <c r="K117" i="12"/>
  <c r="K108" i="12" s="1"/>
  <c r="H117" i="12"/>
  <c r="Q117" i="11"/>
  <c r="P117" i="11"/>
  <c r="K117" i="11"/>
  <c r="K108" i="11" s="1"/>
  <c r="H117" i="11"/>
  <c r="Q117" i="10"/>
  <c r="P117" i="10"/>
  <c r="K117" i="10"/>
  <c r="K108" i="10" s="1"/>
  <c r="H117" i="10"/>
  <c r="Q117" i="9"/>
  <c r="P117" i="9"/>
  <c r="H117" i="9"/>
  <c r="H108" i="9" s="1"/>
  <c r="Q117" i="8"/>
  <c r="P117" i="8"/>
  <c r="P108" i="8" s="1"/>
  <c r="B116" i="5"/>
  <c r="J117" i="5"/>
  <c r="J108" i="5" s="1"/>
  <c r="G117" i="5"/>
  <c r="Z123" i="16"/>
  <c r="Z157" i="16"/>
  <c r="Z155" i="16" s="1"/>
  <c r="AM157" i="16"/>
  <c r="AL157" i="16"/>
  <c r="AF157" i="16"/>
  <c r="AF155" i="16" s="1"/>
  <c r="AC157" i="16"/>
  <c r="AC155" i="16" s="1"/>
  <c r="AM157" i="15"/>
  <c r="AL157" i="15"/>
  <c r="AF157" i="15"/>
  <c r="AF155" i="15" s="1"/>
  <c r="AC157" i="15"/>
  <c r="AC155" i="15" s="1"/>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Q13" i="14"/>
  <c r="AM157" i="14"/>
  <c r="AM155" i="14" s="1"/>
  <c r="AL157" i="14"/>
  <c r="AF157" i="14"/>
  <c r="AF155" i="14" s="1"/>
  <c r="AC157" i="14"/>
  <c r="AC155" i="14" s="1"/>
  <c r="AM157" i="13"/>
  <c r="AL157" i="13"/>
  <c r="AF157" i="13"/>
  <c r="AC157" i="13"/>
  <c r="Z157" i="13"/>
  <c r="Z155" i="13" s="1"/>
  <c r="AM157" i="12"/>
  <c r="AL157" i="12"/>
  <c r="AF157" i="12"/>
  <c r="AC157" i="12"/>
  <c r="Z157" i="12"/>
  <c r="Z123" i="13"/>
  <c r="AX12" i="13"/>
  <c r="Z155" i="12"/>
  <c r="Z123" i="12"/>
  <c r="AX12" i="12"/>
  <c r="AQ13" i="12"/>
  <c r="Z123" i="11"/>
  <c r="Z157" i="11"/>
  <c r="Z155" i="11" s="1"/>
  <c r="AM157" i="11"/>
  <c r="AL157" i="11"/>
  <c r="AF157" i="11"/>
  <c r="AC157" i="11"/>
  <c r="AM157" i="9"/>
  <c r="AL157" i="9"/>
  <c r="AF157" i="9"/>
  <c r="AC157" i="9"/>
  <c r="AC155" i="9" s="1"/>
  <c r="Z157" i="9"/>
  <c r="Z155" i="9" s="1"/>
  <c r="AM157" i="10"/>
  <c r="AL157" i="10"/>
  <c r="AF157" i="10"/>
  <c r="AF155" i="10" s="1"/>
  <c r="AC157" i="10"/>
  <c r="AC155" i="10" s="1"/>
  <c r="Z157" i="10"/>
  <c r="Z155" i="10" s="1"/>
  <c r="Z123" i="10"/>
  <c r="Z123" i="9"/>
  <c r="Z123" i="8"/>
  <c r="Z157" i="8"/>
  <c r="Z155" i="8" s="1"/>
  <c r="AX12" i="8"/>
  <c r="AM157" i="8"/>
  <c r="AL157" i="8"/>
  <c r="AF157" i="8"/>
  <c r="AC157" i="8"/>
  <c r="AC155" i="8" s="1"/>
  <c r="AL157" i="7"/>
  <c r="AM157" i="7"/>
  <c r="AX12" i="6"/>
  <c r="AX13" i="6"/>
  <c r="AL157" i="6"/>
  <c r="AM157" i="6"/>
  <c r="BN19" i="5"/>
  <c r="AM157" i="5"/>
  <c r="AL157" i="5"/>
  <c r="Y157" i="5"/>
  <c r="Y155" i="5" s="1"/>
  <c r="AB157" i="5"/>
  <c r="AE157" i="5"/>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s="1"/>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Q93" i="16"/>
  <c r="Q85" i="16" s="1"/>
  <c r="P99" i="16"/>
  <c r="P22" i="16"/>
  <c r="P25" i="16"/>
  <c r="P29" i="16"/>
  <c r="P32" i="16"/>
  <c r="P35" i="16"/>
  <c r="P42" i="16"/>
  <c r="P45" i="16"/>
  <c r="P48" i="16"/>
  <c r="P51" i="16"/>
  <c r="P54" i="16"/>
  <c r="P57" i="16"/>
  <c r="P60" i="16"/>
  <c r="P63" i="16"/>
  <c r="P66" i="16"/>
  <c r="P69" i="16"/>
  <c r="P72" i="16"/>
  <c r="P75" i="16"/>
  <c r="P78" i="16"/>
  <c r="P81" i="16"/>
  <c r="P93" i="16"/>
  <c r="P85" i="16" s="1"/>
  <c r="K78" i="16"/>
  <c r="K22" i="16"/>
  <c r="K25" i="16"/>
  <c r="K29" i="16"/>
  <c r="K32" i="16"/>
  <c r="K35" i="16"/>
  <c r="K42" i="16"/>
  <c r="K45" i="16"/>
  <c r="K48" i="16"/>
  <c r="K51" i="16"/>
  <c r="K54" i="16"/>
  <c r="K57" i="16"/>
  <c r="K60" i="16"/>
  <c r="K63" i="16"/>
  <c r="K66" i="16"/>
  <c r="K69" i="16"/>
  <c r="K72" i="16"/>
  <c r="K75" i="16"/>
  <c r="K81" i="16"/>
  <c r="K93" i="16"/>
  <c r="BE19" i="16" s="1"/>
  <c r="Q22" i="20" s="1"/>
  <c r="K99" i="16"/>
  <c r="H22" i="16"/>
  <c r="H25" i="16"/>
  <c r="H29" i="16"/>
  <c r="H32" i="16"/>
  <c r="H35" i="16"/>
  <c r="H42" i="16"/>
  <c r="H45" i="16"/>
  <c r="H48" i="16"/>
  <c r="H51" i="16"/>
  <c r="H54" i="16"/>
  <c r="H57" i="16"/>
  <c r="H60" i="16"/>
  <c r="H63" i="16"/>
  <c r="H66" i="16"/>
  <c r="H69" i="16"/>
  <c r="H72" i="16"/>
  <c r="H75" i="16"/>
  <c r="H81" i="16"/>
  <c r="H93" i="16"/>
  <c r="H85" i="16" s="1"/>
  <c r="H99" i="16"/>
  <c r="Q22" i="15"/>
  <c r="Q25" i="15"/>
  <c r="Q29" i="15"/>
  <c r="Q32" i="15"/>
  <c r="Q35" i="15"/>
  <c r="Q42" i="15"/>
  <c r="Q45" i="15"/>
  <c r="Q48" i="15"/>
  <c r="Q51" i="15"/>
  <c r="Q54" i="15"/>
  <c r="Q57" i="15"/>
  <c r="Q60" i="15"/>
  <c r="Q63" i="15"/>
  <c r="Q66" i="15"/>
  <c r="Q69" i="15"/>
  <c r="Q72" i="15"/>
  <c r="Q75" i="15"/>
  <c r="Q78" i="15"/>
  <c r="Q81" i="15"/>
  <c r="Q93" i="15"/>
  <c r="Q85" i="15" s="1"/>
  <c r="P99" i="15"/>
  <c r="P22" i="15"/>
  <c r="P25" i="15"/>
  <c r="P29" i="15"/>
  <c r="P32" i="15"/>
  <c r="P35" i="15"/>
  <c r="P42" i="15"/>
  <c r="P45" i="15"/>
  <c r="P48" i="15"/>
  <c r="P51" i="15"/>
  <c r="P54" i="15"/>
  <c r="P57" i="15"/>
  <c r="P60" i="15"/>
  <c r="P63" i="15"/>
  <c r="P66" i="15"/>
  <c r="P69" i="15"/>
  <c r="P72" i="15"/>
  <c r="P75" i="15"/>
  <c r="P78" i="15"/>
  <c r="P81" i="15"/>
  <c r="P93" i="15"/>
  <c r="P85" i="15"/>
  <c r="K78" i="15"/>
  <c r="K22" i="15"/>
  <c r="K25" i="15"/>
  <c r="K29" i="15"/>
  <c r="K32" i="15"/>
  <c r="K35" i="15"/>
  <c r="K42" i="15"/>
  <c r="K45" i="15"/>
  <c r="K48" i="15"/>
  <c r="K51" i="15"/>
  <c r="K54" i="15"/>
  <c r="K57" i="15"/>
  <c r="K60" i="15"/>
  <c r="K63" i="15"/>
  <c r="K66" i="15"/>
  <c r="K69" i="15"/>
  <c r="K72" i="15"/>
  <c r="K75" i="15"/>
  <c r="K81" i="15"/>
  <c r="K93" i="15"/>
  <c r="K99" i="15"/>
  <c r="H22" i="15"/>
  <c r="H25" i="15"/>
  <c r="H29" i="15"/>
  <c r="H32" i="15"/>
  <c r="H35" i="15"/>
  <c r="H42" i="15"/>
  <c r="H45" i="15"/>
  <c r="H48" i="15"/>
  <c r="H51" i="15"/>
  <c r="H54" i="15"/>
  <c r="H57" i="15"/>
  <c r="H60" i="15"/>
  <c r="H63" i="15"/>
  <c r="H66" i="15"/>
  <c r="H69" i="15"/>
  <c r="H72" i="15"/>
  <c r="H75" i="15"/>
  <c r="H81" i="15"/>
  <c r="H93" i="15"/>
  <c r="H85" i="15"/>
  <c r="H99" i="15"/>
  <c r="Q22" i="14"/>
  <c r="Q25" i="14"/>
  <c r="Q29" i="14"/>
  <c r="Q32" i="14"/>
  <c r="Q35" i="14"/>
  <c r="Q42" i="14"/>
  <c r="Q45" i="14"/>
  <c r="Q48" i="14"/>
  <c r="Q51" i="14"/>
  <c r="Q54" i="14"/>
  <c r="Q57" i="14"/>
  <c r="Q60" i="14"/>
  <c r="Q63" i="14"/>
  <c r="Q66" i="14"/>
  <c r="Q69" i="14"/>
  <c r="Q72" i="14"/>
  <c r="Q75" i="14"/>
  <c r="Q78" i="14"/>
  <c r="Q81" i="14"/>
  <c r="Q93" i="14"/>
  <c r="Q85" i="14" s="1"/>
  <c r="P99" i="14"/>
  <c r="P22" i="14"/>
  <c r="P25" i="14"/>
  <c r="P29" i="14"/>
  <c r="P32" i="14"/>
  <c r="P35" i="14"/>
  <c r="P42" i="14"/>
  <c r="P45" i="14"/>
  <c r="P48" i="14"/>
  <c r="P51" i="14"/>
  <c r="P54" i="14"/>
  <c r="P57" i="14"/>
  <c r="P60" i="14"/>
  <c r="P63" i="14"/>
  <c r="P66" i="14"/>
  <c r="P69" i="14"/>
  <c r="P72" i="14"/>
  <c r="P75" i="14"/>
  <c r="P78" i="14"/>
  <c r="P81" i="14"/>
  <c r="P93" i="14"/>
  <c r="P85" i="14"/>
  <c r="K78" i="14"/>
  <c r="K22" i="14"/>
  <c r="K25" i="14"/>
  <c r="K29" i="14"/>
  <c r="K32" i="14"/>
  <c r="K35" i="14"/>
  <c r="K42" i="14"/>
  <c r="K45" i="14"/>
  <c r="K48" i="14"/>
  <c r="K51" i="14"/>
  <c r="K54" i="14"/>
  <c r="K57" i="14"/>
  <c r="K60" i="14"/>
  <c r="K63" i="14"/>
  <c r="K66" i="14"/>
  <c r="K69" i="14"/>
  <c r="K72" i="14"/>
  <c r="K75" i="14"/>
  <c r="K81" i="14"/>
  <c r="K93" i="14"/>
  <c r="BE19" i="14" s="1"/>
  <c r="K99" i="14"/>
  <c r="H22" i="14"/>
  <c r="H25" i="14"/>
  <c r="H29" i="14"/>
  <c r="H32" i="14"/>
  <c r="H35" i="14"/>
  <c r="H42" i="14"/>
  <c r="H45" i="14"/>
  <c r="H48" i="14"/>
  <c r="H51" i="14"/>
  <c r="H54" i="14"/>
  <c r="H57" i="14"/>
  <c r="H60" i="14"/>
  <c r="H63" i="14"/>
  <c r="H66" i="14"/>
  <c r="H69" i="14"/>
  <c r="H72" i="14"/>
  <c r="H75" i="14"/>
  <c r="H81" i="14"/>
  <c r="H93" i="14"/>
  <c r="H85" i="14" s="1"/>
  <c r="H99" i="14"/>
  <c r="Q22" i="13"/>
  <c r="Q25" i="13"/>
  <c r="Q29" i="13"/>
  <c r="Q32" i="13"/>
  <c r="Q35" i="13"/>
  <c r="Q42" i="13"/>
  <c r="Q45" i="13"/>
  <c r="Q48" i="13"/>
  <c r="Q51" i="13"/>
  <c r="Q54" i="13"/>
  <c r="Q57" i="13"/>
  <c r="Q60" i="13"/>
  <c r="Q63" i="13"/>
  <c r="Q66" i="13"/>
  <c r="Q69" i="13"/>
  <c r="Q72" i="13"/>
  <c r="Q75" i="13"/>
  <c r="Q78" i="13"/>
  <c r="Q81" i="13"/>
  <c r="Q93" i="13"/>
  <c r="Q85" i="13" s="1"/>
  <c r="P99" i="13"/>
  <c r="P22" i="13"/>
  <c r="P25" i="13"/>
  <c r="P29" i="13"/>
  <c r="P32" i="13"/>
  <c r="P35" i="13"/>
  <c r="P42" i="13"/>
  <c r="P45" i="13"/>
  <c r="P48" i="13"/>
  <c r="P51" i="13"/>
  <c r="P54" i="13"/>
  <c r="P57" i="13"/>
  <c r="P60" i="13"/>
  <c r="P63" i="13"/>
  <c r="P66" i="13"/>
  <c r="P69" i="13"/>
  <c r="P72" i="13"/>
  <c r="P75" i="13"/>
  <c r="P78" i="13"/>
  <c r="P81" i="13"/>
  <c r="P93" i="13"/>
  <c r="P85" i="13" s="1"/>
  <c r="K78" i="13"/>
  <c r="K22" i="13"/>
  <c r="K25" i="13"/>
  <c r="K29" i="13"/>
  <c r="K32" i="13"/>
  <c r="K35" i="13"/>
  <c r="K42" i="13"/>
  <c r="K45" i="13"/>
  <c r="K48" i="13"/>
  <c r="K51" i="13"/>
  <c r="K54" i="13"/>
  <c r="K57" i="13"/>
  <c r="K60" i="13"/>
  <c r="K63" i="13"/>
  <c r="K66" i="13"/>
  <c r="K69" i="13"/>
  <c r="K72" i="13"/>
  <c r="K75" i="13"/>
  <c r="K81" i="13"/>
  <c r="K93" i="13"/>
  <c r="BE19" i="13" s="1"/>
  <c r="K99" i="13"/>
  <c r="H22" i="13"/>
  <c r="H25" i="13"/>
  <c r="H29" i="13"/>
  <c r="H32" i="13"/>
  <c r="H35" i="13"/>
  <c r="H42" i="13"/>
  <c r="H45" i="13"/>
  <c r="H48" i="13"/>
  <c r="H51" i="13"/>
  <c r="H54" i="13"/>
  <c r="H57" i="13"/>
  <c r="H60" i="13"/>
  <c r="H63" i="13"/>
  <c r="H66" i="13"/>
  <c r="H69" i="13"/>
  <c r="H72" i="13"/>
  <c r="H75" i="13"/>
  <c r="H81" i="13"/>
  <c r="H93" i="13"/>
  <c r="H85" i="13" s="1"/>
  <c r="H99" i="13"/>
  <c r="Q22" i="12"/>
  <c r="Q25" i="12"/>
  <c r="Q29" i="12"/>
  <c r="Q32" i="12"/>
  <c r="Q35" i="12"/>
  <c r="Q42" i="12"/>
  <c r="Q45" i="12"/>
  <c r="Q48" i="12"/>
  <c r="Q51" i="12"/>
  <c r="Q54" i="12"/>
  <c r="Q57" i="12"/>
  <c r="Q60" i="12"/>
  <c r="Q63" i="12"/>
  <c r="Q66" i="12"/>
  <c r="Q69" i="12"/>
  <c r="Q72" i="12"/>
  <c r="Q75" i="12"/>
  <c r="Q78" i="12"/>
  <c r="Q81" i="12"/>
  <c r="Q93" i="12"/>
  <c r="Q85" i="12" s="1"/>
  <c r="P99" i="12"/>
  <c r="P22" i="12"/>
  <c r="P25" i="12"/>
  <c r="P29" i="12"/>
  <c r="P32" i="12"/>
  <c r="P35" i="12"/>
  <c r="P42" i="12"/>
  <c r="P45" i="12"/>
  <c r="P48" i="12"/>
  <c r="P51" i="12"/>
  <c r="P54" i="12"/>
  <c r="P57" i="12"/>
  <c r="P60" i="12"/>
  <c r="P63" i="12"/>
  <c r="P66" i="12"/>
  <c r="P69" i="12"/>
  <c r="P72" i="12"/>
  <c r="P75" i="12"/>
  <c r="P78" i="12"/>
  <c r="P81" i="12"/>
  <c r="P93" i="12"/>
  <c r="P85" i="12" s="1"/>
  <c r="K78" i="12"/>
  <c r="K22" i="12"/>
  <c r="K25" i="12"/>
  <c r="K29" i="12"/>
  <c r="K32" i="12"/>
  <c r="K35" i="12"/>
  <c r="K42" i="12"/>
  <c r="K45" i="12"/>
  <c r="K48" i="12"/>
  <c r="K51" i="12"/>
  <c r="K54" i="12"/>
  <c r="K57" i="12"/>
  <c r="K60" i="12"/>
  <c r="K63" i="12"/>
  <c r="K66" i="12"/>
  <c r="K69" i="12"/>
  <c r="K72" i="12"/>
  <c r="K75" i="12"/>
  <c r="K81" i="12"/>
  <c r="K93" i="12"/>
  <c r="BE19" i="12" s="1"/>
  <c r="K99" i="12"/>
  <c r="H22" i="12"/>
  <c r="H25" i="12"/>
  <c r="H29" i="12"/>
  <c r="H32" i="12"/>
  <c r="H35" i="12"/>
  <c r="H42" i="12"/>
  <c r="H45" i="12"/>
  <c r="H48" i="12"/>
  <c r="H51" i="12"/>
  <c r="H54" i="12"/>
  <c r="H57" i="12"/>
  <c r="H60" i="12"/>
  <c r="H63" i="12"/>
  <c r="H66" i="12"/>
  <c r="H69" i="12"/>
  <c r="H72" i="12"/>
  <c r="H75" i="12"/>
  <c r="H81" i="12"/>
  <c r="H93" i="12"/>
  <c r="H85" i="12" s="1"/>
  <c r="H99" i="12"/>
  <c r="Q22" i="11"/>
  <c r="Q25" i="11"/>
  <c r="Q29" i="11"/>
  <c r="Q32" i="11"/>
  <c r="Q35" i="11"/>
  <c r="Q42" i="11"/>
  <c r="Q45" i="11"/>
  <c r="Q48" i="11"/>
  <c r="Q51" i="11"/>
  <c r="Q54" i="11"/>
  <c r="Q57" i="11"/>
  <c r="Q60" i="11"/>
  <c r="Q63" i="11"/>
  <c r="Q66" i="11"/>
  <c r="Q69" i="11"/>
  <c r="Q72" i="11"/>
  <c r="Q75" i="11"/>
  <c r="Q78" i="11"/>
  <c r="Q81" i="11"/>
  <c r="Q93" i="11"/>
  <c r="Q85" i="11"/>
  <c r="P99" i="11"/>
  <c r="P22" i="11"/>
  <c r="P25" i="11"/>
  <c r="P29" i="11"/>
  <c r="P32" i="11"/>
  <c r="P35" i="11"/>
  <c r="P42" i="11"/>
  <c r="P45" i="11"/>
  <c r="P48" i="11"/>
  <c r="P51" i="11"/>
  <c r="P54" i="11"/>
  <c r="P57" i="11"/>
  <c r="P60" i="11"/>
  <c r="P63" i="11"/>
  <c r="P66" i="11"/>
  <c r="P69" i="11"/>
  <c r="P72" i="11"/>
  <c r="P75" i="11"/>
  <c r="P78" i="11"/>
  <c r="P81" i="11"/>
  <c r="P93" i="11"/>
  <c r="P85" i="11" s="1"/>
  <c r="K78" i="11"/>
  <c r="K22" i="11"/>
  <c r="K25" i="11"/>
  <c r="K29" i="11"/>
  <c r="K32" i="11"/>
  <c r="K35" i="11"/>
  <c r="K42" i="11"/>
  <c r="K45" i="11"/>
  <c r="K48" i="11"/>
  <c r="K51" i="11"/>
  <c r="K54" i="11"/>
  <c r="K57" i="11"/>
  <c r="K60" i="11"/>
  <c r="K63" i="11"/>
  <c r="K66" i="11"/>
  <c r="K69" i="11"/>
  <c r="K72" i="11"/>
  <c r="K75" i="11"/>
  <c r="K81" i="11"/>
  <c r="K93" i="11"/>
  <c r="BE19" i="11" s="1"/>
  <c r="K99" i="11"/>
  <c r="H22" i="11"/>
  <c r="H25" i="11"/>
  <c r="H29" i="11"/>
  <c r="H32" i="11"/>
  <c r="H35" i="11"/>
  <c r="H42" i="11"/>
  <c r="H45" i="11"/>
  <c r="H48" i="11"/>
  <c r="H51" i="11"/>
  <c r="H54" i="11"/>
  <c r="H57" i="11"/>
  <c r="H60" i="11"/>
  <c r="H63" i="11"/>
  <c r="H66" i="11"/>
  <c r="H69" i="11"/>
  <c r="H72" i="11"/>
  <c r="H75" i="11"/>
  <c r="H81" i="11"/>
  <c r="H93" i="11"/>
  <c r="H85" i="11" s="1"/>
  <c r="H99" i="11"/>
  <c r="Q22" i="10"/>
  <c r="Q25" i="10"/>
  <c r="Q29" i="10"/>
  <c r="Q32" i="10"/>
  <c r="Q35" i="10"/>
  <c r="Q42" i="10"/>
  <c r="Q45" i="10"/>
  <c r="Q48" i="10"/>
  <c r="Q51" i="10"/>
  <c r="Q54" i="10"/>
  <c r="Q57" i="10"/>
  <c r="Q60" i="10"/>
  <c r="Q63" i="10"/>
  <c r="Q66" i="10"/>
  <c r="Q69" i="10"/>
  <c r="Q72" i="10"/>
  <c r="Q75" i="10"/>
  <c r="Q78" i="10"/>
  <c r="Q81" i="10"/>
  <c r="Q93" i="10"/>
  <c r="Q85" i="10" s="1"/>
  <c r="P99" i="10"/>
  <c r="P22" i="10"/>
  <c r="P25" i="10"/>
  <c r="P29" i="10"/>
  <c r="P32" i="10"/>
  <c r="P35" i="10"/>
  <c r="P42" i="10"/>
  <c r="P45" i="10"/>
  <c r="P48" i="10"/>
  <c r="P51" i="10"/>
  <c r="P54" i="10"/>
  <c r="P57" i="10"/>
  <c r="P60" i="10"/>
  <c r="P63" i="10"/>
  <c r="P66" i="10"/>
  <c r="P69" i="10"/>
  <c r="P72" i="10"/>
  <c r="P75" i="10"/>
  <c r="P78" i="10"/>
  <c r="P81" i="10"/>
  <c r="P93" i="10"/>
  <c r="P85" i="10"/>
  <c r="K78" i="10"/>
  <c r="K22" i="10"/>
  <c r="K25" i="10"/>
  <c r="K29" i="10"/>
  <c r="K32" i="10"/>
  <c r="K35" i="10"/>
  <c r="K42" i="10"/>
  <c r="K45" i="10"/>
  <c r="K48" i="10"/>
  <c r="K51" i="10"/>
  <c r="K54" i="10"/>
  <c r="K57" i="10"/>
  <c r="K60" i="10"/>
  <c r="K63" i="10"/>
  <c r="K66" i="10"/>
  <c r="K69" i="10"/>
  <c r="K72" i="10"/>
  <c r="K75" i="10"/>
  <c r="K81" i="10"/>
  <c r="K93" i="10"/>
  <c r="K99" i="10"/>
  <c r="H22" i="10"/>
  <c r="H25" i="10"/>
  <c r="H29" i="10"/>
  <c r="H32" i="10"/>
  <c r="H35" i="10"/>
  <c r="H42" i="10"/>
  <c r="H45" i="10"/>
  <c r="H48" i="10"/>
  <c r="H51" i="10"/>
  <c r="H54" i="10"/>
  <c r="H57" i="10"/>
  <c r="H60" i="10"/>
  <c r="H63" i="10"/>
  <c r="H66" i="10"/>
  <c r="H69" i="10"/>
  <c r="H72" i="10"/>
  <c r="H75" i="10"/>
  <c r="H81" i="10"/>
  <c r="H93" i="10"/>
  <c r="H85" i="10" s="1"/>
  <c r="H99" i="10"/>
  <c r="Q22" i="9"/>
  <c r="Q25" i="9"/>
  <c r="Q29" i="9"/>
  <c r="Q32" i="9"/>
  <c r="Q35" i="9"/>
  <c r="Q42" i="9"/>
  <c r="Q45" i="9"/>
  <c r="Q48" i="9"/>
  <c r="Q51" i="9"/>
  <c r="Q54" i="9"/>
  <c r="Q57" i="9"/>
  <c r="Q60" i="9"/>
  <c r="Q63" i="9"/>
  <c r="Q66" i="9"/>
  <c r="Q69" i="9"/>
  <c r="Q72" i="9"/>
  <c r="Q75" i="9"/>
  <c r="Q78" i="9"/>
  <c r="Q81" i="9"/>
  <c r="Q93" i="9"/>
  <c r="Q85" i="9" s="1"/>
  <c r="P99" i="9"/>
  <c r="P22" i="9"/>
  <c r="P25" i="9"/>
  <c r="P29" i="9"/>
  <c r="P32" i="9"/>
  <c r="P35" i="9"/>
  <c r="P42" i="9"/>
  <c r="P45" i="9"/>
  <c r="P48" i="9"/>
  <c r="P51" i="9"/>
  <c r="P54" i="9"/>
  <c r="P57" i="9"/>
  <c r="P60" i="9"/>
  <c r="P63" i="9"/>
  <c r="P66" i="9"/>
  <c r="P69" i="9"/>
  <c r="P72" i="9"/>
  <c r="P75" i="9"/>
  <c r="P78" i="9"/>
  <c r="P81" i="9"/>
  <c r="P93" i="9"/>
  <c r="P85" i="9" s="1"/>
  <c r="K78" i="9"/>
  <c r="K22" i="9"/>
  <c r="K25" i="9"/>
  <c r="K29" i="9"/>
  <c r="K32" i="9"/>
  <c r="K35" i="9"/>
  <c r="K42" i="9"/>
  <c r="K45" i="9"/>
  <c r="K48" i="9"/>
  <c r="K51" i="9"/>
  <c r="K54" i="9"/>
  <c r="K57" i="9"/>
  <c r="K60" i="9"/>
  <c r="K63" i="9"/>
  <c r="K66" i="9"/>
  <c r="K69" i="9"/>
  <c r="K72" i="9"/>
  <c r="K75" i="9"/>
  <c r="K81" i="9"/>
  <c r="K93" i="9"/>
  <c r="BE19" i="9" s="1"/>
  <c r="J22" i="20" s="1"/>
  <c r="K99" i="9"/>
  <c r="H22" i="9"/>
  <c r="H25" i="9"/>
  <c r="H29" i="9"/>
  <c r="H32" i="9"/>
  <c r="H35" i="9"/>
  <c r="H42" i="9"/>
  <c r="H45" i="9"/>
  <c r="H48" i="9"/>
  <c r="H51" i="9"/>
  <c r="H54" i="9"/>
  <c r="H57" i="9"/>
  <c r="H60" i="9"/>
  <c r="H63" i="9"/>
  <c r="H66" i="9"/>
  <c r="H69" i="9"/>
  <c r="H72" i="9"/>
  <c r="H75" i="9"/>
  <c r="H81" i="9"/>
  <c r="H93" i="9"/>
  <c r="H85" i="9" s="1"/>
  <c r="H99" i="9"/>
  <c r="Q22" i="8"/>
  <c r="Q25" i="8"/>
  <c r="Q29" i="8"/>
  <c r="Q32" i="8"/>
  <c r="Q35" i="8"/>
  <c r="Q42" i="8"/>
  <c r="Q45" i="8"/>
  <c r="Q48" i="8"/>
  <c r="Q51" i="8"/>
  <c r="Q54" i="8"/>
  <c r="Q57" i="8"/>
  <c r="Q60" i="8"/>
  <c r="Q63" i="8"/>
  <c r="Q66" i="8"/>
  <c r="Q69" i="8"/>
  <c r="Q72" i="8"/>
  <c r="Q75" i="8"/>
  <c r="Q78" i="8"/>
  <c r="Q81" i="8"/>
  <c r="Q93" i="8"/>
  <c r="Q85" i="8"/>
  <c r="P99" i="8"/>
  <c r="P22" i="8"/>
  <c r="P25" i="8"/>
  <c r="P29" i="8"/>
  <c r="P32" i="8"/>
  <c r="P35" i="8"/>
  <c r="P42" i="8"/>
  <c r="P45" i="8"/>
  <c r="P48" i="8"/>
  <c r="P51" i="8"/>
  <c r="P54" i="8"/>
  <c r="P57" i="8"/>
  <c r="P60" i="8"/>
  <c r="P63" i="8"/>
  <c r="P66" i="8"/>
  <c r="P69" i="8"/>
  <c r="P72" i="8"/>
  <c r="P75" i="8"/>
  <c r="P78" i="8"/>
  <c r="P81" i="8"/>
  <c r="P93" i="8"/>
  <c r="P85" i="8" s="1"/>
  <c r="K78" i="8"/>
  <c r="K22" i="8"/>
  <c r="K25" i="8"/>
  <c r="K29" i="8"/>
  <c r="K32" i="8"/>
  <c r="K35" i="8"/>
  <c r="K42" i="8"/>
  <c r="K45" i="8"/>
  <c r="K48" i="8"/>
  <c r="K51" i="8"/>
  <c r="K54" i="8"/>
  <c r="K57" i="8"/>
  <c r="K60" i="8"/>
  <c r="K63" i="8"/>
  <c r="K66" i="8"/>
  <c r="K69" i="8"/>
  <c r="K72" i="8"/>
  <c r="K75" i="8"/>
  <c r="K81" i="8"/>
  <c r="K93" i="8"/>
  <c r="BE19" i="8" s="1"/>
  <c r="I22" i="20" s="1"/>
  <c r="K99" i="8"/>
  <c r="H22" i="8"/>
  <c r="H25" i="8"/>
  <c r="H29" i="8"/>
  <c r="H32" i="8"/>
  <c r="H35" i="8"/>
  <c r="H42" i="8"/>
  <c r="H45" i="8"/>
  <c r="H48" i="8"/>
  <c r="H51" i="8"/>
  <c r="H54" i="8"/>
  <c r="H57" i="8"/>
  <c r="H60" i="8"/>
  <c r="H63" i="8"/>
  <c r="H66" i="8"/>
  <c r="H69" i="8"/>
  <c r="H72" i="8"/>
  <c r="H75" i="8"/>
  <c r="H81" i="8"/>
  <c r="H93" i="8"/>
  <c r="H85" i="8" s="1"/>
  <c r="H99" i="8"/>
  <c r="Q108" i="16"/>
  <c r="Q10" i="16"/>
  <c r="P108" i="16"/>
  <c r="P10" i="16"/>
  <c r="K10" i="16"/>
  <c r="K108" i="16"/>
  <c r="H10" i="16"/>
  <c r="Q108" i="15"/>
  <c r="Q10" i="15"/>
  <c r="P108" i="15"/>
  <c r="P10" i="15"/>
  <c r="K10" i="15"/>
  <c r="H10" i="15"/>
  <c r="H108" i="15"/>
  <c r="Q108" i="14"/>
  <c r="Q10" i="14"/>
  <c r="P108" i="14"/>
  <c r="P10" i="14"/>
  <c r="K10" i="14"/>
  <c r="H10" i="14"/>
  <c r="H108" i="14"/>
  <c r="Q108" i="13"/>
  <c r="Q10" i="13"/>
  <c r="P108" i="13"/>
  <c r="P10" i="13"/>
  <c r="K10" i="13"/>
  <c r="H10" i="13"/>
  <c r="H108" i="13"/>
  <c r="Q108" i="12"/>
  <c r="Q10" i="12"/>
  <c r="P108" i="12"/>
  <c r="P10" i="12"/>
  <c r="K10" i="12"/>
  <c r="H10" i="12"/>
  <c r="H108" i="12"/>
  <c r="Q108" i="11"/>
  <c r="Q10" i="11"/>
  <c r="P108" i="11"/>
  <c r="P10" i="11"/>
  <c r="K10" i="11"/>
  <c r="H10" i="11"/>
  <c r="H108" i="11"/>
  <c r="Q108" i="10"/>
  <c r="Q10" i="10"/>
  <c r="P108" i="10"/>
  <c r="P10" i="10"/>
  <c r="K10" i="10"/>
  <c r="H10" i="10"/>
  <c r="H108" i="10"/>
  <c r="Q108" i="9"/>
  <c r="Q10" i="9"/>
  <c r="P108" i="9"/>
  <c r="P10" i="9"/>
  <c r="K10" i="9"/>
  <c r="K108" i="9"/>
  <c r="H10" i="9"/>
  <c r="Q10" i="8"/>
  <c r="Q108" i="8"/>
  <c r="P10" i="8"/>
  <c r="K10" i="8"/>
  <c r="K108" i="8"/>
  <c r="H10" i="8"/>
  <c r="H108" i="8"/>
  <c r="A8" i="6"/>
  <c r="B8" i="6"/>
  <c r="B8" i="7"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G108" i="5"/>
  <c r="AM187" i="8"/>
  <c r="AL187" i="8"/>
  <c r="J81" i="5"/>
  <c r="G81" i="5"/>
  <c r="AM243" i="7"/>
  <c r="AM243" i="9"/>
  <c r="AM243" i="11"/>
  <c r="AM243" i="13"/>
  <c r="AM243" i="15"/>
  <c r="AM235" i="6"/>
  <c r="AM235" i="7"/>
  <c r="AM235" i="8"/>
  <c r="AM235" i="9"/>
  <c r="AM235" i="10"/>
  <c r="AM235" i="11"/>
  <c r="AM235" i="12"/>
  <c r="AM235" i="13"/>
  <c r="AM235" i="14"/>
  <c r="AM235" i="15"/>
  <c r="AM235" i="16"/>
  <c r="AM227" i="7"/>
  <c r="AM227" i="9"/>
  <c r="AM227" i="11"/>
  <c r="AM227" i="13"/>
  <c r="AM227" i="15"/>
  <c r="AM222" i="7"/>
  <c r="AM222" i="9"/>
  <c r="AM222" i="11"/>
  <c r="AM222" i="13"/>
  <c r="AM222" i="15"/>
  <c r="AM203" i="6"/>
  <c r="AM203" i="7"/>
  <c r="AM203" i="8"/>
  <c r="AM203" i="9"/>
  <c r="AM203" i="10"/>
  <c r="AM203" i="11"/>
  <c r="AM203" i="12"/>
  <c r="AM203" i="13"/>
  <c r="AM203" i="14"/>
  <c r="AM203" i="15"/>
  <c r="AM203" i="16"/>
  <c r="AM187" i="6"/>
  <c r="AM187" i="7"/>
  <c r="AM187" i="9"/>
  <c r="AM187" i="10"/>
  <c r="AM187" i="11"/>
  <c r="AM187" i="12"/>
  <c r="AM187" i="13"/>
  <c r="AM187" i="14"/>
  <c r="AM187" i="15"/>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9" i="8"/>
  <c r="AM149" i="9"/>
  <c r="AM149" i="10"/>
  <c r="AM149" i="11"/>
  <c r="AM147" i="11" s="1"/>
  <c r="AM149" i="12"/>
  <c r="AM149" i="13"/>
  <c r="AM149" i="14"/>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90" i="9" s="1"/>
  <c r="AM20" i="9"/>
  <c r="AM16" i="9" s="1"/>
  <c r="AM35" i="9"/>
  <c r="AM44" i="9"/>
  <c r="AM49" i="9"/>
  <c r="AM58" i="9"/>
  <c r="AM57" i="9" s="1"/>
  <c r="AM105" i="11"/>
  <c r="AM104" i="11"/>
  <c r="AM105" i="13"/>
  <c r="AM104" i="13" s="1"/>
  <c r="AM105" i="15"/>
  <c r="AM104" i="15"/>
  <c r="AM96" i="6"/>
  <c r="AM96" i="7"/>
  <c r="AM96" i="8"/>
  <c r="AM96" i="10"/>
  <c r="AM96" i="11"/>
  <c r="AM96" i="12"/>
  <c r="AM96" i="13"/>
  <c r="AM96" i="14"/>
  <c r="AM96" i="15"/>
  <c r="AM96" i="16"/>
  <c r="AM91" i="7"/>
  <c r="AM91" i="11"/>
  <c r="AM90" i="11" s="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4" i="10"/>
  <c r="AM44" i="11"/>
  <c r="AM44" i="12"/>
  <c r="AM44" i="13"/>
  <c r="AM44" i="14"/>
  <c r="AM44" i="15"/>
  <c r="AM35" i="6"/>
  <c r="AM35" i="7"/>
  <c r="AM35" i="8"/>
  <c r="AM35" i="10"/>
  <c r="AM35" i="11"/>
  <c r="AM35" i="12"/>
  <c r="AM35" i="13"/>
  <c r="AM35" i="14"/>
  <c r="AM35" i="15"/>
  <c r="AM20" i="7"/>
  <c r="AM20" i="15"/>
  <c r="AL235" i="6"/>
  <c r="AL235" i="7"/>
  <c r="AL235" i="8"/>
  <c r="AL235" i="9"/>
  <c r="AL235" i="10"/>
  <c r="AL235" i="11"/>
  <c r="AL235" i="12"/>
  <c r="AL235" i="13"/>
  <c r="AL235" i="14"/>
  <c r="AL235" i="15"/>
  <c r="AL235" i="16"/>
  <c r="B14" i="5"/>
  <c r="B14" i="6" s="1"/>
  <c r="B13" i="5"/>
  <c r="B13" i="6" s="1"/>
  <c r="B13" i="7" s="1"/>
  <c r="B13" i="8" s="1"/>
  <c r="B13" i="9" s="1"/>
  <c r="B13" i="10" s="1"/>
  <c r="B13" i="11" s="1"/>
  <c r="B13" i="12" s="1"/>
  <c r="B13" i="13" s="1"/>
  <c r="B13" i="14" s="1"/>
  <c r="B12" i="5"/>
  <c r="BQ31" i="8"/>
  <c r="I55" i="20" s="1"/>
  <c r="BQ31" i="9"/>
  <c r="AL187" i="6"/>
  <c r="AL187" i="7"/>
  <c r="AL187" i="9"/>
  <c r="AL187" i="10"/>
  <c r="AL187" i="11"/>
  <c r="AL187" i="12"/>
  <c r="AL187" i="13"/>
  <c r="AL187" i="14"/>
  <c r="AL187" i="15"/>
  <c r="AL187" i="16"/>
  <c r="AL187" i="5"/>
  <c r="AL155" i="5"/>
  <c r="G93" i="5"/>
  <c r="J93" i="5"/>
  <c r="T256" i="6"/>
  <c r="T256" i="7" s="1"/>
  <c r="T256" i="8" s="1"/>
  <c r="T256" i="9" s="1"/>
  <c r="T256" i="10" s="1"/>
  <c r="T256" i="11" s="1"/>
  <c r="T256" i="12" s="1"/>
  <c r="T256" i="13" s="1"/>
  <c r="T256" i="14" s="1"/>
  <c r="T256" i="15" s="1"/>
  <c r="T256" i="16" s="1"/>
  <c r="S256" i="6"/>
  <c r="S256" i="7" s="1"/>
  <c r="S256" i="8" s="1"/>
  <c r="S256" i="9" s="1"/>
  <c r="S256" i="10" s="1"/>
  <c r="S256" i="11" s="1"/>
  <c r="S256" i="12" s="1"/>
  <c r="S256" i="13" s="1"/>
  <c r="S256" i="14" s="1"/>
  <c r="S256" i="15" s="1"/>
  <c r="S256" i="16" s="1"/>
  <c r="T255" i="6"/>
  <c r="T255" i="7" s="1"/>
  <c r="T255" i="8" s="1"/>
  <c r="T255" i="9" s="1"/>
  <c r="T255" i="10" s="1"/>
  <c r="T255" i="11" s="1"/>
  <c r="T255" i="12" s="1"/>
  <c r="T255" i="13" s="1"/>
  <c r="T255" i="14" s="1"/>
  <c r="T255" i="15" s="1"/>
  <c r="T255" i="16" s="1"/>
  <c r="S255" i="6"/>
  <c r="S255" i="7" s="1"/>
  <c r="S255" i="8" s="1"/>
  <c r="S255" i="9" s="1"/>
  <c r="S255" i="10" s="1"/>
  <c r="S255" i="11" s="1"/>
  <c r="S255" i="12" s="1"/>
  <c r="S255" i="13" s="1"/>
  <c r="S255" i="14" s="1"/>
  <c r="S255" i="15" s="1"/>
  <c r="S255" i="16" s="1"/>
  <c r="T254" i="6"/>
  <c r="T254" i="7" s="1"/>
  <c r="T254" i="8" s="1"/>
  <c r="T254" i="9" s="1"/>
  <c r="T254" i="10" s="1"/>
  <c r="T254" i="11" s="1"/>
  <c r="T254" i="12" s="1"/>
  <c r="T254" i="13" s="1"/>
  <c r="T254" i="14" s="1"/>
  <c r="T254" i="15" s="1"/>
  <c r="T254" i="16" s="1"/>
  <c r="S254" i="6"/>
  <c r="S254" i="7" s="1"/>
  <c r="S254" i="8" s="1"/>
  <c r="S254" i="9" s="1"/>
  <c r="S254" i="10" s="1"/>
  <c r="S254" i="11" s="1"/>
  <c r="S254" i="12" s="1"/>
  <c r="S254" i="13" s="1"/>
  <c r="S254" i="14" s="1"/>
  <c r="S254" i="15" s="1"/>
  <c r="S254" i="16" s="1"/>
  <c r="T253" i="6"/>
  <c r="T253" i="7" s="1"/>
  <c r="T253" i="8" s="1"/>
  <c r="T253" i="9" s="1"/>
  <c r="T253" i="10" s="1"/>
  <c r="T253" i="11" s="1"/>
  <c r="T253" i="12" s="1"/>
  <c r="T253" i="13" s="1"/>
  <c r="T253" i="14" s="1"/>
  <c r="T253" i="15" s="1"/>
  <c r="T253" i="16" s="1"/>
  <c r="S253" i="6"/>
  <c r="S253" i="7" s="1"/>
  <c r="S253" i="8" s="1"/>
  <c r="S253" i="9" s="1"/>
  <c r="S253" i="10" s="1"/>
  <c r="S253" i="11" s="1"/>
  <c r="S253" i="12" s="1"/>
  <c r="S253" i="13" s="1"/>
  <c r="S253" i="14" s="1"/>
  <c r="S253" i="15" s="1"/>
  <c r="S253" i="16" s="1"/>
  <c r="T252" i="6"/>
  <c r="T252" i="7" s="1"/>
  <c r="T252" i="8" s="1"/>
  <c r="T252" i="9" s="1"/>
  <c r="T252" i="10" s="1"/>
  <c r="T252" i="11" s="1"/>
  <c r="T252" i="12" s="1"/>
  <c r="T252" i="13" s="1"/>
  <c r="T252" i="14" s="1"/>
  <c r="T252" i="15" s="1"/>
  <c r="T252" i="16" s="1"/>
  <c r="S252" i="6"/>
  <c r="S252" i="7" s="1"/>
  <c r="S252" i="8" s="1"/>
  <c r="S252" i="9" s="1"/>
  <c r="S252" i="10" s="1"/>
  <c r="S252" i="11" s="1"/>
  <c r="S252" i="12" s="1"/>
  <c r="S252" i="13" s="1"/>
  <c r="S252" i="14" s="1"/>
  <c r="S252" i="15" s="1"/>
  <c r="S252" i="16" s="1"/>
  <c r="T251" i="6"/>
  <c r="T251" i="7" s="1"/>
  <c r="T251" i="8" s="1"/>
  <c r="T251" i="9" s="1"/>
  <c r="T251" i="10" s="1"/>
  <c r="T251" i="11" s="1"/>
  <c r="T251" i="12" s="1"/>
  <c r="T251" i="13" s="1"/>
  <c r="T251" i="14" s="1"/>
  <c r="T251" i="15" s="1"/>
  <c r="T251" i="16" s="1"/>
  <c r="S251" i="6"/>
  <c r="S251" i="7" s="1"/>
  <c r="S251" i="8" s="1"/>
  <c r="S251" i="9" s="1"/>
  <c r="S251" i="10" s="1"/>
  <c r="S251" i="11" s="1"/>
  <c r="S251" i="12" s="1"/>
  <c r="S251" i="13" s="1"/>
  <c r="S251" i="14" s="1"/>
  <c r="S251" i="15" s="1"/>
  <c r="S251" i="16" s="1"/>
  <c r="T250" i="6"/>
  <c r="T250" i="7" s="1"/>
  <c r="T250" i="8" s="1"/>
  <c r="T250" i="9" s="1"/>
  <c r="T250" i="10" s="1"/>
  <c r="T250" i="11" s="1"/>
  <c r="T250" i="12" s="1"/>
  <c r="T250" i="13" s="1"/>
  <c r="T250" i="14" s="1"/>
  <c r="T250" i="15" s="1"/>
  <c r="T250" i="16" s="1"/>
  <c r="S250" i="6"/>
  <c r="S250" i="7" s="1"/>
  <c r="S250" i="8" s="1"/>
  <c r="S250" i="9" s="1"/>
  <c r="S250" i="10" s="1"/>
  <c r="S250" i="11" s="1"/>
  <c r="S250" i="12" s="1"/>
  <c r="S250" i="13" s="1"/>
  <c r="S250" i="14" s="1"/>
  <c r="S250" i="15" s="1"/>
  <c r="S250" i="16" s="1"/>
  <c r="T249" i="6"/>
  <c r="T249" i="7" s="1"/>
  <c r="T249" i="8" s="1"/>
  <c r="T249" i="9" s="1"/>
  <c r="T249" i="10" s="1"/>
  <c r="T249" i="11" s="1"/>
  <c r="T249" i="12" s="1"/>
  <c r="T249" i="13" s="1"/>
  <c r="T249" i="14" s="1"/>
  <c r="T249" i="15" s="1"/>
  <c r="T249" i="16" s="1"/>
  <c r="S249" i="6"/>
  <c r="S249" i="7" s="1"/>
  <c r="S249" i="8" s="1"/>
  <c r="S249" i="9" s="1"/>
  <c r="S249" i="10" s="1"/>
  <c r="S249" i="11" s="1"/>
  <c r="S249" i="12" s="1"/>
  <c r="S249" i="13" s="1"/>
  <c r="S249" i="14" s="1"/>
  <c r="S249" i="15" s="1"/>
  <c r="S249" i="16" s="1"/>
  <c r="T248" i="6"/>
  <c r="T248" i="7" s="1"/>
  <c r="T248" i="8" s="1"/>
  <c r="T248" i="9" s="1"/>
  <c r="T248" i="10" s="1"/>
  <c r="T248" i="11" s="1"/>
  <c r="T248" i="12" s="1"/>
  <c r="T248" i="13" s="1"/>
  <c r="T248" i="14" s="1"/>
  <c r="T248" i="15" s="1"/>
  <c r="T248" i="16" s="1"/>
  <c r="S248" i="6"/>
  <c r="S248" i="7" s="1"/>
  <c r="S248" i="8" s="1"/>
  <c r="S248" i="9" s="1"/>
  <c r="S248" i="10" s="1"/>
  <c r="S248" i="11" s="1"/>
  <c r="S248" i="12" s="1"/>
  <c r="S248" i="13" s="1"/>
  <c r="S248" i="14" s="1"/>
  <c r="S248" i="15" s="1"/>
  <c r="S248" i="16" s="1"/>
  <c r="T247" i="6"/>
  <c r="T247" i="7" s="1"/>
  <c r="T247" i="8" s="1"/>
  <c r="T247" i="9" s="1"/>
  <c r="T247" i="10" s="1"/>
  <c r="T247" i="11" s="1"/>
  <c r="T247" i="12" s="1"/>
  <c r="T247" i="13" s="1"/>
  <c r="T247" i="14" s="1"/>
  <c r="T247" i="15" s="1"/>
  <c r="T247" i="16" s="1"/>
  <c r="S247" i="6"/>
  <c r="S247" i="7" s="1"/>
  <c r="S247" i="8" s="1"/>
  <c r="S247" i="9" s="1"/>
  <c r="S247" i="10" s="1"/>
  <c r="S247" i="11" s="1"/>
  <c r="S247" i="12" s="1"/>
  <c r="S247" i="13" s="1"/>
  <c r="S247" i="14" s="1"/>
  <c r="S247" i="15" s="1"/>
  <c r="S247" i="16" s="1"/>
  <c r="T246" i="6"/>
  <c r="T246" i="7" s="1"/>
  <c r="T246" i="8" s="1"/>
  <c r="T246" i="9" s="1"/>
  <c r="T246" i="10" s="1"/>
  <c r="T246" i="11" s="1"/>
  <c r="T246" i="12" s="1"/>
  <c r="T246" i="13" s="1"/>
  <c r="T246" i="14" s="1"/>
  <c r="T246" i="15" s="1"/>
  <c r="T246" i="16" s="1"/>
  <c r="S246" i="6"/>
  <c r="S246" i="7" s="1"/>
  <c r="S246" i="8" s="1"/>
  <c r="S246" i="9" s="1"/>
  <c r="S246" i="10" s="1"/>
  <c r="S246" i="11" s="1"/>
  <c r="S246" i="12" s="1"/>
  <c r="S246" i="13" s="1"/>
  <c r="S246" i="14" s="1"/>
  <c r="S246" i="15" s="1"/>
  <c r="S246" i="16" s="1"/>
  <c r="S245" i="6"/>
  <c r="S245" i="7" s="1"/>
  <c r="S245" i="8" s="1"/>
  <c r="S245" i="9" s="1"/>
  <c r="S245" i="10" s="1"/>
  <c r="S245" i="11" s="1"/>
  <c r="S245" i="12" s="1"/>
  <c r="S245" i="13" s="1"/>
  <c r="S245" i="14" s="1"/>
  <c r="S245" i="15" s="1"/>
  <c r="S245" i="16" s="1"/>
  <c r="T245" i="6"/>
  <c r="T245" i="7" s="1"/>
  <c r="T245" i="8" s="1"/>
  <c r="T245" i="9" s="1"/>
  <c r="T245" i="10" s="1"/>
  <c r="T245" i="11" s="1"/>
  <c r="T245" i="12" s="1"/>
  <c r="T245" i="13" s="1"/>
  <c r="T245" i="14" s="1"/>
  <c r="T245" i="15" s="1"/>
  <c r="T245" i="16" s="1"/>
  <c r="T202" i="6"/>
  <c r="T202" i="7" s="1"/>
  <c r="T202" i="8" s="1"/>
  <c r="T202" i="9" s="1"/>
  <c r="T202" i="10" s="1"/>
  <c r="T202" i="11" s="1"/>
  <c r="T202" i="12" s="1"/>
  <c r="T202" i="13" s="1"/>
  <c r="T202" i="14" s="1"/>
  <c r="T202" i="15" s="1"/>
  <c r="T202" i="16" s="1"/>
  <c r="S202" i="6"/>
  <c r="S202" i="7" s="1"/>
  <c r="S202" i="8" s="1"/>
  <c r="S202" i="9" s="1"/>
  <c r="S202" i="10" s="1"/>
  <c r="S202" i="11" s="1"/>
  <c r="S202" i="12" s="1"/>
  <c r="S202" i="13" s="1"/>
  <c r="S202" i="14" s="1"/>
  <c r="S202" i="15" s="1"/>
  <c r="S202" i="16" s="1"/>
  <c r="T201" i="6"/>
  <c r="T201" i="7" s="1"/>
  <c r="T201" i="8" s="1"/>
  <c r="T201" i="9" s="1"/>
  <c r="T201" i="10" s="1"/>
  <c r="T201" i="11" s="1"/>
  <c r="T201" i="12" s="1"/>
  <c r="T201" i="13" s="1"/>
  <c r="T201" i="14" s="1"/>
  <c r="T201" i="15" s="1"/>
  <c r="T201" i="16" s="1"/>
  <c r="S201" i="6"/>
  <c r="S201" i="7" s="1"/>
  <c r="S201" i="8" s="1"/>
  <c r="S201" i="9" s="1"/>
  <c r="S201" i="10" s="1"/>
  <c r="S201" i="11" s="1"/>
  <c r="S201" i="12" s="1"/>
  <c r="S201" i="13" s="1"/>
  <c r="S201" i="14" s="1"/>
  <c r="S201" i="15" s="1"/>
  <c r="S201"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5" i="6"/>
  <c r="AM195" i="6"/>
  <c r="AL195" i="7"/>
  <c r="AM195" i="7"/>
  <c r="AL195" i="8"/>
  <c r="AM195" i="8"/>
  <c r="AL195" i="9"/>
  <c r="AM195" i="9"/>
  <c r="AM194" i="9" s="1"/>
  <c r="AM193" i="9" s="1"/>
  <c r="AL195" i="10"/>
  <c r="AM195" i="10"/>
  <c r="AL195" i="11"/>
  <c r="AM195" i="11"/>
  <c r="AL195" i="12"/>
  <c r="AM195" i="12"/>
  <c r="AL195" i="13"/>
  <c r="AM195" i="13"/>
  <c r="AM194" i="13" s="1"/>
  <c r="AM193" i="13" s="1"/>
  <c r="AL195" i="14"/>
  <c r="AM195" i="14"/>
  <c r="AM194" i="14" s="1"/>
  <c r="AM193" i="14" s="1"/>
  <c r="AL195" i="15"/>
  <c r="AM195" i="15"/>
  <c r="AL195" i="16"/>
  <c r="AM195" i="16"/>
  <c r="AL195" i="5"/>
  <c r="AM195" i="5"/>
  <c r="Y195" i="5"/>
  <c r="AB195" i="5"/>
  <c r="AE195"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93" i="6"/>
  <c r="B93" i="7" s="1"/>
  <c r="B93" i="8" s="1"/>
  <c r="B93" i="9" s="1"/>
  <c r="B93" i="10" s="1"/>
  <c r="B93" i="11" s="1"/>
  <c r="B93" i="12" s="1"/>
  <c r="B93" i="13" s="1"/>
  <c r="B93" i="14" s="1"/>
  <c r="B93" i="15" s="1"/>
  <c r="B93" i="16" s="1"/>
  <c r="B99" i="6"/>
  <c r="B99" i="7" s="1"/>
  <c r="B99" i="8" s="1"/>
  <c r="B99" i="9" s="1"/>
  <c r="B99" i="10" s="1"/>
  <c r="B99" i="11" s="1"/>
  <c r="B99" i="12" s="1"/>
  <c r="B99" i="13" s="1"/>
  <c r="B99" i="14" s="1"/>
  <c r="B99" i="15" s="1"/>
  <c r="B99" i="16" s="1"/>
  <c r="B105" i="6"/>
  <c r="B105" i="7" s="1"/>
  <c r="B105" i="8"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24" i="6"/>
  <c r="B24" i="7" s="1"/>
  <c r="B117" i="6"/>
  <c r="B117" i="7" s="1"/>
  <c r="B117" i="8" s="1"/>
  <c r="B117" i="9" s="1"/>
  <c r="B117" i="10" s="1"/>
  <c r="B117" i="11" s="1"/>
  <c r="B117" i="12" s="1"/>
  <c r="B117" i="13" s="1"/>
  <c r="B117" i="14" s="1"/>
  <c r="B117" i="15" s="1"/>
  <c r="B117" i="16" s="1"/>
  <c r="B115" i="6"/>
  <c r="B115" i="7" s="1"/>
  <c r="B115" i="8" s="1"/>
  <c r="B115" i="9" s="1"/>
  <c r="B115" i="10" s="1"/>
  <c r="B115" i="11" s="1"/>
  <c r="B115" i="12" s="1"/>
  <c r="B115" i="13" s="1"/>
  <c r="B115" i="14" s="1"/>
  <c r="B115" i="15" s="1"/>
  <c r="B115" i="16" s="1"/>
  <c r="B114" i="6"/>
  <c r="B114" i="7" s="1"/>
  <c r="B114" i="8" s="1"/>
  <c r="B114" i="9" s="1"/>
  <c r="B114" i="10" s="1"/>
  <c r="B114" i="11" s="1"/>
  <c r="B114" i="12" s="1"/>
  <c r="B114" i="13" s="1"/>
  <c r="B114" i="14" s="1"/>
  <c r="B114" i="15" s="1"/>
  <c r="B114" i="16" s="1"/>
  <c r="B113" i="6"/>
  <c r="B113" i="7" s="1"/>
  <c r="B113" i="8" s="1"/>
  <c r="B113" i="9" s="1"/>
  <c r="B113" i="10" s="1"/>
  <c r="B113" i="11" s="1"/>
  <c r="B113" i="12" s="1"/>
  <c r="B113" i="13" s="1"/>
  <c r="B113" i="14" s="1"/>
  <c r="B113" i="15" s="1"/>
  <c r="B113" i="16" s="1"/>
  <c r="B111" i="6"/>
  <c r="B111" i="7" s="1"/>
  <c r="B111" i="8" s="1"/>
  <c r="B111" i="9" s="1"/>
  <c r="B111" i="10" s="1"/>
  <c r="B111" i="11" s="1"/>
  <c r="B111" i="12" s="1"/>
  <c r="B111" i="13" s="1"/>
  <c r="B111" i="14" s="1"/>
  <c r="B111" i="15" s="1"/>
  <c r="B111" i="16" s="1"/>
  <c r="B109" i="6"/>
  <c r="B109" i="7" s="1"/>
  <c r="B109" i="8" s="1"/>
  <c r="B109" i="9" s="1"/>
  <c r="B109" i="10" s="1"/>
  <c r="B109" i="11" s="1"/>
  <c r="B109" i="12" s="1"/>
  <c r="B109" i="13" s="1"/>
  <c r="B109" i="14" s="1"/>
  <c r="B109" i="15" s="1"/>
  <c r="B109" i="16" s="1"/>
  <c r="B108" i="6"/>
  <c r="B108" i="7" s="1"/>
  <c r="B108" i="8" s="1"/>
  <c r="B108" i="9" s="1"/>
  <c r="B108" i="10" s="1"/>
  <c r="B108" i="11" s="1"/>
  <c r="B108" i="12" s="1"/>
  <c r="B108" i="13" s="1"/>
  <c r="B108" i="14" s="1"/>
  <c r="B108" i="15" s="1"/>
  <c r="B108" i="16" s="1"/>
  <c r="B106" i="6"/>
  <c r="B106" i="7" s="1"/>
  <c r="B106" i="8" s="1"/>
  <c r="B106" i="9" s="1"/>
  <c r="B106" i="10" s="1"/>
  <c r="B106" i="11" s="1"/>
  <c r="B106" i="12" s="1"/>
  <c r="B106" i="13" s="1"/>
  <c r="B106" i="14" s="1"/>
  <c r="B106" i="15" s="1"/>
  <c r="B106" i="16" s="1"/>
  <c r="B103" i="6"/>
  <c r="B103" i="7" s="1"/>
  <c r="B103" i="8" s="1"/>
  <c r="B103" i="9" s="1"/>
  <c r="B103" i="10" s="1"/>
  <c r="B103" i="11" s="1"/>
  <c r="B103" i="12" s="1"/>
  <c r="B103" i="13" s="1"/>
  <c r="B103" i="14" s="1"/>
  <c r="B103" i="15" s="1"/>
  <c r="B103" i="16" s="1"/>
  <c r="B102" i="6"/>
  <c r="B102" i="7" s="1"/>
  <c r="B102" i="8" s="1"/>
  <c r="B102" i="9" s="1"/>
  <c r="B102" i="10" s="1"/>
  <c r="B102" i="11" s="1"/>
  <c r="B102" i="12" s="1"/>
  <c r="B102" i="13" s="1"/>
  <c r="B102" i="14" s="1"/>
  <c r="B102" i="15" s="1"/>
  <c r="B102" i="16" s="1"/>
  <c r="B101" i="6"/>
  <c r="B101" i="7" s="1"/>
  <c r="B101" i="8" s="1"/>
  <c r="B101" i="9" s="1"/>
  <c r="B101" i="10" s="1"/>
  <c r="B101" i="11" s="1"/>
  <c r="B101" i="12" s="1"/>
  <c r="B101" i="13" s="1"/>
  <c r="B101" i="14" s="1"/>
  <c r="B101" i="15" s="1"/>
  <c r="B101" i="16" s="1"/>
  <c r="B100" i="6"/>
  <c r="B100" i="7" s="1"/>
  <c r="B100" i="8" s="1"/>
  <c r="B100" i="9" s="1"/>
  <c r="B100" i="10" s="1"/>
  <c r="B100" i="11" s="1"/>
  <c r="B100" i="12" s="1"/>
  <c r="B100" i="13" s="1"/>
  <c r="B100" i="14" s="1"/>
  <c r="B100" i="15" s="1"/>
  <c r="B100" i="16" s="1"/>
  <c r="B97" i="6"/>
  <c r="B97" i="7" s="1"/>
  <c r="B97" i="8" s="1"/>
  <c r="B97" i="9" s="1"/>
  <c r="B97" i="10" s="1"/>
  <c r="B97" i="11" s="1"/>
  <c r="B97" i="12" s="1"/>
  <c r="B97" i="13" s="1"/>
  <c r="B97" i="14" s="1"/>
  <c r="B97" i="15" s="1"/>
  <c r="B97" i="16" s="1"/>
  <c r="B96" i="6"/>
  <c r="B96" i="7" s="1"/>
  <c r="B96" i="8" s="1"/>
  <c r="B96" i="9" s="1"/>
  <c r="B96" i="10" s="1"/>
  <c r="B96" i="11" s="1"/>
  <c r="B96" i="12" s="1"/>
  <c r="B96" i="13" s="1"/>
  <c r="B96" i="14" s="1"/>
  <c r="B96" i="15" s="1"/>
  <c r="B96" i="16" s="1"/>
  <c r="B95" i="6"/>
  <c r="B95" i="7" s="1"/>
  <c r="B95" i="8" s="1"/>
  <c r="B95" i="9" s="1"/>
  <c r="B95" i="10" s="1"/>
  <c r="B95" i="11" s="1"/>
  <c r="B95" i="12" s="1"/>
  <c r="B95" i="13" s="1"/>
  <c r="B95" i="14" s="1"/>
  <c r="B95" i="15" s="1"/>
  <c r="B95" i="16" s="1"/>
  <c r="B94" i="6"/>
  <c r="B94" i="7" s="1"/>
  <c r="B94" i="8" s="1"/>
  <c r="B94" i="9" s="1"/>
  <c r="B94" i="10" s="1"/>
  <c r="B94" i="11" s="1"/>
  <c r="B94" i="12" s="1"/>
  <c r="B94" i="13" s="1"/>
  <c r="B94" i="14" s="1"/>
  <c r="B94" i="15" s="1"/>
  <c r="B94" i="16" s="1"/>
  <c r="B91" i="6"/>
  <c r="B91" i="7" s="1"/>
  <c r="B91" i="8" s="1"/>
  <c r="B91" i="9" s="1"/>
  <c r="B91" i="10" s="1"/>
  <c r="B91" i="11" s="1"/>
  <c r="B91" i="12" s="1"/>
  <c r="B91" i="13" s="1"/>
  <c r="B91" i="14" s="1"/>
  <c r="B91" i="15" s="1"/>
  <c r="B91" i="16" s="1"/>
  <c r="B90" i="6"/>
  <c r="B90" i="7" s="1"/>
  <c r="B90" i="8" s="1"/>
  <c r="B90" i="9" s="1"/>
  <c r="B90" i="10" s="1"/>
  <c r="B90" i="11" s="1"/>
  <c r="B90" i="12" s="1"/>
  <c r="B90" i="13" s="1"/>
  <c r="B90" i="14" s="1"/>
  <c r="B90" i="15" s="1"/>
  <c r="B90" i="16" s="1"/>
  <c r="B89" i="6"/>
  <c r="B89" i="7" s="1"/>
  <c r="B89" i="8" s="1"/>
  <c r="B89" i="9" s="1"/>
  <c r="B89" i="10" s="1"/>
  <c r="B89" i="11" s="1"/>
  <c r="B89" i="12" s="1"/>
  <c r="B89" i="13" s="1"/>
  <c r="B89" i="14" s="1"/>
  <c r="B89" i="15" s="1"/>
  <c r="B89" i="16" s="1"/>
  <c r="B88" i="6"/>
  <c r="B88" i="7" s="1"/>
  <c r="B88" i="8" s="1"/>
  <c r="B88" i="9" s="1"/>
  <c r="B88" i="10" s="1"/>
  <c r="B88" i="11" s="1"/>
  <c r="B88" i="12" s="1"/>
  <c r="B88" i="13" s="1"/>
  <c r="B88" i="14" s="1"/>
  <c r="B88" i="15" s="1"/>
  <c r="B88" i="16" s="1"/>
  <c r="B87" i="6"/>
  <c r="B87" i="7" s="1"/>
  <c r="B87" i="8" s="1"/>
  <c r="B87" i="9" s="1"/>
  <c r="B87" i="10" s="1"/>
  <c r="B87" i="11" s="1"/>
  <c r="B87" i="12" s="1"/>
  <c r="B87" i="13" s="1"/>
  <c r="B87" i="14" s="1"/>
  <c r="B87" i="15" s="1"/>
  <c r="B87" i="16" s="1"/>
  <c r="B86" i="6"/>
  <c r="B86" i="7" s="1"/>
  <c r="B86" i="8" s="1"/>
  <c r="B86" i="9" s="1"/>
  <c r="B86" i="10" s="1"/>
  <c r="B86" i="11" s="1"/>
  <c r="B86" i="12" s="1"/>
  <c r="B86" i="13" s="1"/>
  <c r="B86" i="14" s="1"/>
  <c r="B86" i="15" s="1"/>
  <c r="B86" i="16" s="1"/>
  <c r="B85" i="6"/>
  <c r="B85" i="7" s="1"/>
  <c r="B85" i="8" s="1"/>
  <c r="B85" i="9" s="1"/>
  <c r="B85" i="10" s="1"/>
  <c r="B85" i="11" s="1"/>
  <c r="B85" i="12" s="1"/>
  <c r="B85" i="13" s="1"/>
  <c r="B85" i="14" s="1"/>
  <c r="B85" i="15" s="1"/>
  <c r="B85" i="16" s="1"/>
  <c r="B84" i="6"/>
  <c r="B84" i="7" s="1"/>
  <c r="B84" i="8" s="1"/>
  <c r="B84" i="9" s="1"/>
  <c r="B84" i="10" s="1"/>
  <c r="B84" i="11" s="1"/>
  <c r="B84" i="12" s="1"/>
  <c r="B84" i="13" s="1"/>
  <c r="B84" i="14" s="1"/>
  <c r="B84" i="15" s="1"/>
  <c r="B84" i="16" s="1"/>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41" i="8" s="1"/>
  <c r="B41" i="15"/>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2" i="6"/>
  <c r="B10" i="6"/>
  <c r="B10" i="7" s="1"/>
  <c r="B10" i="8" s="1"/>
  <c r="B10" i="9" s="1"/>
  <c r="B10" i="10" s="1"/>
  <c r="B10" i="11" s="1"/>
  <c r="B10" i="12" s="1"/>
  <c r="B10" i="13" s="1"/>
  <c r="B10" i="14" s="1"/>
  <c r="B10" i="15" s="1"/>
  <c r="B10" i="16" s="1"/>
  <c r="C1" i="5"/>
  <c r="AL259" i="6"/>
  <c r="AL259" i="7"/>
  <c r="AL259" i="8"/>
  <c r="AL259" i="9"/>
  <c r="AL259" i="10"/>
  <c r="AL259" i="11"/>
  <c r="AL259" i="12"/>
  <c r="AL259" i="13"/>
  <c r="AL259" i="14"/>
  <c r="AL259" i="15"/>
  <c r="AL259" i="16"/>
  <c r="AL259" i="5"/>
  <c r="A10" i="6"/>
  <c r="A10" i="7"/>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9" i="13"/>
  <c r="A40" i="13"/>
  <c r="A41" i="6"/>
  <c r="A41" i="7" s="1"/>
  <c r="A41" i="8" s="1"/>
  <c r="A41" i="13"/>
  <c r="A41" i="15"/>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A84" i="6"/>
  <c r="A84" i="7" s="1"/>
  <c r="A84" i="8" s="1"/>
  <c r="A84" i="9" s="1"/>
  <c r="A84" i="10" s="1"/>
  <c r="A84" i="11" s="1"/>
  <c r="A84" i="12" s="1"/>
  <c r="A84" i="13" s="1"/>
  <c r="A84" i="14" s="1"/>
  <c r="A84" i="15" s="1"/>
  <c r="A84" i="16" s="1"/>
  <c r="A85" i="6"/>
  <c r="A85" i="7" s="1"/>
  <c r="A85" i="8" s="1"/>
  <c r="A85" i="9" s="1"/>
  <c r="A85" i="10" s="1"/>
  <c r="A85" i="11" s="1"/>
  <c r="A85" i="12" s="1"/>
  <c r="A85" i="13" s="1"/>
  <c r="A85" i="14" s="1"/>
  <c r="A85" i="15" s="1"/>
  <c r="A85" i="16" s="1"/>
  <c r="A86" i="6"/>
  <c r="A86" i="7" s="1"/>
  <c r="A86" i="8" s="1"/>
  <c r="A86" i="9" s="1"/>
  <c r="A86" i="10" s="1"/>
  <c r="A86" i="11" s="1"/>
  <c r="A86" i="12" s="1"/>
  <c r="A86" i="13" s="1"/>
  <c r="A86" i="14" s="1"/>
  <c r="A86" i="15" s="1"/>
  <c r="A86" i="16" s="1"/>
  <c r="A87" i="6"/>
  <c r="A87" i="7" s="1"/>
  <c r="A87" i="8" s="1"/>
  <c r="A87" i="9" s="1"/>
  <c r="A87" i="10" s="1"/>
  <c r="A87" i="11" s="1"/>
  <c r="A87" i="12" s="1"/>
  <c r="A87" i="13" s="1"/>
  <c r="A87" i="14" s="1"/>
  <c r="A87" i="15" s="1"/>
  <c r="A87" i="16" s="1"/>
  <c r="A88" i="6"/>
  <c r="A88" i="7" s="1"/>
  <c r="A88" i="8" s="1"/>
  <c r="A88" i="9" s="1"/>
  <c r="A88" i="10" s="1"/>
  <c r="A88" i="11" s="1"/>
  <c r="A88" i="12" s="1"/>
  <c r="A88" i="13" s="1"/>
  <c r="A88" i="14" s="1"/>
  <c r="A88" i="15" s="1"/>
  <c r="A88" i="16" s="1"/>
  <c r="A89" i="6"/>
  <c r="A89" i="7" s="1"/>
  <c r="A89" i="8" s="1"/>
  <c r="A89" i="9" s="1"/>
  <c r="A89" i="10" s="1"/>
  <c r="A89" i="11" s="1"/>
  <c r="A89" i="12" s="1"/>
  <c r="A89" i="13" s="1"/>
  <c r="A89" i="14" s="1"/>
  <c r="A89" i="15" s="1"/>
  <c r="A89" i="16" s="1"/>
  <c r="A90" i="6"/>
  <c r="A90" i="7" s="1"/>
  <c r="A90" i="8" s="1"/>
  <c r="A90" i="9" s="1"/>
  <c r="A90" i="10" s="1"/>
  <c r="A90" i="11" s="1"/>
  <c r="A90" i="12" s="1"/>
  <c r="A90" i="13" s="1"/>
  <c r="A90" i="14" s="1"/>
  <c r="A90" i="15" s="1"/>
  <c r="A90" i="16" s="1"/>
  <c r="A91" i="6"/>
  <c r="A91" i="7" s="1"/>
  <c r="A91" i="8" s="1"/>
  <c r="A91" i="9" s="1"/>
  <c r="A91" i="10" s="1"/>
  <c r="A91" i="11" s="1"/>
  <c r="A91" i="12" s="1"/>
  <c r="A91" i="13" s="1"/>
  <c r="A91" i="14" s="1"/>
  <c r="A91" i="15" s="1"/>
  <c r="A91" i="16" s="1"/>
  <c r="A92" i="6"/>
  <c r="A92" i="7" s="1"/>
  <c r="A92" i="8" s="1"/>
  <c r="A92" i="9" s="1"/>
  <c r="A92" i="10" s="1"/>
  <c r="A92" i="11" s="1"/>
  <c r="A92" i="12" s="1"/>
  <c r="A92" i="13" s="1"/>
  <c r="A92" i="14" s="1"/>
  <c r="A92" i="15" s="1"/>
  <c r="A92" i="16" s="1"/>
  <c r="A93" i="6"/>
  <c r="A93" i="7" s="1"/>
  <c r="A93" i="8" s="1"/>
  <c r="A93" i="9" s="1"/>
  <c r="A93" i="10" s="1"/>
  <c r="A93" i="11" s="1"/>
  <c r="A93" i="12" s="1"/>
  <c r="A93" i="13" s="1"/>
  <c r="A93" i="14" s="1"/>
  <c r="A93" i="15" s="1"/>
  <c r="A93" i="16" s="1"/>
  <c r="A94" i="6"/>
  <c r="A94" i="7" s="1"/>
  <c r="A94" i="8" s="1"/>
  <c r="A94" i="9" s="1"/>
  <c r="A94" i="10" s="1"/>
  <c r="A94" i="11" s="1"/>
  <c r="A94" i="12" s="1"/>
  <c r="A94" i="13" s="1"/>
  <c r="A94" i="14" s="1"/>
  <c r="A94" i="15" s="1"/>
  <c r="A94" i="16" s="1"/>
  <c r="A95" i="6"/>
  <c r="A95" i="7" s="1"/>
  <c r="A95" i="8" s="1"/>
  <c r="A95" i="9" s="1"/>
  <c r="A95" i="10" s="1"/>
  <c r="A95" i="11" s="1"/>
  <c r="A95" i="12" s="1"/>
  <c r="A95" i="13" s="1"/>
  <c r="A95" i="14" s="1"/>
  <c r="A95" i="15" s="1"/>
  <c r="A95" i="16" s="1"/>
  <c r="A96" i="6"/>
  <c r="A96" i="7" s="1"/>
  <c r="A96" i="8" s="1"/>
  <c r="A96" i="9" s="1"/>
  <c r="A96" i="10" s="1"/>
  <c r="A96" i="11" s="1"/>
  <c r="A96" i="12" s="1"/>
  <c r="A96" i="13" s="1"/>
  <c r="A96" i="14" s="1"/>
  <c r="A96" i="15" s="1"/>
  <c r="A96" i="16" s="1"/>
  <c r="A97" i="6"/>
  <c r="A97" i="7" s="1"/>
  <c r="A97" i="8" s="1"/>
  <c r="A97" i="9" s="1"/>
  <c r="A97" i="10" s="1"/>
  <c r="A97" i="11" s="1"/>
  <c r="A97" i="12" s="1"/>
  <c r="A97" i="13" s="1"/>
  <c r="A97" i="14" s="1"/>
  <c r="A97" i="15" s="1"/>
  <c r="A97" i="16" s="1"/>
  <c r="A99" i="6"/>
  <c r="A99" i="7" s="1"/>
  <c r="A99" i="8" s="1"/>
  <c r="A99" i="9" s="1"/>
  <c r="A99" i="10" s="1"/>
  <c r="A99" i="11" s="1"/>
  <c r="A99" i="12" s="1"/>
  <c r="A99" i="13" s="1"/>
  <c r="A99" i="14" s="1"/>
  <c r="A99" i="15" s="1"/>
  <c r="A99" i="16" s="1"/>
  <c r="A100" i="6"/>
  <c r="A100" i="7" s="1"/>
  <c r="A100" i="8" s="1"/>
  <c r="A100" i="9" s="1"/>
  <c r="A100" i="10" s="1"/>
  <c r="A100" i="11" s="1"/>
  <c r="A100" i="12" s="1"/>
  <c r="A100" i="13" s="1"/>
  <c r="A100" i="14" s="1"/>
  <c r="A100" i="15" s="1"/>
  <c r="A100" i="16" s="1"/>
  <c r="A101" i="6"/>
  <c r="A101" i="7" s="1"/>
  <c r="A101" i="8" s="1"/>
  <c r="A101" i="9" s="1"/>
  <c r="A101" i="10" s="1"/>
  <c r="A101" i="11" s="1"/>
  <c r="A101" i="12" s="1"/>
  <c r="A101" i="13" s="1"/>
  <c r="A101" i="14" s="1"/>
  <c r="A101" i="15" s="1"/>
  <c r="A101" i="16" s="1"/>
  <c r="A102" i="6"/>
  <c r="A102" i="7" s="1"/>
  <c r="A102" i="8" s="1"/>
  <c r="A102" i="9" s="1"/>
  <c r="A102" i="10" s="1"/>
  <c r="A102" i="11" s="1"/>
  <c r="A102" i="12" s="1"/>
  <c r="A102" i="13" s="1"/>
  <c r="A102" i="14" s="1"/>
  <c r="A102" i="15" s="1"/>
  <c r="A102" i="16" s="1"/>
  <c r="A103" i="6"/>
  <c r="A103" i="7" s="1"/>
  <c r="A103" i="8" s="1"/>
  <c r="A103" i="9" s="1"/>
  <c r="A103" i="10" s="1"/>
  <c r="A103" i="11" s="1"/>
  <c r="A103" i="12" s="1"/>
  <c r="A103" i="13" s="1"/>
  <c r="A103" i="14" s="1"/>
  <c r="A103" i="15" s="1"/>
  <c r="A103" i="16" s="1"/>
  <c r="A106" i="6"/>
  <c r="A106" i="7" s="1"/>
  <c r="A106" i="8" s="1"/>
  <c r="A106" i="9" s="1"/>
  <c r="A106" i="10" s="1"/>
  <c r="A106" i="11" s="1"/>
  <c r="A106" i="12" s="1"/>
  <c r="A106" i="13" s="1"/>
  <c r="A106" i="14" s="1"/>
  <c r="A106" i="15" s="1"/>
  <c r="A106" i="16" s="1"/>
  <c r="A108" i="6"/>
  <c r="A108" i="7" s="1"/>
  <c r="A108" i="8" s="1"/>
  <c r="A108" i="9" s="1"/>
  <c r="A108" i="10" s="1"/>
  <c r="A108" i="11" s="1"/>
  <c r="A108" i="12" s="1"/>
  <c r="A108" i="13" s="1"/>
  <c r="A108" i="14" s="1"/>
  <c r="A108" i="15" s="1"/>
  <c r="A108" i="16" s="1"/>
  <c r="A109" i="6"/>
  <c r="A109" i="7" s="1"/>
  <c r="A109" i="8" s="1"/>
  <c r="A109" i="9" s="1"/>
  <c r="A109" i="10" s="1"/>
  <c r="A109" i="11" s="1"/>
  <c r="A109" i="12" s="1"/>
  <c r="A109" i="13" s="1"/>
  <c r="A109" i="14" s="1"/>
  <c r="A109" i="15" s="1"/>
  <c r="A109" i="16" s="1"/>
  <c r="A110" i="6"/>
  <c r="A110" i="7" s="1"/>
  <c r="A110" i="8" s="1"/>
  <c r="A110" i="9" s="1"/>
  <c r="A110" i="10" s="1"/>
  <c r="A110" i="11" s="1"/>
  <c r="A110" i="12" s="1"/>
  <c r="A110" i="13" s="1"/>
  <c r="A110" i="14" s="1"/>
  <c r="A110" i="15" s="1"/>
  <c r="A110" i="16" s="1"/>
  <c r="A111" i="6"/>
  <c r="A111" i="7" s="1"/>
  <c r="A111" i="8" s="1"/>
  <c r="A111" i="9" s="1"/>
  <c r="A111" i="10" s="1"/>
  <c r="A111" i="11" s="1"/>
  <c r="A111" i="12" s="1"/>
  <c r="A111" i="13" s="1"/>
  <c r="A111" i="14" s="1"/>
  <c r="A111" i="15" s="1"/>
  <c r="A111" i="16" s="1"/>
  <c r="A112" i="6"/>
  <c r="A112" i="7" s="1"/>
  <c r="A112" i="8" s="1"/>
  <c r="A112" i="9" s="1"/>
  <c r="A112" i="10" s="1"/>
  <c r="A112" i="11" s="1"/>
  <c r="A112" i="12" s="1"/>
  <c r="A112" i="13" s="1"/>
  <c r="A112" i="14" s="1"/>
  <c r="A112" i="15" s="1"/>
  <c r="A112" i="16" s="1"/>
  <c r="A113" i="6"/>
  <c r="A113" i="7"/>
  <c r="A113" i="8" s="1"/>
  <c r="A113" i="9" s="1"/>
  <c r="A113" i="10" s="1"/>
  <c r="A113" i="11" s="1"/>
  <c r="A113" i="12" s="1"/>
  <c r="A113" i="13" s="1"/>
  <c r="A113" i="14" s="1"/>
  <c r="A113" i="15" s="1"/>
  <c r="A113" i="16" s="1"/>
  <c r="A114" i="6"/>
  <c r="A114" i="7" s="1"/>
  <c r="A114" i="8" s="1"/>
  <c r="A114" i="9" s="1"/>
  <c r="A114" i="10" s="1"/>
  <c r="A114" i="11" s="1"/>
  <c r="A114" i="12" s="1"/>
  <c r="A114" i="13" s="1"/>
  <c r="A114" i="14" s="1"/>
  <c r="A114" i="15" s="1"/>
  <c r="A114" i="16" s="1"/>
  <c r="A115" i="6"/>
  <c r="A115" i="7" s="1"/>
  <c r="A115" i="8" s="1"/>
  <c r="A115" i="9" s="1"/>
  <c r="A115" i="10" s="1"/>
  <c r="A115" i="11" s="1"/>
  <c r="A115" i="12" s="1"/>
  <c r="A115" i="13" s="1"/>
  <c r="A115" i="14" s="1"/>
  <c r="A115" i="15" s="1"/>
  <c r="A115" i="16" s="1"/>
  <c r="A116" i="6"/>
  <c r="A116" i="7" s="1"/>
  <c r="A116" i="8" s="1"/>
  <c r="A116" i="9" s="1"/>
  <c r="A116" i="10" s="1"/>
  <c r="A116" i="11" s="1"/>
  <c r="A116" i="12" s="1"/>
  <c r="A116" i="13" s="1"/>
  <c r="A116" i="14" s="1"/>
  <c r="A116" i="15" s="1"/>
  <c r="A116" i="16" s="1"/>
  <c r="A117" i="6"/>
  <c r="A117" i="7" s="1"/>
  <c r="A117" i="8" s="1"/>
  <c r="A117" i="9" s="1"/>
  <c r="A117" i="10" s="1"/>
  <c r="A117" i="11" s="1"/>
  <c r="A117" i="12" s="1"/>
  <c r="A117" i="13" s="1"/>
  <c r="A117" i="14" s="1"/>
  <c r="A117" i="15" s="1"/>
  <c r="A117" i="16" s="1"/>
  <c r="A121" i="6"/>
  <c r="A121" i="7" s="1"/>
  <c r="A121" i="8" s="1"/>
  <c r="A121" i="9" s="1"/>
  <c r="A121" i="10" s="1"/>
  <c r="A121" i="11" s="1"/>
  <c r="A121" i="12" s="1"/>
  <c r="A121" i="13" s="1"/>
  <c r="A121" i="14" s="1"/>
  <c r="A121" i="15" s="1"/>
  <c r="A121" i="16" s="1"/>
  <c r="A123" i="6"/>
  <c r="A123" i="7" s="1"/>
  <c r="A123" i="8" s="1"/>
  <c r="A123" i="9" s="1"/>
  <c r="A123" i="10" s="1"/>
  <c r="A123" i="11" s="1"/>
  <c r="A123" i="12" s="1"/>
  <c r="A123" i="13" s="1"/>
  <c r="A123" i="14" s="1"/>
  <c r="A123" i="15" s="1"/>
  <c r="A123" i="16" s="1"/>
  <c r="A125" i="6"/>
  <c r="A125" i="7" s="1"/>
  <c r="A125" i="8" s="1"/>
  <c r="A125" i="9" s="1"/>
  <c r="A125" i="10" s="1"/>
  <c r="A125" i="11" s="1"/>
  <c r="A125" i="12" s="1"/>
  <c r="A125" i="13" s="1"/>
  <c r="A125" i="14" s="1"/>
  <c r="A125" i="15" s="1"/>
  <c r="A125"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T26" i="7" s="1"/>
  <c r="T26" i="8" s="1"/>
  <c r="T26" i="9" s="1"/>
  <c r="T26" i="10" s="1"/>
  <c r="T26" i="11" s="1"/>
  <c r="T26" i="12" s="1"/>
  <c r="T26" i="13" s="1"/>
  <c r="T26" i="14" s="1"/>
  <c r="T26" i="15" s="1"/>
  <c r="T26" i="16" s="1"/>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T33" i="8" s="1"/>
  <c r="T33" i="9"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6"/>
  <c r="S192" i="7" s="1"/>
  <c r="S192" i="8" s="1"/>
  <c r="S192" i="9" s="1"/>
  <c r="S192" i="10" s="1"/>
  <c r="S192" i="11" s="1"/>
  <c r="S192" i="12" s="1"/>
  <c r="S192" i="13" s="1"/>
  <c r="S192" i="14" s="1"/>
  <c r="S192" i="15" s="1"/>
  <c r="S192" i="16" s="1"/>
  <c r="T192" i="6"/>
  <c r="T192" i="7" s="1"/>
  <c r="T192" i="8" s="1"/>
  <c r="T192" i="9" s="1"/>
  <c r="T192" i="10" s="1"/>
  <c r="T192" i="11" s="1"/>
  <c r="T192" i="12" s="1"/>
  <c r="T192" i="13" s="1"/>
  <c r="T192" i="14" s="1"/>
  <c r="T192" i="15" s="1"/>
  <c r="T192" i="16" s="1"/>
  <c r="S193" i="6"/>
  <c r="S193" i="7" s="1"/>
  <c r="S193" i="8" s="1"/>
  <c r="S193" i="9" s="1"/>
  <c r="S193" i="10" s="1"/>
  <c r="S193" i="11" s="1"/>
  <c r="S193" i="12" s="1"/>
  <c r="S193" i="13" s="1"/>
  <c r="S193" i="14" s="1"/>
  <c r="S193" i="15" s="1"/>
  <c r="S193" i="16" s="1"/>
  <c r="T193" i="6"/>
  <c r="T193" i="7" s="1"/>
  <c r="T193" i="8" s="1"/>
  <c r="T193" i="9" s="1"/>
  <c r="T193" i="10" s="1"/>
  <c r="T193" i="11" s="1"/>
  <c r="T193" i="12" s="1"/>
  <c r="T193" i="13" s="1"/>
  <c r="T193" i="14" s="1"/>
  <c r="T193" i="15" s="1"/>
  <c r="T193" i="16" s="1"/>
  <c r="S194" i="6"/>
  <c r="S194" i="7" s="1"/>
  <c r="S194" i="8" s="1"/>
  <c r="S194" i="9" s="1"/>
  <c r="S194" i="10" s="1"/>
  <c r="S194" i="11" s="1"/>
  <c r="S194" i="12" s="1"/>
  <c r="S194" i="13" s="1"/>
  <c r="S194" i="14" s="1"/>
  <c r="S194" i="15" s="1"/>
  <c r="S194" i="16" s="1"/>
  <c r="T194" i="6"/>
  <c r="T194" i="7" s="1"/>
  <c r="T194" i="8" s="1"/>
  <c r="T194" i="9" s="1"/>
  <c r="T194" i="10" s="1"/>
  <c r="T194" i="11" s="1"/>
  <c r="T194" i="12" s="1"/>
  <c r="T194" i="13" s="1"/>
  <c r="T194" i="14" s="1"/>
  <c r="T194"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3" i="6"/>
  <c r="S203" i="7" s="1"/>
  <c r="S203" i="8" s="1"/>
  <c r="S203" i="9" s="1"/>
  <c r="S203" i="10" s="1"/>
  <c r="S203" i="11" s="1"/>
  <c r="S203" i="12" s="1"/>
  <c r="S203" i="13" s="1"/>
  <c r="S203" i="14" s="1"/>
  <c r="S203" i="15" s="1"/>
  <c r="S203" i="16" s="1"/>
  <c r="T203" i="6"/>
  <c r="T203" i="7" s="1"/>
  <c r="T203" i="8" s="1"/>
  <c r="T203" i="9" s="1"/>
  <c r="T203" i="10" s="1"/>
  <c r="T203" i="11" s="1"/>
  <c r="T203" i="12" s="1"/>
  <c r="T203" i="13" s="1"/>
  <c r="T203" i="14" s="1"/>
  <c r="T203" i="15" s="1"/>
  <c r="T203" i="16" s="1"/>
  <c r="S204" i="6"/>
  <c r="S204" i="7" s="1"/>
  <c r="S204" i="8" s="1"/>
  <c r="S204" i="9" s="1"/>
  <c r="S204" i="10" s="1"/>
  <c r="S204" i="11" s="1"/>
  <c r="S204" i="12" s="1"/>
  <c r="S204" i="13" s="1"/>
  <c r="S204" i="14" s="1"/>
  <c r="S204" i="15" s="1"/>
  <c r="S204" i="16" s="1"/>
  <c r="T204" i="6"/>
  <c r="T204" i="7" s="1"/>
  <c r="T204" i="8" s="1"/>
  <c r="T204" i="9" s="1"/>
  <c r="T204" i="10" s="1"/>
  <c r="T204" i="11" s="1"/>
  <c r="T204" i="12" s="1"/>
  <c r="T204" i="13" s="1"/>
  <c r="T204" i="14" s="1"/>
  <c r="T204" i="15" s="1"/>
  <c r="T204"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c r="S243" i="9" s="1"/>
  <c r="S243" i="10" s="1"/>
  <c r="S243" i="11" s="1"/>
  <c r="S243" i="12" s="1"/>
  <c r="S243" i="13" s="1"/>
  <c r="S243" i="14" s="1"/>
  <c r="S243" i="15" s="1"/>
  <c r="S243" i="16" s="1"/>
  <c r="T243" i="6"/>
  <c r="T243" i="7" s="1"/>
  <c r="T243" i="8" s="1"/>
  <c r="T243" i="9" s="1"/>
  <c r="T243" i="10" s="1"/>
  <c r="T243" i="11" s="1"/>
  <c r="T243" i="12" s="1"/>
  <c r="T243" i="13" s="1"/>
  <c r="T243" i="14" s="1"/>
  <c r="T243" i="15" s="1"/>
  <c r="T243" i="16" s="1"/>
  <c r="S244" i="6"/>
  <c r="S244" i="7" s="1"/>
  <c r="S244" i="8" s="1"/>
  <c r="S244" i="9" s="1"/>
  <c r="S244" i="10" s="1"/>
  <c r="S244" i="11" s="1"/>
  <c r="S244" i="12" s="1"/>
  <c r="S244" i="13" s="1"/>
  <c r="S244" i="14" s="1"/>
  <c r="S244" i="15" s="1"/>
  <c r="S244" i="16" s="1"/>
  <c r="T244" i="6"/>
  <c r="T244" i="7" s="1"/>
  <c r="T244" i="8" s="1"/>
  <c r="T244" i="9" s="1"/>
  <c r="T244" i="10" s="1"/>
  <c r="T244" i="11" s="1"/>
  <c r="T244" i="12" s="1"/>
  <c r="T244" i="13" s="1"/>
  <c r="T244" i="14" s="1"/>
  <c r="T244" i="15" s="1"/>
  <c r="T244" i="16" s="1"/>
  <c r="S257" i="6"/>
  <c r="S257" i="7" s="1"/>
  <c r="S257" i="8" s="1"/>
  <c r="S257" i="9" s="1"/>
  <c r="S257" i="10" s="1"/>
  <c r="S257" i="11" s="1"/>
  <c r="S257" i="12" s="1"/>
  <c r="S257" i="13" s="1"/>
  <c r="S257" i="14" s="1"/>
  <c r="S257" i="15" s="1"/>
  <c r="S257" i="16" s="1"/>
  <c r="T257" i="6"/>
  <c r="T257" i="7" s="1"/>
  <c r="T257" i="8" s="1"/>
  <c r="T257" i="9" s="1"/>
  <c r="T257" i="10" s="1"/>
  <c r="T257" i="11" s="1"/>
  <c r="T257" i="12" s="1"/>
  <c r="T257" i="13" s="1"/>
  <c r="T257" i="14" s="1"/>
  <c r="T257" i="15" s="1"/>
  <c r="T257" i="16" s="1"/>
  <c r="S258" i="6"/>
  <c r="S258" i="7" s="1"/>
  <c r="S258" i="8" s="1"/>
  <c r="S258" i="9" s="1"/>
  <c r="S258" i="10" s="1"/>
  <c r="S258" i="11" s="1"/>
  <c r="S258" i="12" s="1"/>
  <c r="S258" i="13" s="1"/>
  <c r="S258" i="14" s="1"/>
  <c r="S258" i="15" s="1"/>
  <c r="S258" i="16" s="1"/>
  <c r="T258" i="6"/>
  <c r="T258" i="7" s="1"/>
  <c r="T258" i="8" s="1"/>
  <c r="T258" i="9" s="1"/>
  <c r="T258" i="10" s="1"/>
  <c r="T258" i="11" s="1"/>
  <c r="T258" i="12" s="1"/>
  <c r="T258" i="13" s="1"/>
  <c r="T258" i="14" s="1"/>
  <c r="T258" i="15" s="1"/>
  <c r="T258" i="16" s="1"/>
  <c r="S259" i="6"/>
  <c r="S259" i="7" s="1"/>
  <c r="S259" i="8" s="1"/>
  <c r="S259" i="9" s="1"/>
  <c r="S259" i="10" s="1"/>
  <c r="S259" i="11" s="1"/>
  <c r="S259" i="12" s="1"/>
  <c r="S259" i="13" s="1"/>
  <c r="S259" i="14" s="1"/>
  <c r="S259" i="15" s="1"/>
  <c r="S259" i="16" s="1"/>
  <c r="BE2" i="5"/>
  <c r="BK2" i="5" s="1"/>
  <c r="BQ2" i="5" s="1"/>
  <c r="BE2" i="7"/>
  <c r="BK2" i="7" s="1"/>
  <c r="BQ2" i="7" s="1"/>
  <c r="BE2" i="8"/>
  <c r="BK2" i="8"/>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R21" i="5"/>
  <c r="AR6" i="6"/>
  <c r="AR6" i="8"/>
  <c r="AR21" i="8" s="1"/>
  <c r="AR6" i="9"/>
  <c r="AR6" i="10"/>
  <c r="AT21" i="10" s="1"/>
  <c r="AR6" i="11"/>
  <c r="AR6" i="12"/>
  <c r="AS6" i="12" s="1"/>
  <c r="AR6" i="13"/>
  <c r="AR6" i="14"/>
  <c r="AS6" i="14" s="1"/>
  <c r="AR6" i="15"/>
  <c r="AR6" i="16"/>
  <c r="AS6" i="16" s="1"/>
  <c r="AR6" i="7"/>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J3" i="6" s="1"/>
  <c r="F2" i="6"/>
  <c r="D2" i="6" s="1"/>
  <c r="F3" i="7"/>
  <c r="D3" i="7" s="1"/>
  <c r="N3" i="7"/>
  <c r="AW4" i="7" s="1"/>
  <c r="F2" i="7"/>
  <c r="D2" i="7" s="1"/>
  <c r="F3" i="8"/>
  <c r="D3" i="8" s="1"/>
  <c r="N3" i="8"/>
  <c r="F2" i="8"/>
  <c r="D2" i="8" s="1"/>
  <c r="F3" i="9"/>
  <c r="D3" i="9" s="1"/>
  <c r="N3" i="9"/>
  <c r="BH5" i="9" s="1"/>
  <c r="F2" i="9"/>
  <c r="D2" i="9" s="1"/>
  <c r="F3" i="10"/>
  <c r="D3" i="10" s="1"/>
  <c r="N3" i="10"/>
  <c r="AW4" i="10" s="1"/>
  <c r="F2" i="10"/>
  <c r="D2" i="10" s="1"/>
  <c r="F3" i="11"/>
  <c r="D3" i="11" s="1"/>
  <c r="N3" i="11"/>
  <c r="AJ3" i="11" s="1"/>
  <c r="F2" i="11"/>
  <c r="D2" i="11" s="1"/>
  <c r="F3" i="12"/>
  <c r="D3" i="12" s="1"/>
  <c r="N3" i="12"/>
  <c r="F2" i="12"/>
  <c r="D2" i="12" s="1"/>
  <c r="F3" i="13"/>
  <c r="D3" i="13" s="1"/>
  <c r="N3" i="13"/>
  <c r="AJ3" i="13" s="1"/>
  <c r="F2" i="13"/>
  <c r="D2" i="13" s="1"/>
  <c r="F3" i="14"/>
  <c r="D3" i="14" s="1"/>
  <c r="N3" i="14"/>
  <c r="BE3" i="14" s="1"/>
  <c r="BK3" i="14" s="1"/>
  <c r="BQ3" i="14" s="1"/>
  <c r="BN5" i="14" s="1"/>
  <c r="F2" i="14"/>
  <c r="D2" i="14" s="1"/>
  <c r="F3" i="15"/>
  <c r="D3" i="15" s="1"/>
  <c r="N3" i="15"/>
  <c r="BC5" i="15" s="1"/>
  <c r="F2" i="15"/>
  <c r="D2" i="15" s="1"/>
  <c r="F3" i="16"/>
  <c r="D3" i="16" s="1"/>
  <c r="N3" i="16"/>
  <c r="BE3" i="16" s="1"/>
  <c r="BK3" i="16" s="1"/>
  <c r="BQ3" i="16" s="1"/>
  <c r="F2" i="16"/>
  <c r="D2" i="16" s="1"/>
  <c r="F3" i="5"/>
  <c r="F2" i="5"/>
  <c r="D2" i="5" s="1"/>
  <c r="N3" i="5"/>
  <c r="AW4" i="5" s="1"/>
  <c r="G22" i="5"/>
  <c r="G25" i="5"/>
  <c r="G29" i="5"/>
  <c r="G32" i="5"/>
  <c r="G35" i="5"/>
  <c r="G42" i="5"/>
  <c r="G45" i="5"/>
  <c r="G48" i="5"/>
  <c r="G51" i="5"/>
  <c r="G54" i="5"/>
  <c r="G57" i="5"/>
  <c r="G60" i="5"/>
  <c r="G63" i="5"/>
  <c r="G66" i="5"/>
  <c r="G69" i="5"/>
  <c r="G72" i="5"/>
  <c r="G75" i="5"/>
  <c r="G78" i="5"/>
  <c r="I78" i="5" s="1"/>
  <c r="G85" i="5"/>
  <c r="G99" i="5"/>
  <c r="J10" i="5"/>
  <c r="J22" i="5"/>
  <c r="J25" i="5"/>
  <c r="J29" i="5"/>
  <c r="J32" i="5"/>
  <c r="J35" i="5"/>
  <c r="J42" i="5"/>
  <c r="J45" i="5"/>
  <c r="J48" i="5"/>
  <c r="J51" i="5"/>
  <c r="J54" i="5"/>
  <c r="J57" i="5"/>
  <c r="J60" i="5"/>
  <c r="J63" i="5"/>
  <c r="J66" i="5"/>
  <c r="J69" i="5"/>
  <c r="J72" i="5"/>
  <c r="J75" i="5"/>
  <c r="J78" i="5"/>
  <c r="L78" i="5" s="1"/>
  <c r="J85" i="5"/>
  <c r="J99" i="5"/>
  <c r="Y20" i="5"/>
  <c r="Y16" i="5" s="1"/>
  <c r="Y35" i="5"/>
  <c r="Y44" i="5"/>
  <c r="Y49" i="5"/>
  <c r="Y58" i="5"/>
  <c r="Y57" i="5" s="1"/>
  <c r="Y69" i="5"/>
  <c r="Y65" i="5" s="1"/>
  <c r="Y83" i="5"/>
  <c r="Y91" i="5"/>
  <c r="Y96" i="5"/>
  <c r="Y105" i="5"/>
  <c r="Y104" i="5" s="1"/>
  <c r="Y114" i="5"/>
  <c r="Y123" i="5"/>
  <c r="Y141" i="5"/>
  <c r="Y149" i="5"/>
  <c r="Y147" i="5" s="1"/>
  <c r="Y145" i="5" s="1"/>
  <c r="Y172" i="5"/>
  <c r="Y176" i="5"/>
  <c r="Y187" i="5"/>
  <c r="Y185" i="5" s="1"/>
  <c r="Y203" i="5"/>
  <c r="Y211" i="5"/>
  <c r="Y210" i="5" s="1"/>
  <c r="Y209" i="5" s="1"/>
  <c r="Y207" i="5" s="1"/>
  <c r="Y222" i="5"/>
  <c r="Y227" i="5"/>
  <c r="Y235" i="5"/>
  <c r="Y243" i="5"/>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3" i="5"/>
  <c r="AB211" i="5"/>
  <c r="AB210" i="5" s="1"/>
  <c r="AB209" i="5" s="1"/>
  <c r="AB207" i="5" s="1"/>
  <c r="AB222" i="5"/>
  <c r="AB227" i="5"/>
  <c r="AB235" i="5"/>
  <c r="AB243" i="5"/>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3" i="5"/>
  <c r="AE194" i="5" s="1"/>
  <c r="AE193" i="5" s="1"/>
  <c r="AE211" i="5"/>
  <c r="AE210" i="5" s="1"/>
  <c r="AE209" i="5" s="1"/>
  <c r="AE207" i="5" s="1"/>
  <c r="AE222" i="5"/>
  <c r="AE227" i="5"/>
  <c r="AE235" i="5"/>
  <c r="AE243" i="5"/>
  <c r="AL20" i="5"/>
  <c r="AL16" i="5" s="1"/>
  <c r="AL35" i="5"/>
  <c r="AL44" i="5"/>
  <c r="AL49" i="5"/>
  <c r="AL58" i="5"/>
  <c r="AL57" i="5" s="1"/>
  <c r="AL69" i="5"/>
  <c r="AL65" i="5" s="1"/>
  <c r="AL83" i="5"/>
  <c r="AL91" i="5"/>
  <c r="AL96" i="5"/>
  <c r="AL105" i="5"/>
  <c r="AL104" i="5" s="1"/>
  <c r="AL114" i="5"/>
  <c r="AL123" i="5"/>
  <c r="AL141" i="5"/>
  <c r="AL149" i="5"/>
  <c r="AL147" i="5" s="1"/>
  <c r="AL145" i="5" s="1"/>
  <c r="AL172" i="5"/>
  <c r="AL176" i="5"/>
  <c r="AL185" i="5"/>
  <c r="AL203" i="5"/>
  <c r="AL194" i="5" s="1"/>
  <c r="AL193" i="5" s="1"/>
  <c r="AL211" i="5"/>
  <c r="AL210" i="5" s="1"/>
  <c r="AL209" i="5" s="1"/>
  <c r="AL207" i="5" s="1"/>
  <c r="AL222" i="5"/>
  <c r="AL227" i="5"/>
  <c r="AL220" i="5" s="1"/>
  <c r="AL235" i="5"/>
  <c r="AL243" i="5"/>
  <c r="AM20" i="5"/>
  <c r="AM16" i="5" s="1"/>
  <c r="AM114" i="5"/>
  <c r="AM211" i="5"/>
  <c r="AM210" i="5" s="1"/>
  <c r="AM209" i="5" s="1"/>
  <c r="AM207" i="5" s="1"/>
  <c r="AT11" i="5"/>
  <c r="AT21" i="5"/>
  <c r="I80" i="16"/>
  <c r="AT26" i="5"/>
  <c r="AL20" i="6"/>
  <c r="AL16" i="6" s="1"/>
  <c r="AL35" i="6"/>
  <c r="AL44" i="6"/>
  <c r="AL49" i="6"/>
  <c r="AL58" i="6"/>
  <c r="AL57" i="6" s="1"/>
  <c r="AL69" i="6"/>
  <c r="AL65" i="6" s="1"/>
  <c r="AL83" i="6"/>
  <c r="AL91" i="6"/>
  <c r="AL96" i="6"/>
  <c r="AL90" i="6" s="1"/>
  <c r="AL105" i="6"/>
  <c r="AL104" i="6" s="1"/>
  <c r="AL114" i="6"/>
  <c r="AL123" i="6"/>
  <c r="AL141" i="6"/>
  <c r="AL149" i="6"/>
  <c r="AL147" i="6" s="1"/>
  <c r="AL155" i="6"/>
  <c r="AL172" i="6"/>
  <c r="AL176" i="6"/>
  <c r="AL185" i="6"/>
  <c r="AL203" i="6"/>
  <c r="AL211" i="6"/>
  <c r="AL210" i="6" s="1"/>
  <c r="AL209" i="6" s="1"/>
  <c r="AL207" i="6" s="1"/>
  <c r="AL222" i="6"/>
  <c r="AL227" i="6"/>
  <c r="AL220" i="6" s="1"/>
  <c r="AL243" i="6"/>
  <c r="AL234" i="6" s="1"/>
  <c r="AL232" i="6" s="1"/>
  <c r="AM20" i="6"/>
  <c r="AM16" i="6" s="1"/>
  <c r="AM44" i="6"/>
  <c r="AM43" i="6" s="1"/>
  <c r="AM83" i="6"/>
  <c r="AM114" i="6"/>
  <c r="AM211" i="6"/>
  <c r="AM210" i="6" s="1"/>
  <c r="AM209" i="6" s="1"/>
  <c r="AM207" i="6" s="1"/>
  <c r="AM243" i="6"/>
  <c r="AM234" i="6" s="1"/>
  <c r="AM232" i="6" s="1"/>
  <c r="AT26" i="6"/>
  <c r="AS6" i="7"/>
  <c r="AL20" i="7"/>
  <c r="AL16" i="7"/>
  <c r="AL35" i="7"/>
  <c r="AL44" i="7"/>
  <c r="AL49" i="7"/>
  <c r="AL58" i="7"/>
  <c r="AL57" i="7" s="1"/>
  <c r="AL69" i="7"/>
  <c r="AL65" i="7" s="1"/>
  <c r="AL83" i="7"/>
  <c r="AL91" i="7"/>
  <c r="AL96" i="7"/>
  <c r="AL105" i="7"/>
  <c r="AL104" i="7" s="1"/>
  <c r="AL114" i="7"/>
  <c r="AL123" i="7"/>
  <c r="AL141" i="7"/>
  <c r="AL149" i="7"/>
  <c r="AL147" i="7" s="1"/>
  <c r="AL155" i="7"/>
  <c r="AL172" i="7"/>
  <c r="AL176" i="7"/>
  <c r="AL185" i="7"/>
  <c r="AL203" i="7"/>
  <c r="AL211" i="7"/>
  <c r="AL210" i="7" s="1"/>
  <c r="AL209" i="7" s="1"/>
  <c r="AL207" i="7" s="1"/>
  <c r="AL222" i="7"/>
  <c r="AL227" i="7"/>
  <c r="AL243" i="7"/>
  <c r="AL234" i="7" s="1"/>
  <c r="AL232" i="7" s="1"/>
  <c r="AM16" i="7"/>
  <c r="AM114" i="7"/>
  <c r="AM211" i="7"/>
  <c r="AM210" i="7" s="1"/>
  <c r="AM209" i="7" s="1"/>
  <c r="AM207" i="7" s="1"/>
  <c r="AT11" i="7"/>
  <c r="BL17" i="7"/>
  <c r="BL17" i="10" s="1"/>
  <c r="BL17" i="13" s="1"/>
  <c r="BL17" i="16" s="1"/>
  <c r="AS21" i="7"/>
  <c r="AT26" i="7"/>
  <c r="BE7" i="8"/>
  <c r="Z20" i="8"/>
  <c r="Z16" i="8" s="1"/>
  <c r="AC20" i="8"/>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185" i="8"/>
  <c r="AL203" i="8"/>
  <c r="AL211" i="8"/>
  <c r="AL210" i="8" s="1"/>
  <c r="AL209" i="8" s="1"/>
  <c r="AL207" i="8" s="1"/>
  <c r="AL222" i="8"/>
  <c r="AL227" i="8"/>
  <c r="AL243" i="8"/>
  <c r="AM114" i="8"/>
  <c r="AM211" i="8"/>
  <c r="AM210" i="8" s="1"/>
  <c r="AM209" i="8" s="1"/>
  <c r="AM207" i="8" s="1"/>
  <c r="AT11" i="8"/>
  <c r="AT26" i="8"/>
  <c r="AS6" i="9"/>
  <c r="B24" i="8"/>
  <c r="B24" i="9" s="1"/>
  <c r="B24" i="10" s="1"/>
  <c r="B24" i="11" s="1"/>
  <c r="B24" i="12" s="1"/>
  <c r="B24" i="13" s="1"/>
  <c r="B24" i="14" s="1"/>
  <c r="B24" i="15" s="1"/>
  <c r="B24" i="16" s="1"/>
  <c r="B12" i="7"/>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185" i="9"/>
  <c r="AL203" i="9"/>
  <c r="AL211" i="9"/>
  <c r="AL210" i="9" s="1"/>
  <c r="AL209" i="9" s="1"/>
  <c r="AL207" i="9" s="1"/>
  <c r="AL222" i="9"/>
  <c r="AL227" i="9"/>
  <c r="AL243" i="9"/>
  <c r="AM114" i="9"/>
  <c r="AM211" i="9"/>
  <c r="AM210" i="9" s="1"/>
  <c r="AM209" i="9" s="1"/>
  <c r="AM207" i="9" s="1"/>
  <c r="AT11" i="9"/>
  <c r="AS21" i="9"/>
  <c r="AT26" i="9"/>
  <c r="AS21" i="10"/>
  <c r="Z20" i="10"/>
  <c r="Z16" i="10" s="1"/>
  <c r="AC20" i="10"/>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3" i="10"/>
  <c r="AL211" i="10"/>
  <c r="AL210" i="10" s="1"/>
  <c r="AL209" i="10" s="1"/>
  <c r="AL207" i="10" s="1"/>
  <c r="AL222" i="10"/>
  <c r="AL227" i="10"/>
  <c r="AL243" i="10"/>
  <c r="AL234" i="10" s="1"/>
  <c r="AL232" i="10" s="1"/>
  <c r="AM114" i="10"/>
  <c r="AM211" i="10"/>
  <c r="AM210" i="10" s="1"/>
  <c r="AM209" i="10" s="1"/>
  <c r="AM207" i="10" s="1"/>
  <c r="AT11" i="10"/>
  <c r="AT26" i="10"/>
  <c r="Z20" i="11"/>
  <c r="Z16" i="11" s="1"/>
  <c r="AC20" i="11"/>
  <c r="AC16" i="11" s="1"/>
  <c r="AL20" i="11"/>
  <c r="AL16" i="11" s="1"/>
  <c r="AL35" i="11"/>
  <c r="AL44" i="11"/>
  <c r="AL49" i="11"/>
  <c r="AL58" i="11"/>
  <c r="AL57" i="11" s="1"/>
  <c r="AL69" i="11"/>
  <c r="AL65" i="11"/>
  <c r="AL83" i="11"/>
  <c r="AL91" i="11"/>
  <c r="AL96" i="11"/>
  <c r="AL105" i="11"/>
  <c r="AL104" i="11" s="1"/>
  <c r="AL114" i="11"/>
  <c r="AL123" i="11"/>
  <c r="AL141" i="11"/>
  <c r="AL149" i="11"/>
  <c r="AL147" i="11" s="1"/>
  <c r="AL155" i="11"/>
  <c r="AL172" i="11"/>
  <c r="AL176" i="11"/>
  <c r="AL185" i="11"/>
  <c r="AL203" i="11"/>
  <c r="AL194" i="11"/>
  <c r="AL193" i="11" s="1"/>
  <c r="AL211" i="11"/>
  <c r="AL210" i="11" s="1"/>
  <c r="AL209" i="11" s="1"/>
  <c r="AL207" i="11" s="1"/>
  <c r="AL222" i="11"/>
  <c r="AL227" i="11"/>
  <c r="AL243" i="11"/>
  <c r="AL234" i="11" s="1"/>
  <c r="AL232" i="11" s="1"/>
  <c r="AM20" i="11"/>
  <c r="AM16" i="11" s="1"/>
  <c r="AM114" i="11"/>
  <c r="AM211" i="11"/>
  <c r="AM210" i="11"/>
  <c r="AM209" i="11" s="1"/>
  <c r="AM207" i="11" s="1"/>
  <c r="AT11" i="11"/>
  <c r="AT26" i="11"/>
  <c r="BE7" i="12"/>
  <c r="Z20" i="12"/>
  <c r="AC20" i="12"/>
  <c r="AC16" i="12" s="1"/>
  <c r="AL20" i="12"/>
  <c r="AL16" i="12" s="1"/>
  <c r="AL35" i="12"/>
  <c r="AL44" i="12"/>
  <c r="AL49" i="12"/>
  <c r="AL58" i="12"/>
  <c r="AL57" i="12"/>
  <c r="AL69" i="12"/>
  <c r="AL65" i="12" s="1"/>
  <c r="AL83" i="12"/>
  <c r="AL91" i="12"/>
  <c r="AL96" i="12"/>
  <c r="AL105" i="12"/>
  <c r="AL104" i="12"/>
  <c r="AL114" i="12"/>
  <c r="AL123" i="12"/>
  <c r="AL141" i="12"/>
  <c r="AL155" i="12"/>
  <c r="AL149" i="12"/>
  <c r="AL147" i="12"/>
  <c r="AL172" i="12"/>
  <c r="AL176" i="12"/>
  <c r="AL185" i="12"/>
  <c r="AL203" i="12"/>
  <c r="AL194" i="12" s="1"/>
  <c r="AL193" i="12" s="1"/>
  <c r="AL211" i="12"/>
  <c r="AL210" i="12" s="1"/>
  <c r="AL209" i="12" s="1"/>
  <c r="AL207" i="12" s="1"/>
  <c r="AL222" i="12"/>
  <c r="AL227" i="12"/>
  <c r="AL243" i="12"/>
  <c r="AL234" i="12" s="1"/>
  <c r="AL232" i="12" s="1"/>
  <c r="AM20" i="12"/>
  <c r="AM16" i="12" s="1"/>
  <c r="AM114" i="12"/>
  <c r="AM211" i="12"/>
  <c r="AM210" i="12" s="1"/>
  <c r="AM209" i="12" s="1"/>
  <c r="AM207" i="12" s="1"/>
  <c r="AT11" i="12"/>
  <c r="AT26" i="12"/>
  <c r="AS6" i="13"/>
  <c r="Z20" i="13"/>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185" i="13"/>
  <c r="AL203" i="13"/>
  <c r="AL194" i="13" s="1"/>
  <c r="AL193" i="13" s="1"/>
  <c r="AL211" i="13"/>
  <c r="AL210" i="13" s="1"/>
  <c r="AL209" i="13" s="1"/>
  <c r="AL207" i="13" s="1"/>
  <c r="AL222" i="13"/>
  <c r="AL227" i="13"/>
  <c r="AL243" i="13"/>
  <c r="AL234" i="13" s="1"/>
  <c r="AL232" i="13" s="1"/>
  <c r="AM20" i="13"/>
  <c r="AM114" i="13"/>
  <c r="AM211" i="13"/>
  <c r="AM210" i="13" s="1"/>
  <c r="AM209" i="13" s="1"/>
  <c r="AM207" i="13" s="1"/>
  <c r="AT11" i="13"/>
  <c r="AR21" i="13"/>
  <c r="AT21" i="13"/>
  <c r="AT26" i="13"/>
  <c r="Z20" i="14"/>
  <c r="Z16" i="14" s="1"/>
  <c r="Z243" i="14"/>
  <c r="AC20" i="14"/>
  <c r="AC243" i="14"/>
  <c r="AL20" i="14"/>
  <c r="AL16" i="14" s="1"/>
  <c r="AL35" i="14"/>
  <c r="AL44" i="14"/>
  <c r="AL49" i="14"/>
  <c r="AL43" i="14" s="1"/>
  <c r="AL58" i="14"/>
  <c r="AL57" i="14" s="1"/>
  <c r="AL69" i="14"/>
  <c r="AL65" i="14"/>
  <c r="AL83" i="14"/>
  <c r="AL91" i="14"/>
  <c r="AL96" i="14"/>
  <c r="AL105" i="14"/>
  <c r="AL104" i="14" s="1"/>
  <c r="AL114" i="14"/>
  <c r="AL123" i="14"/>
  <c r="AL141" i="14"/>
  <c r="AL149" i="14"/>
  <c r="AL147" i="14" s="1"/>
  <c r="AL155" i="14"/>
  <c r="AL172" i="14"/>
  <c r="AL176" i="14"/>
  <c r="AL185" i="14"/>
  <c r="AL203" i="14"/>
  <c r="AL194" i="14" s="1"/>
  <c r="AL193" i="14" s="1"/>
  <c r="AL211" i="14"/>
  <c r="AL210" i="14" s="1"/>
  <c r="AL209" i="14" s="1"/>
  <c r="AL207" i="14" s="1"/>
  <c r="AL222" i="14"/>
  <c r="AL227" i="14"/>
  <c r="AL220" i="14" s="1"/>
  <c r="AL243" i="14"/>
  <c r="AL234" i="14" s="1"/>
  <c r="AL232" i="14" s="1"/>
  <c r="AM114" i="14"/>
  <c r="AM211" i="14"/>
  <c r="AM210" i="14" s="1"/>
  <c r="AM209" i="14" s="1"/>
  <c r="AM207" i="14" s="1"/>
  <c r="AT11" i="14"/>
  <c r="AT21" i="14"/>
  <c r="AT26" i="14"/>
  <c r="BE7" i="15"/>
  <c r="Z20" i="15"/>
  <c r="Z16" i="15" s="1"/>
  <c r="Z243" i="15"/>
  <c r="AC20" i="15"/>
  <c r="AC243" i="15"/>
  <c r="AL20" i="15"/>
  <c r="AL16" i="15" s="1"/>
  <c r="AL35" i="15"/>
  <c r="AL44" i="15"/>
  <c r="AL49" i="15"/>
  <c r="AL58" i="15"/>
  <c r="AL57" i="15" s="1"/>
  <c r="AL69" i="15"/>
  <c r="AL65" i="15" s="1"/>
  <c r="AL83" i="15"/>
  <c r="AL91" i="15"/>
  <c r="AL96" i="15"/>
  <c r="AL90" i="15" s="1"/>
  <c r="AL105" i="15"/>
  <c r="AL104" i="15" s="1"/>
  <c r="AL114" i="15"/>
  <c r="AL123" i="15"/>
  <c r="AL141" i="15"/>
  <c r="AL149" i="15"/>
  <c r="AL147" i="15" s="1"/>
  <c r="AL155" i="15"/>
  <c r="AL172" i="15"/>
  <c r="AL176" i="15"/>
  <c r="AL185" i="15"/>
  <c r="AL203" i="15"/>
  <c r="AL194" i="15" s="1"/>
  <c r="AL193" i="15" s="1"/>
  <c r="AL211" i="15"/>
  <c r="AL210" i="15" s="1"/>
  <c r="AL209" i="15" s="1"/>
  <c r="AL207" i="15" s="1"/>
  <c r="AL222" i="15"/>
  <c r="AL227" i="15"/>
  <c r="AL243" i="15"/>
  <c r="AM16" i="15"/>
  <c r="AM114" i="15"/>
  <c r="AM211" i="15"/>
  <c r="AM210" i="15" s="1"/>
  <c r="AM209" i="15" s="1"/>
  <c r="AM207" i="15" s="1"/>
  <c r="AT11" i="15"/>
  <c r="AT26" i="15"/>
  <c r="BE7" i="16"/>
  <c r="Z20" i="16"/>
  <c r="Z16" i="16" s="1"/>
  <c r="Z243" i="16"/>
  <c r="AC20" i="16"/>
  <c r="AC243" i="16"/>
  <c r="AL20" i="16"/>
  <c r="AL16" i="16" s="1"/>
  <c r="AL35" i="16"/>
  <c r="AL44" i="16"/>
  <c r="AL49" i="16"/>
  <c r="AL58" i="16"/>
  <c r="AL57" i="16"/>
  <c r="AL69" i="16"/>
  <c r="AL65" i="16" s="1"/>
  <c r="AL83" i="16"/>
  <c r="AL91" i="16"/>
  <c r="AL96" i="16"/>
  <c r="AL105" i="16"/>
  <c r="AL104" i="16" s="1"/>
  <c r="AL114" i="16"/>
  <c r="AL123" i="16"/>
  <c r="AL141" i="16"/>
  <c r="AL149" i="16"/>
  <c r="AL147" i="16" s="1"/>
  <c r="AL155" i="16"/>
  <c r="AL172" i="16"/>
  <c r="AL176" i="16"/>
  <c r="AL185" i="16"/>
  <c r="AL203" i="16"/>
  <c r="AL194" i="16" s="1"/>
  <c r="AL193" i="16" s="1"/>
  <c r="AL211" i="16"/>
  <c r="AL210" i="16" s="1"/>
  <c r="AL209" i="16" s="1"/>
  <c r="AL207" i="16" s="1"/>
  <c r="AL222" i="16"/>
  <c r="AL227" i="16"/>
  <c r="AL243" i="16"/>
  <c r="AL234" i="16" s="1"/>
  <c r="AL232" i="16" s="1"/>
  <c r="AM114" i="16"/>
  <c r="AM211" i="16"/>
  <c r="AM210" i="16" s="1"/>
  <c r="AM209" i="16" s="1"/>
  <c r="AM207" i="16" s="1"/>
  <c r="AT11" i="16"/>
  <c r="AT26" i="16"/>
  <c r="AT6" i="9"/>
  <c r="AR21" i="16"/>
  <c r="AT6" i="12"/>
  <c r="AL194" i="7"/>
  <c r="AL193" i="7" s="1"/>
  <c r="AT6" i="10"/>
  <c r="AL194" i="9"/>
  <c r="AL193" i="9" s="1"/>
  <c r="AS21" i="16"/>
  <c r="AT6" i="16"/>
  <c r="AT6" i="8"/>
  <c r="AT6" i="7"/>
  <c r="AT6" i="14"/>
  <c r="AS21" i="14"/>
  <c r="AT6" i="13"/>
  <c r="AL194" i="6"/>
  <c r="AL193" i="6"/>
  <c r="AR12" i="5"/>
  <c r="AW12" i="5"/>
  <c r="AS6" i="5"/>
  <c r="AS21" i="5"/>
  <c r="Y234" i="5"/>
  <c r="Y232" i="5" s="1"/>
  <c r="AT6" i="5"/>
  <c r="AE90" i="5"/>
  <c r="BJ5" i="6"/>
  <c r="AR10" i="5"/>
  <c r="AJ3" i="5"/>
  <c r="AS21" i="13"/>
  <c r="AT21" i="12"/>
  <c r="AT21" i="7"/>
  <c r="AR21" i="7"/>
  <c r="AS6" i="10"/>
  <c r="AR21" i="10"/>
  <c r="AT21" i="9"/>
  <c r="AR21" i="9"/>
  <c r="BD21" i="5"/>
  <c r="AW10" i="5"/>
  <c r="BC5" i="14"/>
  <c r="BH5" i="14"/>
  <c r="AW19" i="6"/>
  <c r="T8" i="8"/>
  <c r="T8" i="9" s="1"/>
  <c r="T8" i="10" s="1"/>
  <c r="T8" i="11" s="1"/>
  <c r="T8" i="12" s="1"/>
  <c r="T8" i="13" s="1"/>
  <c r="T8" i="14" s="1"/>
  <c r="T8" i="15" s="1"/>
  <c r="T8" i="16" s="1"/>
  <c r="BR21" i="16"/>
  <c r="BE7" i="14"/>
  <c r="BO26" i="5"/>
  <c r="BD15" i="5"/>
  <c r="BD16" i="5"/>
  <c r="BO20" i="5"/>
  <c r="AW13" i="5"/>
  <c r="BD11" i="5"/>
  <c r="AL234" i="9"/>
  <c r="AL232" i="9" s="1"/>
  <c r="AB220" i="5"/>
  <c r="AR13" i="5"/>
  <c r="AW11" i="5"/>
  <c r="AR11" i="5"/>
  <c r="AL112" i="7"/>
  <c r="AL220" i="13"/>
  <c r="AL234" i="8"/>
  <c r="AL232" i="8" s="1"/>
  <c r="AB194" i="5"/>
  <c r="AB193" i="5" s="1"/>
  <c r="AL194" i="8"/>
  <c r="AL193" i="8" s="1"/>
  <c r="AE43" i="5"/>
  <c r="AL234" i="15"/>
  <c r="AL232" i="15" s="1"/>
  <c r="T33" i="10"/>
  <c r="T33" i="11" s="1"/>
  <c r="BE7" i="7"/>
  <c r="BE7" i="13"/>
  <c r="BE7" i="11"/>
  <c r="BE7" i="10"/>
  <c r="BE7" i="9"/>
  <c r="AL170" i="16"/>
  <c r="AL43" i="7"/>
  <c r="AL112" i="11"/>
  <c r="AL43" i="5"/>
  <c r="BE7" i="5"/>
  <c r="AW19" i="16"/>
  <c r="AR16" i="5"/>
  <c r="AX16" i="5" s="1"/>
  <c r="BD7" i="5"/>
  <c r="AS16" i="5"/>
  <c r="AM243" i="5"/>
  <c r="AM243" i="16"/>
  <c r="AM234" i="16" s="1"/>
  <c r="AM232" i="16" s="1"/>
  <c r="AM243" i="14"/>
  <c r="AM243" i="12"/>
  <c r="AM234" i="12" s="1"/>
  <c r="AM232" i="12" s="1"/>
  <c r="AM243" i="10"/>
  <c r="AM234" i="10" s="1"/>
  <c r="AM232" i="10" s="1"/>
  <c r="AM243" i="8"/>
  <c r="AM234" i="8" s="1"/>
  <c r="AM232" i="8" s="1"/>
  <c r="AM234" i="14"/>
  <c r="AM232" i="14"/>
  <c r="AM234" i="13"/>
  <c r="AM232" i="13" s="1"/>
  <c r="AM234" i="7"/>
  <c r="AM232" i="7" s="1"/>
  <c r="AM235" i="5"/>
  <c r="AM227" i="16"/>
  <c r="AM227" i="14"/>
  <c r="AM227" i="12"/>
  <c r="AM227" i="10"/>
  <c r="AM227" i="8"/>
  <c r="AM227" i="6"/>
  <c r="AM227" i="5"/>
  <c r="AM220" i="15"/>
  <c r="AM220" i="13"/>
  <c r="AM220" i="11"/>
  <c r="AM220" i="9"/>
  <c r="AM220" i="7"/>
  <c r="AM222" i="16"/>
  <c r="AM222" i="14"/>
  <c r="AM220" i="14" s="1"/>
  <c r="AM222" i="12"/>
  <c r="AM222" i="10"/>
  <c r="AM222" i="8"/>
  <c r="AM220" i="8" s="1"/>
  <c r="AM222" i="6"/>
  <c r="AM220" i="6" s="1"/>
  <c r="AM222" i="5"/>
  <c r="AM203" i="5"/>
  <c r="AM194" i="5" s="1"/>
  <c r="AM193" i="5" s="1"/>
  <c r="AM194" i="7"/>
  <c r="AM193" i="7" s="1"/>
  <c r="AM194" i="16"/>
  <c r="AM193" i="16" s="1"/>
  <c r="AM194" i="15"/>
  <c r="AM193" i="15" s="1"/>
  <c r="AM194" i="11"/>
  <c r="AM193" i="11" s="1"/>
  <c r="AM194" i="10"/>
  <c r="AM193" i="10" s="1"/>
  <c r="AM194" i="8"/>
  <c r="AM193" i="8" s="1"/>
  <c r="AM194" i="6"/>
  <c r="AM193" i="6" s="1"/>
  <c r="AM187" i="5"/>
  <c r="AM185" i="5" s="1"/>
  <c r="AM185" i="16"/>
  <c r="AM170" i="16" s="1"/>
  <c r="AM185" i="14"/>
  <c r="AM185" i="12"/>
  <c r="AM185" i="10"/>
  <c r="AM170" i="10" s="1"/>
  <c r="AM185" i="8"/>
  <c r="AM170" i="8" s="1"/>
  <c r="AM185" i="6"/>
  <c r="AM170" i="6" s="1"/>
  <c r="AM185" i="15"/>
  <c r="AM170" i="15" s="1"/>
  <c r="AM185" i="13"/>
  <c r="AM185" i="11"/>
  <c r="AM170" i="11" s="1"/>
  <c r="AM185" i="9"/>
  <c r="AM170" i="9" s="1"/>
  <c r="AM185" i="7"/>
  <c r="AM176" i="14"/>
  <c r="AM176" i="12"/>
  <c r="AM176" i="5"/>
  <c r="AM176" i="7"/>
  <c r="AM170" i="7" s="1"/>
  <c r="AL170" i="12"/>
  <c r="AM170" i="13"/>
  <c r="AM172" i="5"/>
  <c r="AM155" i="16"/>
  <c r="AM155" i="12"/>
  <c r="AM155" i="10"/>
  <c r="AM155" i="8"/>
  <c r="AM155" i="6"/>
  <c r="AM155" i="15"/>
  <c r="AM155" i="13"/>
  <c r="AM155" i="11"/>
  <c r="AM155" i="9"/>
  <c r="AM155" i="7"/>
  <c r="AM155" i="5"/>
  <c r="AM149" i="5"/>
  <c r="AM147" i="5" s="1"/>
  <c r="AM145" i="5" s="1"/>
  <c r="AM147" i="16"/>
  <c r="AM147" i="14"/>
  <c r="AM141" i="14"/>
  <c r="AM147" i="12"/>
  <c r="AM147" i="10"/>
  <c r="AM141" i="10"/>
  <c r="AM112" i="10" s="1"/>
  <c r="AM147" i="8"/>
  <c r="AM147" i="6"/>
  <c r="AM147" i="15"/>
  <c r="AM145" i="15" s="1"/>
  <c r="AM147" i="13"/>
  <c r="AM145" i="13" s="1"/>
  <c r="AM141" i="13"/>
  <c r="AM147" i="9"/>
  <c r="AM141" i="9"/>
  <c r="AM112" i="9" s="1"/>
  <c r="AM147" i="7"/>
  <c r="AM141" i="5"/>
  <c r="AM141" i="16"/>
  <c r="AM141" i="15"/>
  <c r="AM141" i="12"/>
  <c r="AM112" i="12" s="1"/>
  <c r="AM141" i="11"/>
  <c r="AM112" i="11" s="1"/>
  <c r="AM141" i="8"/>
  <c r="AM112" i="8" s="1"/>
  <c r="AM141" i="7"/>
  <c r="AM141" i="6"/>
  <c r="AM123" i="5"/>
  <c r="AM105" i="16"/>
  <c r="AM104" i="16" s="1"/>
  <c r="AM105" i="14"/>
  <c r="AM104" i="14" s="1"/>
  <c r="AM105" i="12"/>
  <c r="AM104" i="12" s="1"/>
  <c r="AM105" i="10"/>
  <c r="AM104" i="10" s="1"/>
  <c r="AM105" i="8"/>
  <c r="AM104" i="8" s="1"/>
  <c r="AM105" i="6"/>
  <c r="AM104" i="6" s="1"/>
  <c r="AM105" i="5"/>
  <c r="AM104" i="5"/>
  <c r="AM96" i="5"/>
  <c r="AM90" i="15"/>
  <c r="AM90" i="13"/>
  <c r="AM90" i="7"/>
  <c r="AM91" i="16"/>
  <c r="AM90" i="16" s="1"/>
  <c r="AM91" i="14"/>
  <c r="AM90" i="14" s="1"/>
  <c r="AM69" i="14"/>
  <c r="AM65" i="14" s="1"/>
  <c r="AM83" i="14"/>
  <c r="AM91" i="12"/>
  <c r="AM90" i="12" s="1"/>
  <c r="AM91" i="10"/>
  <c r="AM90" i="10" s="1"/>
  <c r="AM69" i="10"/>
  <c r="AM65" i="10" s="1"/>
  <c r="AM91" i="8"/>
  <c r="AM90" i="8" s="1"/>
  <c r="AM91" i="6"/>
  <c r="AM90" i="6" s="1"/>
  <c r="AM91" i="5"/>
  <c r="AM83" i="5"/>
  <c r="AM83" i="11"/>
  <c r="AM83" i="8"/>
  <c r="AM69" i="5"/>
  <c r="AM65" i="5" s="1"/>
  <c r="AM69" i="16"/>
  <c r="AM65" i="16" s="1"/>
  <c r="AM69" i="15"/>
  <c r="AM65" i="15"/>
  <c r="AM63" i="15" s="1"/>
  <c r="AM69" i="13"/>
  <c r="AM69" i="12"/>
  <c r="AM69" i="11"/>
  <c r="AM65" i="11" s="1"/>
  <c r="AM63" i="11" s="1"/>
  <c r="AM69" i="8"/>
  <c r="AM65" i="8" s="1"/>
  <c r="AM69" i="7"/>
  <c r="AM65" i="7" s="1"/>
  <c r="AM69" i="6"/>
  <c r="AM65" i="6" s="1"/>
  <c r="AM65" i="12"/>
  <c r="AM43" i="15"/>
  <c r="AM14" i="15" s="1"/>
  <c r="AM65" i="13"/>
  <c r="AM63" i="13" s="1"/>
  <c r="AM58" i="12"/>
  <c r="AM57" i="12" s="1"/>
  <c r="AM58" i="5"/>
  <c r="AM57" i="5"/>
  <c r="AM58" i="7"/>
  <c r="AM57" i="7" s="1"/>
  <c r="AM49" i="5"/>
  <c r="AM43" i="14"/>
  <c r="AM43" i="13"/>
  <c r="AM43" i="12"/>
  <c r="AM43" i="11"/>
  <c r="AM43" i="10"/>
  <c r="AM43" i="8"/>
  <c r="AM43" i="7"/>
  <c r="AM44" i="5"/>
  <c r="AM43" i="5" s="1"/>
  <c r="AM35" i="5"/>
  <c r="AM20" i="14"/>
  <c r="AM16" i="14" s="1"/>
  <c r="AM14" i="14" s="1"/>
  <c r="AM20" i="10"/>
  <c r="AM16" i="10" s="1"/>
  <c r="AM14" i="10" s="1"/>
  <c r="AM20" i="8"/>
  <c r="AM16" i="8" s="1"/>
  <c r="AM14" i="8" s="1"/>
  <c r="AM16" i="13"/>
  <c r="BN11" i="5"/>
  <c r="BN23" i="5"/>
  <c r="AM234" i="15"/>
  <c r="AM232" i="15" s="1"/>
  <c r="AM234" i="11"/>
  <c r="AM232" i="11" s="1"/>
  <c r="BN23" i="9"/>
  <c r="BN11" i="14"/>
  <c r="Z243" i="12"/>
  <c r="Z243" i="11"/>
  <c r="Z243" i="10"/>
  <c r="Z243" i="9"/>
  <c r="Z243" i="8"/>
  <c r="Z235" i="15"/>
  <c r="Z234" i="15" s="1"/>
  <c r="Z232" i="15" s="1"/>
  <c r="Z235" i="13"/>
  <c r="Z234" i="13" s="1"/>
  <c r="Z232" i="13" s="1"/>
  <c r="Z235" i="11"/>
  <c r="Z235" i="9"/>
  <c r="Z235" i="16"/>
  <c r="Z234" i="16" s="1"/>
  <c r="Z232" i="16" s="1"/>
  <c r="Z235" i="14"/>
  <c r="Z235" i="12"/>
  <c r="Z235" i="10"/>
  <c r="Z235" i="8"/>
  <c r="Z227" i="14"/>
  <c r="Z227" i="12"/>
  <c r="Z227" i="10"/>
  <c r="Z227" i="8"/>
  <c r="Z227" i="16"/>
  <c r="Z227" i="15"/>
  <c r="Z227" i="13"/>
  <c r="Z227" i="11"/>
  <c r="Z227" i="9"/>
  <c r="Z222" i="15"/>
  <c r="Z220" i="15" s="1"/>
  <c r="Z222" i="12"/>
  <c r="Z220" i="12" s="1"/>
  <c r="Z222" i="9"/>
  <c r="Z222" i="16"/>
  <c r="Z220" i="16" s="1"/>
  <c r="Z222" i="14"/>
  <c r="Z222" i="13"/>
  <c r="Z222" i="11"/>
  <c r="Z220" i="11" s="1"/>
  <c r="Z222" i="10"/>
  <c r="Z220" i="10" s="1"/>
  <c r="Z222" i="8"/>
  <c r="Z220" i="8" s="1"/>
  <c r="Z211" i="15"/>
  <c r="Z210" i="15"/>
  <c r="Z209" i="15" s="1"/>
  <c r="Z207" i="15" s="1"/>
  <c r="Z211" i="14"/>
  <c r="Z210" i="14" s="1"/>
  <c r="Z209" i="14" s="1"/>
  <c r="Z207" i="14" s="1"/>
  <c r="Z211" i="11"/>
  <c r="Z210" i="11" s="1"/>
  <c r="Z209" i="11" s="1"/>
  <c r="Z207" i="11" s="1"/>
  <c r="Z211" i="9"/>
  <c r="Z210" i="9"/>
  <c r="Z209" i="9" s="1"/>
  <c r="Z207" i="9" s="1"/>
  <c r="Z211" i="16"/>
  <c r="Z210" i="16" s="1"/>
  <c r="Z209" i="16" s="1"/>
  <c r="Z207" i="16" s="1"/>
  <c r="Z211" i="13"/>
  <c r="Z210" i="13" s="1"/>
  <c r="Z209" i="13" s="1"/>
  <c r="Z207" i="13" s="1"/>
  <c r="Z211" i="12"/>
  <c r="Z210" i="12" s="1"/>
  <c r="Z209" i="12" s="1"/>
  <c r="Z207" i="12" s="1"/>
  <c r="Z211" i="10"/>
  <c r="Z210" i="10"/>
  <c r="Z209" i="10" s="1"/>
  <c r="Z207" i="10" s="1"/>
  <c r="Z211" i="8"/>
  <c r="Z210" i="8" s="1"/>
  <c r="Z209" i="8" s="1"/>
  <c r="Z207" i="8" s="1"/>
  <c r="Z203" i="16"/>
  <c r="Z203" i="14"/>
  <c r="Z203" i="13"/>
  <c r="Z203" i="10"/>
  <c r="Z203" i="9"/>
  <c r="Z203" i="15"/>
  <c r="Z203" i="12"/>
  <c r="Z203" i="11"/>
  <c r="Z203" i="8"/>
  <c r="Z195" i="16"/>
  <c r="Z195" i="14"/>
  <c r="Z195" i="12"/>
  <c r="Z195" i="9"/>
  <c r="Z195" i="11"/>
  <c r="Z195" i="15"/>
  <c r="Z194" i="15" s="1"/>
  <c r="Z193" i="15" s="1"/>
  <c r="Z195" i="13"/>
  <c r="Z195" i="10"/>
  <c r="Z194" i="10" s="1"/>
  <c r="Z193" i="10" s="1"/>
  <c r="Z195" i="8"/>
  <c r="Z187" i="15"/>
  <c r="Z185" i="15" s="1"/>
  <c r="Z187" i="14"/>
  <c r="Z185" i="14" s="1"/>
  <c r="Z187" i="13"/>
  <c r="Z185" i="13" s="1"/>
  <c r="Z187" i="12"/>
  <c r="Z187" i="11"/>
  <c r="Z185" i="11" s="1"/>
  <c r="Z187" i="10"/>
  <c r="Z185" i="10" s="1"/>
  <c r="Z187" i="16"/>
  <c r="Z185" i="16" s="1"/>
  <c r="Z187" i="9"/>
  <c r="Z187" i="8"/>
  <c r="Z185" i="9"/>
  <c r="Z185" i="8"/>
  <c r="Z185" i="12"/>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5" i="14" s="1"/>
  <c r="Z149" i="13"/>
  <c r="Z147" i="13" s="1"/>
  <c r="Z149" i="12"/>
  <c r="Z147" i="12" s="1"/>
  <c r="Z145" i="12" s="1"/>
  <c r="Z149" i="11"/>
  <c r="Z147" i="11" s="1"/>
  <c r="Z149" i="10"/>
  <c r="Z147" i="10" s="1"/>
  <c r="Z149" i="9"/>
  <c r="Z147" i="9" s="1"/>
  <c r="Z149" i="8"/>
  <c r="Z147" i="8" s="1"/>
  <c r="Z141" i="14"/>
  <c r="Z141" i="13"/>
  <c r="Z141" i="12"/>
  <c r="Z141" i="16"/>
  <c r="Z141" i="15"/>
  <c r="Z141" i="11"/>
  <c r="Z141" i="10"/>
  <c r="Z141" i="9"/>
  <c r="Z141" i="8"/>
  <c r="Z114" i="15"/>
  <c r="Z114" i="13"/>
  <c r="Z114" i="11"/>
  <c r="Z112" i="11" s="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3" i="9" s="1"/>
  <c r="Z44" i="8"/>
  <c r="Z44" i="14"/>
  <c r="Z44" i="13"/>
  <c r="Z16" i="13"/>
  <c r="Z35" i="13"/>
  <c r="Z35" i="16"/>
  <c r="Z35" i="14"/>
  <c r="Z35" i="12"/>
  <c r="Z35" i="11"/>
  <c r="Z35" i="10"/>
  <c r="Z35" i="9"/>
  <c r="Z35" i="8"/>
  <c r="AC16" i="16"/>
  <c r="AC16" i="8"/>
  <c r="AC16" i="15"/>
  <c r="AC16" i="14"/>
  <c r="Z16" i="12"/>
  <c r="AC16" i="10"/>
  <c r="BE21" i="6"/>
  <c r="G24" i="20" s="1"/>
  <c r="BE21" i="15"/>
  <c r="P24" i="20" s="1"/>
  <c r="BE21" i="13"/>
  <c r="N24" i="20"/>
  <c r="BE21" i="12"/>
  <c r="M24" i="20" s="1"/>
  <c r="BE21" i="10"/>
  <c r="K24" i="20" s="1"/>
  <c r="BE21" i="9"/>
  <c r="J24" i="20"/>
  <c r="BE21" i="7"/>
  <c r="H24" i="20" s="1"/>
  <c r="BE20" i="5"/>
  <c r="F23" i="20" s="1"/>
  <c r="BE21" i="5"/>
  <c r="F24" i="20" s="1"/>
  <c r="BE21" i="16"/>
  <c r="Q24" i="20" s="1"/>
  <c r="BE21" i="14"/>
  <c r="O24" i="20"/>
  <c r="BE21" i="11"/>
  <c r="L24" i="20" s="1"/>
  <c r="BE21" i="8"/>
  <c r="I24" i="20" s="1"/>
  <c r="L80" i="16"/>
  <c r="BE14" i="5"/>
  <c r="F14" i="20" s="1"/>
  <c r="BE15" i="5"/>
  <c r="F15" i="20" s="1"/>
  <c r="BE16" i="5"/>
  <c r="F16" i="20" s="1"/>
  <c r="BE17" i="5"/>
  <c r="F17" i="20" s="1"/>
  <c r="BE17" i="12"/>
  <c r="M17" i="20" s="1"/>
  <c r="BE17" i="8"/>
  <c r="I17" i="20" s="1"/>
  <c r="F13" i="20"/>
  <c r="BE11" i="5"/>
  <c r="F11" i="20" s="1"/>
  <c r="BE12" i="5"/>
  <c r="F12" i="20"/>
  <c r="BO11" i="5"/>
  <c r="BQ31" i="6"/>
  <c r="Z234" i="12"/>
  <c r="Z232" i="12" s="1"/>
  <c r="AF243" i="8"/>
  <c r="AC243" i="8"/>
  <c r="AC243" i="9"/>
  <c r="AF243" i="9"/>
  <c r="AF243" i="10"/>
  <c r="AC243" i="10"/>
  <c r="AF243" i="11"/>
  <c r="AC243" i="11"/>
  <c r="AF243" i="12"/>
  <c r="AC243" i="12"/>
  <c r="AF235" i="8"/>
  <c r="AC235" i="8"/>
  <c r="AF235" i="10"/>
  <c r="AC235" i="10"/>
  <c r="AC234" i="10" s="1"/>
  <c r="AC232" i="10" s="1"/>
  <c r="AF235" i="12"/>
  <c r="AC235" i="12"/>
  <c r="AF235" i="14"/>
  <c r="AC235" i="14"/>
  <c r="AC234" i="14" s="1"/>
  <c r="AC232" i="14" s="1"/>
  <c r="AF235" i="16"/>
  <c r="AC235" i="16"/>
  <c r="AF235" i="9"/>
  <c r="AF234" i="9" s="1"/>
  <c r="AF232" i="9" s="1"/>
  <c r="BQ29" i="9" s="1"/>
  <c r="AC235" i="9"/>
  <c r="AF235" i="11"/>
  <c r="AF234" i="11" s="1"/>
  <c r="AF232" i="11" s="1"/>
  <c r="BQ29" i="11" s="1"/>
  <c r="L53" i="20" s="1"/>
  <c r="AC235" i="11"/>
  <c r="AF235" i="13"/>
  <c r="AC235" i="13"/>
  <c r="AC234" i="13" s="1"/>
  <c r="AC232" i="13" s="1"/>
  <c r="AF235" i="15"/>
  <c r="AC235" i="15"/>
  <c r="AF227" i="13"/>
  <c r="AC227" i="13"/>
  <c r="AF227" i="16"/>
  <c r="AC227" i="16"/>
  <c r="AF227" i="8"/>
  <c r="AC227" i="8"/>
  <c r="AC227" i="10"/>
  <c r="AF227" i="10"/>
  <c r="AF227" i="9"/>
  <c r="AC227" i="9"/>
  <c r="AF227" i="11"/>
  <c r="AC227" i="11"/>
  <c r="AF227" i="15"/>
  <c r="AC227" i="15"/>
  <c r="AF227" i="12"/>
  <c r="AC227" i="12"/>
  <c r="AF227" i="14"/>
  <c r="AC227" i="14"/>
  <c r="AF222" i="8"/>
  <c r="AF220" i="8"/>
  <c r="BQ30" i="8" s="1"/>
  <c r="AC222" i="8"/>
  <c r="AC220" i="8" s="1"/>
  <c r="AC222" i="10"/>
  <c r="AC220" i="10" s="1"/>
  <c r="AF222" i="10"/>
  <c r="AF220" i="10" s="1"/>
  <c r="BQ30" i="10" s="1"/>
  <c r="AF222" i="16"/>
  <c r="AC222" i="16"/>
  <c r="AC220" i="16" s="1"/>
  <c r="AF222" i="9"/>
  <c r="AC222" i="9"/>
  <c r="AF222" i="15"/>
  <c r="AF220" i="15" s="1"/>
  <c r="BQ30" i="15" s="1"/>
  <c r="AC222" i="15"/>
  <c r="AF222" i="11"/>
  <c r="AF220" i="11" s="1"/>
  <c r="BQ30" i="11" s="1"/>
  <c r="L54" i="20" s="1"/>
  <c r="AC222" i="11"/>
  <c r="AC220" i="11" s="1"/>
  <c r="AF222" i="13"/>
  <c r="AC222" i="13"/>
  <c r="AF222" i="14"/>
  <c r="AC222" i="14"/>
  <c r="AC220" i="14" s="1"/>
  <c r="AC222" i="12"/>
  <c r="AF222" i="12"/>
  <c r="AF220" i="12" s="1"/>
  <c r="BQ30" i="12" s="1"/>
  <c r="AC211" i="10"/>
  <c r="AC210" i="10" s="1"/>
  <c r="AC209" i="10" s="1"/>
  <c r="AC207" i="10" s="1"/>
  <c r="AF211" i="10"/>
  <c r="AF210" i="10" s="1"/>
  <c r="AF209" i="10" s="1"/>
  <c r="AC211" i="12"/>
  <c r="AC210" i="12" s="1"/>
  <c r="AC209" i="12" s="1"/>
  <c r="AC207" i="12" s="1"/>
  <c r="AF211" i="12"/>
  <c r="AF210" i="12" s="1"/>
  <c r="AF209" i="12" s="1"/>
  <c r="BQ27" i="12" s="1"/>
  <c r="M51" i="20" s="1"/>
  <c r="AF211" i="13"/>
  <c r="AF210" i="13" s="1"/>
  <c r="AF209" i="13" s="1"/>
  <c r="AC211" i="13"/>
  <c r="AC210" i="13" s="1"/>
  <c r="AC209" i="13" s="1"/>
  <c r="AC207" i="13" s="1"/>
  <c r="AF211" i="16"/>
  <c r="AF210" i="16" s="1"/>
  <c r="AF209" i="16" s="1"/>
  <c r="AC211" i="16"/>
  <c r="AC210" i="16" s="1"/>
  <c r="AC209" i="16" s="1"/>
  <c r="AC207" i="16" s="1"/>
  <c r="AC211" i="8"/>
  <c r="AC210" i="8" s="1"/>
  <c r="AC209" i="8" s="1"/>
  <c r="AC207" i="8" s="1"/>
  <c r="AF211" i="8"/>
  <c r="AF210" i="8"/>
  <c r="AF209" i="8" s="1"/>
  <c r="AF207" i="8" s="1"/>
  <c r="AF211" i="9"/>
  <c r="AF210" i="9" s="1"/>
  <c r="AF209" i="9" s="1"/>
  <c r="BQ27" i="9" s="1"/>
  <c r="J51" i="20" s="1"/>
  <c r="AC211" i="9"/>
  <c r="AC210" i="9" s="1"/>
  <c r="AC209" i="9" s="1"/>
  <c r="AC207" i="9" s="1"/>
  <c r="AF211" i="11"/>
  <c r="AF210" i="11" s="1"/>
  <c r="AF209" i="11" s="1"/>
  <c r="AC211" i="11"/>
  <c r="AC210" i="11" s="1"/>
  <c r="AC209" i="11" s="1"/>
  <c r="AC207" i="11" s="1"/>
  <c r="AF211" i="14"/>
  <c r="AF210" i="14"/>
  <c r="AF209" i="14" s="1"/>
  <c r="AF207" i="14" s="1"/>
  <c r="AC211" i="14"/>
  <c r="AC210" i="14" s="1"/>
  <c r="AC209" i="14"/>
  <c r="AC207" i="14" s="1"/>
  <c r="AF211" i="15"/>
  <c r="AF210" i="15" s="1"/>
  <c r="AF209" i="15" s="1"/>
  <c r="BQ27" i="15" s="1"/>
  <c r="P51" i="20" s="1"/>
  <c r="AC211" i="15"/>
  <c r="AC210" i="15" s="1"/>
  <c r="AC209" i="15" s="1"/>
  <c r="AC207" i="15" s="1"/>
  <c r="AF203" i="8"/>
  <c r="AC203" i="8"/>
  <c r="AF203" i="11"/>
  <c r="AC203" i="11"/>
  <c r="AF203" i="12"/>
  <c r="AC203" i="12"/>
  <c r="AF203" i="15"/>
  <c r="AC203" i="15"/>
  <c r="AF203" i="9"/>
  <c r="AC203" i="9"/>
  <c r="AF203" i="10"/>
  <c r="AC203" i="10"/>
  <c r="AF203" i="13"/>
  <c r="AC203" i="13"/>
  <c r="AF203" i="14"/>
  <c r="AC203" i="14"/>
  <c r="AF203" i="16"/>
  <c r="AC203" i="16"/>
  <c r="AC195" i="8"/>
  <c r="AC195" i="10"/>
  <c r="AC195" i="13"/>
  <c r="AC195" i="15"/>
  <c r="BP26" i="5"/>
  <c r="BQ26" i="5"/>
  <c r="AC195" i="11"/>
  <c r="AC195" i="9"/>
  <c r="AC194" i="9" s="1"/>
  <c r="AC193" i="9" s="1"/>
  <c r="AC195" i="12"/>
  <c r="AC195" i="14"/>
  <c r="AC194" i="14" s="1"/>
  <c r="AC193" i="14" s="1"/>
  <c r="AC195" i="16"/>
  <c r="AF187" i="8"/>
  <c r="AF185" i="8" s="1"/>
  <c r="AC187" i="8"/>
  <c r="AC185" i="8" s="1"/>
  <c r="AF187" i="9"/>
  <c r="AF185" i="9" s="1"/>
  <c r="AC187" i="9"/>
  <c r="AC185" i="9" s="1"/>
  <c r="AF187" i="16"/>
  <c r="AC187" i="16"/>
  <c r="AF187" i="10"/>
  <c r="AF185" i="10" s="1"/>
  <c r="AC187" i="10"/>
  <c r="AC185" i="10" s="1"/>
  <c r="AF187" i="11"/>
  <c r="AF185" i="11" s="1"/>
  <c r="AC187" i="11"/>
  <c r="AC185" i="11" s="1"/>
  <c r="AF187" i="12"/>
  <c r="AF185" i="12" s="1"/>
  <c r="AC187" i="12"/>
  <c r="AC185" i="12" s="1"/>
  <c r="AF187" i="13"/>
  <c r="AF185" i="13"/>
  <c r="AC187" i="13"/>
  <c r="AC185" i="13" s="1"/>
  <c r="AF187" i="14"/>
  <c r="AF185" i="14" s="1"/>
  <c r="AC187" i="14"/>
  <c r="AC185" i="14" s="1"/>
  <c r="AF187" i="15"/>
  <c r="AF185" i="15" s="1"/>
  <c r="AC187" i="15"/>
  <c r="AC185" i="15" s="1"/>
  <c r="AC185" i="16"/>
  <c r="AC176" i="14"/>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8"/>
  <c r="AF155" i="9"/>
  <c r="BQ17" i="9" s="1"/>
  <c r="J41" i="20" s="1"/>
  <c r="AF155" i="11"/>
  <c r="AC155" i="11"/>
  <c r="AF155" i="12"/>
  <c r="AC155" i="12"/>
  <c r="AF155" i="13"/>
  <c r="AC155" i="13"/>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C149" i="15"/>
  <c r="AC147" i="15" s="1"/>
  <c r="AF149" i="16"/>
  <c r="AF147" i="16" s="1"/>
  <c r="AC149" i="16"/>
  <c r="AC147" i="16" s="1"/>
  <c r="AF147" i="15"/>
  <c r="BQ18" i="5"/>
  <c r="F42" i="20" s="1"/>
  <c r="BQ20" i="5"/>
  <c r="F44" i="20" s="1"/>
  <c r="AF141" i="8"/>
  <c r="BQ20" i="8" s="1"/>
  <c r="I44" i="20" s="1"/>
  <c r="AC141" i="8"/>
  <c r="AF141" i="9"/>
  <c r="BQ20" i="9" s="1"/>
  <c r="J44" i="20" s="1"/>
  <c r="AC141" i="9"/>
  <c r="AF141" i="10"/>
  <c r="BQ20" i="10" s="1"/>
  <c r="K44" i="20" s="1"/>
  <c r="AC141" i="10"/>
  <c r="AF141" i="11"/>
  <c r="AC141" i="11"/>
  <c r="AF141" i="15"/>
  <c r="BQ20" i="15" s="1"/>
  <c r="P44" i="20" s="1"/>
  <c r="AC141" i="15"/>
  <c r="AF141" i="16"/>
  <c r="BQ20" i="16"/>
  <c r="Q44" i="20" s="1"/>
  <c r="AC141" i="16"/>
  <c r="AF141" i="12"/>
  <c r="BQ20" i="12" s="1"/>
  <c r="M44" i="20" s="1"/>
  <c r="AC141" i="12"/>
  <c r="AF141" i="13"/>
  <c r="BQ20" i="13" s="1"/>
  <c r="N44" i="20" s="1"/>
  <c r="AC141" i="13"/>
  <c r="AF141" i="14"/>
  <c r="BQ20" i="14" s="1"/>
  <c r="O44" i="20" s="1"/>
  <c r="AC141" i="14"/>
  <c r="BP20" i="5"/>
  <c r="AF123" i="10"/>
  <c r="AC123" i="10"/>
  <c r="AF123" i="11"/>
  <c r="AC123" i="11"/>
  <c r="AF123" i="12"/>
  <c r="BQ17" i="12" s="1"/>
  <c r="M41" i="20" s="1"/>
  <c r="AC123" i="12"/>
  <c r="AF123" i="13"/>
  <c r="AC123" i="13"/>
  <c r="AF123" i="14"/>
  <c r="AC123" i="14"/>
  <c r="AF123" i="15"/>
  <c r="AC123" i="15"/>
  <c r="AF123" i="16"/>
  <c r="AC123" i="16"/>
  <c r="AC114" i="8"/>
  <c r="AF114" i="8"/>
  <c r="BQ16" i="8" s="1"/>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0" i="12" s="1"/>
  <c r="AC91" i="13"/>
  <c r="AC91" i="14"/>
  <c r="AC91" i="16"/>
  <c r="AC91" i="15"/>
  <c r="AC90" i="15" s="1"/>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Z43" i="8"/>
  <c r="AC44" i="8"/>
  <c r="AC44" i="9"/>
  <c r="AC44" i="10"/>
  <c r="AC44" i="11"/>
  <c r="AC43" i="11" s="1"/>
  <c r="AC44" i="12"/>
  <c r="AC44" i="15"/>
  <c r="AC44" i="16"/>
  <c r="AC43" i="16" s="1"/>
  <c r="AC44" i="13"/>
  <c r="AC44" i="14"/>
  <c r="BQ14" i="5"/>
  <c r="F38" i="20" s="1"/>
  <c r="AF35" i="8"/>
  <c r="AC35" i="8"/>
  <c r="AF35" i="9"/>
  <c r="AC35" i="9"/>
  <c r="AF35" i="10"/>
  <c r="BQ14" i="10" s="1"/>
  <c r="K38" i="20" s="1"/>
  <c r="AC35" i="10"/>
  <c r="AF35" i="11"/>
  <c r="AC35" i="11"/>
  <c r="AF35" i="12"/>
  <c r="AC35" i="12"/>
  <c r="AF35" i="13"/>
  <c r="AC35" i="13"/>
  <c r="AF35" i="14"/>
  <c r="BQ14" i="14" s="1"/>
  <c r="AC35" i="14"/>
  <c r="AF35" i="15"/>
  <c r="AC35" i="15"/>
  <c r="AF35" i="16"/>
  <c r="AC35" i="16"/>
  <c r="BQ31" i="5"/>
  <c r="F55" i="20" s="1"/>
  <c r="BP11" i="5"/>
  <c r="BP10" i="5"/>
  <c r="BE20" i="14"/>
  <c r="O23" i="20" s="1"/>
  <c r="BE20" i="7"/>
  <c r="H23" i="20" s="1"/>
  <c r="BE20" i="9"/>
  <c r="J23" i="20" s="1"/>
  <c r="BE20" i="12"/>
  <c r="M23" i="20" s="1"/>
  <c r="BE20" i="13"/>
  <c r="N23" i="20" s="1"/>
  <c r="BE20" i="15"/>
  <c r="P23" i="20" s="1"/>
  <c r="BE20" i="6"/>
  <c r="G23" i="20" s="1"/>
  <c r="BE20" i="8"/>
  <c r="I23" i="20" s="1"/>
  <c r="BE20" i="11"/>
  <c r="L23" i="20" s="1"/>
  <c r="BE20" i="16"/>
  <c r="Q23" i="20" s="1"/>
  <c r="BE20" i="10"/>
  <c r="K23" i="20" s="1"/>
  <c r="AS12" i="5"/>
  <c r="AX12" i="5"/>
  <c r="O22" i="20"/>
  <c r="AX13" i="5"/>
  <c r="AS13" i="5"/>
  <c r="AX11" i="5"/>
  <c r="AS11" i="5"/>
  <c r="L22" i="20"/>
  <c r="N22" i="20"/>
  <c r="BE14" i="7"/>
  <c r="H14" i="20" s="1"/>
  <c r="BE14" i="12"/>
  <c r="M14" i="20" s="1"/>
  <c r="BE14" i="13"/>
  <c r="N14" i="20" s="1"/>
  <c r="BE14" i="16"/>
  <c r="Q14" i="20" s="1"/>
  <c r="BE14" i="6"/>
  <c r="G14" i="20" s="1"/>
  <c r="BE14" i="8"/>
  <c r="I14" i="20" s="1"/>
  <c r="BE14" i="9"/>
  <c r="J14" i="20" s="1"/>
  <c r="BE14" i="10"/>
  <c r="K14" i="20" s="1"/>
  <c r="BE14" i="11"/>
  <c r="BE14" i="14"/>
  <c r="O14" i="20" s="1"/>
  <c r="BE14" i="15"/>
  <c r="P14" i="20" s="1"/>
  <c r="BE17" i="10"/>
  <c r="K17" i="20" s="1"/>
  <c r="BE17" i="14"/>
  <c r="O17" i="20" s="1"/>
  <c r="BE17" i="6"/>
  <c r="G17" i="20" s="1"/>
  <c r="BE17" i="7"/>
  <c r="H17" i="20" s="1"/>
  <c r="BE17" i="9"/>
  <c r="J17" i="20" s="1"/>
  <c r="BE17" i="11"/>
  <c r="L17" i="20" s="1"/>
  <c r="BE17" i="13"/>
  <c r="N17" i="20" s="1"/>
  <c r="BE17" i="15"/>
  <c r="P17" i="20" s="1"/>
  <c r="BE17" i="16"/>
  <c r="Q17" i="20" s="1"/>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S10" i="5"/>
  <c r="AX10" i="5"/>
  <c r="BE13" i="7"/>
  <c r="H13" i="20" s="1"/>
  <c r="BE13" i="8"/>
  <c r="I13" i="20" s="1"/>
  <c r="BE13" i="9"/>
  <c r="J13" i="20" s="1"/>
  <c r="BE13" i="10"/>
  <c r="K13" i="20" s="1"/>
  <c r="BE13" i="11"/>
  <c r="L13" i="20" s="1"/>
  <c r="BE13" i="12"/>
  <c r="M13" i="20"/>
  <c r="BE13" i="13"/>
  <c r="N13" i="20" s="1"/>
  <c r="BE13" i="14"/>
  <c r="O13" i="20" s="1"/>
  <c r="BE13" i="15"/>
  <c r="P13" i="20" s="1"/>
  <c r="BE13" i="16"/>
  <c r="Q13" i="20" s="1"/>
  <c r="G13" i="20"/>
  <c r="AX9" i="5"/>
  <c r="BE11" i="7"/>
  <c r="H11" i="20" s="1"/>
  <c r="BE11" i="8"/>
  <c r="I11" i="20" s="1"/>
  <c r="BE11" i="9"/>
  <c r="J11" i="20" s="1"/>
  <c r="BE11" i="10"/>
  <c r="K11" i="20" s="1"/>
  <c r="BE11" i="11"/>
  <c r="L11" i="20"/>
  <c r="BE11" i="12"/>
  <c r="M11" i="20" s="1"/>
  <c r="BE11" i="13"/>
  <c r="N11" i="20" s="1"/>
  <c r="BE11" i="14"/>
  <c r="BE11" i="15"/>
  <c r="P11" i="20" s="1"/>
  <c r="BE11" i="16"/>
  <c r="Q11" i="20" s="1"/>
  <c r="BE11" i="6"/>
  <c r="G11" i="20" s="1"/>
  <c r="AS8" i="5"/>
  <c r="AX8" i="5"/>
  <c r="BF11" i="7"/>
  <c r="BE12" i="7"/>
  <c r="BE12" i="8"/>
  <c r="I12" i="20"/>
  <c r="BE12" i="9"/>
  <c r="J12" i="20" s="1"/>
  <c r="BE12" i="10"/>
  <c r="K12" i="20" s="1"/>
  <c r="BE12" i="11"/>
  <c r="BE12" i="12"/>
  <c r="M12" i="20" s="1"/>
  <c r="BE12" i="13"/>
  <c r="N12" i="20" s="1"/>
  <c r="BE12" i="14"/>
  <c r="O12" i="20" s="1"/>
  <c r="BE12" i="15"/>
  <c r="P12" i="20" s="1"/>
  <c r="BE12" i="16"/>
  <c r="Q12" i="20" s="1"/>
  <c r="BE12" i="6"/>
  <c r="G12" i="20" s="1"/>
  <c r="AX7" i="5"/>
  <c r="F80" i="5"/>
  <c r="BQ27" i="5"/>
  <c r="F51" i="20" s="1"/>
  <c r="BQ27" i="7"/>
  <c r="H51" i="20" s="1"/>
  <c r="AS29" i="5"/>
  <c r="AX29" i="5" s="1"/>
  <c r="BP27" i="5"/>
  <c r="AR29" i="5"/>
  <c r="BQ26" i="16"/>
  <c r="Q50" i="20" s="1"/>
  <c r="AF195" i="16"/>
  <c r="BQ26" i="14"/>
  <c r="AF195" i="14"/>
  <c r="BQ26" i="12"/>
  <c r="M50" i="20" s="1"/>
  <c r="AF195" i="12"/>
  <c r="AF194" i="12" s="1"/>
  <c r="AF195" i="15"/>
  <c r="BQ26" i="15"/>
  <c r="P50" i="20" s="1"/>
  <c r="AF195" i="13"/>
  <c r="AF194" i="13" s="1"/>
  <c r="BQ26" i="13"/>
  <c r="BQ26" i="7"/>
  <c r="H50" i="20" s="1"/>
  <c r="AF195" i="9"/>
  <c r="AF194" i="9" s="1"/>
  <c r="BQ26" i="9"/>
  <c r="AF195" i="11"/>
  <c r="BQ26" i="11"/>
  <c r="L50" i="20" s="1"/>
  <c r="BQ26" i="10"/>
  <c r="AF195" i="10"/>
  <c r="BQ26" i="8"/>
  <c r="I50" i="20" s="1"/>
  <c r="AF195" i="8"/>
  <c r="BQ26" i="6"/>
  <c r="G50" i="20" s="1"/>
  <c r="AF176" i="8"/>
  <c r="BQ23" i="8"/>
  <c r="I47" i="20" s="1"/>
  <c r="BQ23" i="12"/>
  <c r="AF176" i="12"/>
  <c r="AF170" i="12" s="1"/>
  <c r="BQ24" i="12" s="1"/>
  <c r="M48" i="20" s="1"/>
  <c r="BQ23" i="11"/>
  <c r="L47" i="20" s="1"/>
  <c r="AF176" i="11"/>
  <c r="BQ23" i="9"/>
  <c r="J47" i="20" s="1"/>
  <c r="AF176" i="9"/>
  <c r="BQ23" i="10"/>
  <c r="K47" i="20" s="1"/>
  <c r="AF176" i="10"/>
  <c r="AF176" i="16"/>
  <c r="BQ23" i="16"/>
  <c r="BQ23" i="15"/>
  <c r="P47" i="20" s="1"/>
  <c r="AF176" i="15"/>
  <c r="BQ23" i="13"/>
  <c r="N47" i="20" s="1"/>
  <c r="AF176" i="13"/>
  <c r="BQ23" i="7"/>
  <c r="AF176" i="14"/>
  <c r="BQ23" i="14"/>
  <c r="O47" i="20" s="1"/>
  <c r="AF112" i="13"/>
  <c r="BQ16" i="5"/>
  <c r="F40" i="20" s="1"/>
  <c r="AC105" i="10"/>
  <c r="AC104" i="10" s="1"/>
  <c r="AC105" i="16"/>
  <c r="AC104" i="16" s="1"/>
  <c r="AC105" i="12"/>
  <c r="AC104" i="12" s="1"/>
  <c r="AC105" i="8"/>
  <c r="AC104" i="8" s="1"/>
  <c r="BQ14" i="7"/>
  <c r="BQ14" i="13"/>
  <c r="AS22" i="5"/>
  <c r="Q99" i="5"/>
  <c r="F79" i="5"/>
  <c r="N79" i="5" s="1"/>
  <c r="AW29" i="5"/>
  <c r="BP26" i="6"/>
  <c r="BQ23" i="6"/>
  <c r="G47" i="20" s="1"/>
  <c r="AX22" i="5"/>
  <c r="AQ13" i="5"/>
  <c r="AX7" i="6"/>
  <c r="F79" i="7"/>
  <c r="BC15" i="5"/>
  <c r="BC12" i="5"/>
  <c r="BC12" i="6"/>
  <c r="AX7" i="7"/>
  <c r="BC12" i="7"/>
  <c r="BC12" i="8"/>
  <c r="BC12" i="10"/>
  <c r="BC12" i="12"/>
  <c r="BC12" i="13"/>
  <c r="AR11" i="6"/>
  <c r="AW11" i="6"/>
  <c r="F22" i="20"/>
  <c r="BC14" i="7"/>
  <c r="BD21" i="6"/>
  <c r="Q99" i="13"/>
  <c r="Q99" i="16"/>
  <c r="Q99" i="11"/>
  <c r="Q99" i="10"/>
  <c r="Q99" i="9"/>
  <c r="Q99" i="7"/>
  <c r="Q99" i="14"/>
  <c r="Q99" i="12"/>
  <c r="Q99" i="15"/>
  <c r="Q99" i="8"/>
  <c r="BF18" i="7"/>
  <c r="AS11" i="6"/>
  <c r="AX11" i="6"/>
  <c r="AS12" i="6"/>
  <c r="AR12" i="6"/>
  <c r="AW12" i="6"/>
  <c r="AR10" i="6"/>
  <c r="AW13" i="6"/>
  <c r="AY13" i="6" s="1"/>
  <c r="AX10" i="6"/>
  <c r="AF185" i="16"/>
  <c r="BO27" i="5"/>
  <c r="BQ31" i="16"/>
  <c r="BQ31" i="14"/>
  <c r="BQ31" i="13"/>
  <c r="N55" i="20" s="1"/>
  <c r="BQ31" i="11"/>
  <c r="BQ31" i="7"/>
  <c r="BQ31" i="15"/>
  <c r="BQ31" i="12"/>
  <c r="BQ31" i="10"/>
  <c r="K55" i="20" s="1"/>
  <c r="AF243" i="15"/>
  <c r="AF234" i="15" s="1"/>
  <c r="AF232" i="15" s="1"/>
  <c r="BQ29" i="15" s="1"/>
  <c r="AF243" i="16"/>
  <c r="AF243" i="14"/>
  <c r="AF243" i="13"/>
  <c r="BD16" i="6"/>
  <c r="AW10" i="6"/>
  <c r="BD15" i="6"/>
  <c r="AX8" i="6"/>
  <c r="AR11" i="7"/>
  <c r="AW11" i="7"/>
  <c r="AQ11" i="5"/>
  <c r="Q99" i="6"/>
  <c r="BD21" i="7"/>
  <c r="AS10" i="6"/>
  <c r="AX12" i="7"/>
  <c r="AS12" i="7"/>
  <c r="AS11" i="7"/>
  <c r="AX11" i="7"/>
  <c r="AR12" i="7"/>
  <c r="AW12" i="7"/>
  <c r="AQ12" i="5"/>
  <c r="AR11" i="8"/>
  <c r="AW11" i="8"/>
  <c r="BD21" i="8"/>
  <c r="AQ11" i="6"/>
  <c r="AU11" i="6" s="1"/>
  <c r="AQ10" i="6"/>
  <c r="AQ13" i="7"/>
  <c r="AW12" i="8"/>
  <c r="AR12" i="8"/>
  <c r="AX11" i="8"/>
  <c r="AS11" i="8"/>
  <c r="AS12" i="8"/>
  <c r="F80" i="7"/>
  <c r="AX10" i="7"/>
  <c r="BD15" i="7"/>
  <c r="AW11" i="9"/>
  <c r="AR11" i="9"/>
  <c r="BD21" i="9"/>
  <c r="AW12" i="9"/>
  <c r="AR12" i="9"/>
  <c r="AS12" i="9"/>
  <c r="AX12" i="9"/>
  <c r="AS11" i="9"/>
  <c r="AX11" i="9"/>
  <c r="AQ12" i="7"/>
  <c r="F80" i="8"/>
  <c r="N80" i="8" s="1"/>
  <c r="AW11" i="10"/>
  <c r="AR11" i="10"/>
  <c r="AS11" i="10"/>
  <c r="AX11" i="10"/>
  <c r="AQ11" i="8"/>
  <c r="AV11" i="8" s="1"/>
  <c r="AX12" i="10"/>
  <c r="AS12" i="10"/>
  <c r="AW12" i="10"/>
  <c r="AR12" i="10"/>
  <c r="M80" i="8"/>
  <c r="F80" i="9"/>
  <c r="AX10" i="8"/>
  <c r="BD15" i="8"/>
  <c r="AW11" i="11"/>
  <c r="AR11" i="11"/>
  <c r="BD21" i="11"/>
  <c r="AW12" i="11"/>
  <c r="AR12" i="11"/>
  <c r="AZ11" i="8"/>
  <c r="AX12" i="11"/>
  <c r="AS12" i="11"/>
  <c r="AS11" i="11"/>
  <c r="AX11" i="11"/>
  <c r="F80" i="10"/>
  <c r="M80" i="10" s="1"/>
  <c r="AW11" i="12"/>
  <c r="AR11" i="12"/>
  <c r="BD21" i="12"/>
  <c r="AQ13" i="11"/>
  <c r="AU13" i="11" s="1"/>
  <c r="AX11" i="12"/>
  <c r="AS11" i="12"/>
  <c r="AS12" i="12"/>
  <c r="AQ11" i="10"/>
  <c r="AV11" i="10" s="1"/>
  <c r="AW12" i="12"/>
  <c r="AR12" i="12"/>
  <c r="F80" i="11"/>
  <c r="N80" i="11" s="1"/>
  <c r="AX10" i="9"/>
  <c r="BD15" i="9"/>
  <c r="AW11" i="13"/>
  <c r="AR11" i="13"/>
  <c r="BD21" i="13"/>
  <c r="AX11" i="13"/>
  <c r="AS11" i="13"/>
  <c r="AR12" i="13"/>
  <c r="AW12" i="13"/>
  <c r="AS12" i="13"/>
  <c r="F80" i="12"/>
  <c r="M80" i="12" s="1"/>
  <c r="AR11" i="14"/>
  <c r="AW11" i="14"/>
  <c r="BD21" i="14"/>
  <c r="AS12" i="14"/>
  <c r="AW12" i="14"/>
  <c r="AR12" i="14"/>
  <c r="AS11" i="14"/>
  <c r="AX11" i="14"/>
  <c r="BD15" i="10"/>
  <c r="AR11" i="15"/>
  <c r="AW11" i="15"/>
  <c r="AS11" i="15"/>
  <c r="AX11" i="15"/>
  <c r="AR12" i="15"/>
  <c r="AW12" i="15"/>
  <c r="AS12" i="15"/>
  <c r="AX12" i="15"/>
  <c r="AR11" i="16"/>
  <c r="AW11" i="16"/>
  <c r="AQ11" i="14"/>
  <c r="AU11" i="14" s="1"/>
  <c r="AW12" i="16"/>
  <c r="AR12" i="16"/>
  <c r="AX11" i="16"/>
  <c r="AS11" i="16"/>
  <c r="AS12" i="16"/>
  <c r="AQ13" i="15"/>
  <c r="BD15" i="11"/>
  <c r="AQ11" i="15"/>
  <c r="BD15" i="12"/>
  <c r="T59" i="8"/>
  <c r="T59" i="9" s="1"/>
  <c r="T59" i="10" s="1"/>
  <c r="T59" i="11" s="1"/>
  <c r="T59" i="12" s="1"/>
  <c r="T59" i="13" s="1"/>
  <c r="T59" i="14" s="1"/>
  <c r="T59" i="15" s="1"/>
  <c r="T59" i="16" s="1"/>
  <c r="BQ27" i="14"/>
  <c r="O51" i="20" s="1"/>
  <c r="AF207" i="12"/>
  <c r="AL14" i="14"/>
  <c r="T33" i="12"/>
  <c r="T33" i="13" s="1"/>
  <c r="T33" i="14" s="1"/>
  <c r="T33" i="15" s="1"/>
  <c r="T33" i="16" s="1"/>
  <c r="AF207" i="9"/>
  <c r="AW19" i="14"/>
  <c r="AW4" i="14"/>
  <c r="BF16" i="7"/>
  <c r="AM63" i="9"/>
  <c r="AJ47" i="6"/>
  <c r="M101" i="6"/>
  <c r="AI218" i="8"/>
  <c r="AH218" i="8"/>
  <c r="AJ218" i="8"/>
  <c r="AI143" i="8"/>
  <c r="AH143" i="8"/>
  <c r="M103" i="8"/>
  <c r="N103" i="8"/>
  <c r="F81" i="8"/>
  <c r="N82" i="8"/>
  <c r="AH135" i="9"/>
  <c r="AJ108" i="9"/>
  <c r="AI108" i="9"/>
  <c r="AH108" i="9"/>
  <c r="M58" i="9"/>
  <c r="AH245" i="7"/>
  <c r="AI245" i="7"/>
  <c r="X58" i="7"/>
  <c r="AH27" i="7"/>
  <c r="AI27" i="7"/>
  <c r="AJ27" i="7"/>
  <c r="M114" i="7"/>
  <c r="N114" i="7"/>
  <c r="M101" i="7"/>
  <c r="N101" i="7"/>
  <c r="N59" i="7"/>
  <c r="U170" i="5"/>
  <c r="AJ218" i="6"/>
  <c r="M103" i="6"/>
  <c r="N103" i="6"/>
  <c r="M100" i="6"/>
  <c r="AI202" i="8"/>
  <c r="AH202" i="8"/>
  <c r="AH186" i="9"/>
  <c r="AH98" i="9"/>
  <c r="N101" i="9"/>
  <c r="AH186" i="7"/>
  <c r="AI186" i="7"/>
  <c r="AH143" i="7"/>
  <c r="AI143" i="7"/>
  <c r="AJ120" i="7"/>
  <c r="AH120" i="7"/>
  <c r="AI120" i="7"/>
  <c r="AH29" i="7"/>
  <c r="AI29" i="7"/>
  <c r="AJ29" i="7"/>
  <c r="M104" i="7"/>
  <c r="N104" i="7"/>
  <c r="F51" i="7"/>
  <c r="M52" i="7"/>
  <c r="N52" i="7"/>
  <c r="M13" i="7"/>
  <c r="AJ186" i="6"/>
  <c r="AH186" i="6"/>
  <c r="AI186" i="6"/>
  <c r="N82" i="6"/>
  <c r="AH247" i="9"/>
  <c r="AI130" i="9"/>
  <c r="AH130" i="9"/>
  <c r="AJ130" i="9"/>
  <c r="N103" i="9"/>
  <c r="M103" i="9"/>
  <c r="N91" i="9"/>
  <c r="AI230" i="7"/>
  <c r="AJ230" i="7"/>
  <c r="AH230" i="7"/>
  <c r="AH218" i="7"/>
  <c r="AI218" i="7"/>
  <c r="AJ218" i="7"/>
  <c r="AH189" i="7"/>
  <c r="AI189" i="7"/>
  <c r="AH108" i="7"/>
  <c r="AI108" i="7"/>
  <c r="AJ108" i="7"/>
  <c r="M112" i="7"/>
  <c r="N112" i="7"/>
  <c r="M109" i="7"/>
  <c r="N109" i="7"/>
  <c r="M103" i="7"/>
  <c r="N103" i="7"/>
  <c r="N47" i="7"/>
  <c r="AH189" i="6"/>
  <c r="AI189" i="6"/>
  <c r="AH142" i="6"/>
  <c r="AI142" i="6"/>
  <c r="AJ142" i="6"/>
  <c r="AH48" i="6"/>
  <c r="AJ48" i="6"/>
  <c r="AI95" i="8"/>
  <c r="N23" i="8"/>
  <c r="M13" i="8"/>
  <c r="AJ218" i="9"/>
  <c r="AI218" i="9"/>
  <c r="AH218" i="9"/>
  <c r="X203" i="9"/>
  <c r="N55" i="9"/>
  <c r="AJ116" i="7"/>
  <c r="AH25" i="7"/>
  <c r="AI25" i="7"/>
  <c r="AJ25" i="7"/>
  <c r="F63" i="7"/>
  <c r="M37" i="7"/>
  <c r="M24" i="7"/>
  <c r="AI143" i="11"/>
  <c r="M103" i="14"/>
  <c r="N103" i="14"/>
  <c r="AH215" i="15"/>
  <c r="AI119" i="15"/>
  <c r="AH119" i="15"/>
  <c r="AH48" i="15"/>
  <c r="AI48" i="15"/>
  <c r="N23" i="10"/>
  <c r="AI186" i="11"/>
  <c r="AH186" i="11"/>
  <c r="AH117" i="11"/>
  <c r="AI186" i="13"/>
  <c r="AH186" i="13"/>
  <c r="N101" i="13"/>
  <c r="M110" i="15"/>
  <c r="N110" i="15"/>
  <c r="AI248" i="15"/>
  <c r="AH248" i="15"/>
  <c r="AH143" i="10"/>
  <c r="AH129" i="11"/>
  <c r="AI129" i="11"/>
  <c r="AI218" i="12"/>
  <c r="AH218" i="12"/>
  <c r="M114" i="12"/>
  <c r="N114" i="12"/>
  <c r="X203" i="13"/>
  <c r="M103" i="13"/>
  <c r="AI248" i="14"/>
  <c r="AH248" i="14"/>
  <c r="M112" i="15"/>
  <c r="N112" i="15"/>
  <c r="AH253" i="15"/>
  <c r="AH202" i="15"/>
  <c r="AI202" i="15"/>
  <c r="AH186" i="10"/>
  <c r="N101" i="10"/>
  <c r="N101" i="11"/>
  <c r="AJ47" i="14"/>
  <c r="AI47" i="14"/>
  <c r="AH47" i="14"/>
  <c r="N101" i="14"/>
  <c r="M44" i="15"/>
  <c r="AH117" i="15"/>
  <c r="AH37" i="15"/>
  <c r="AA223" i="16"/>
  <c r="E78" i="16"/>
  <c r="E22" i="16"/>
  <c r="D48" i="16"/>
  <c r="B116" i="6"/>
  <c r="C123" i="5"/>
  <c r="Q123" i="5"/>
  <c r="BD22" i="5"/>
  <c r="J123" i="5"/>
  <c r="H123" i="5"/>
  <c r="BH5" i="15"/>
  <c r="AW4" i="15"/>
  <c r="AJ3" i="15"/>
  <c r="AW19" i="15"/>
  <c r="BE3" i="9"/>
  <c r="BK3" i="9" s="1"/>
  <c r="BQ3" i="9" s="1"/>
  <c r="BN5" i="9" s="1"/>
  <c r="BC5" i="11"/>
  <c r="B116" i="7"/>
  <c r="B116" i="8" s="1"/>
  <c r="B116" i="9" s="1"/>
  <c r="B116" i="10" s="1"/>
  <c r="B116" i="11" s="1"/>
  <c r="M22" i="20"/>
  <c r="BQ20" i="11"/>
  <c r="L44" i="20" s="1"/>
  <c r="AF112" i="11"/>
  <c r="L12" i="20"/>
  <c r="BK13" i="11"/>
  <c r="L14" i="20"/>
  <c r="BQ27" i="11"/>
  <c r="L51" i="20" s="1"/>
  <c r="AF207" i="11"/>
  <c r="N80" i="12"/>
  <c r="AC170" i="12"/>
  <c r="H28" i="11"/>
  <c r="AJ108" i="11"/>
  <c r="AI248" i="11"/>
  <c r="AI29" i="11"/>
  <c r="M52" i="11"/>
  <c r="N52" i="11"/>
  <c r="AI26" i="12"/>
  <c r="AH22" i="12"/>
  <c r="Q28" i="11"/>
  <c r="Q21" i="11" s="1"/>
  <c r="Q19" i="11" s="1"/>
  <c r="M87" i="11"/>
  <c r="N87" i="11"/>
  <c r="M13" i="11"/>
  <c r="N115" i="11"/>
  <c r="M115" i="11"/>
  <c r="M91" i="11"/>
  <c r="N91" i="11"/>
  <c r="AE137" i="14"/>
  <c r="AG137" i="14" s="1"/>
  <c r="AE48" i="14"/>
  <c r="AG48" i="14" s="1"/>
  <c r="AE159" i="14"/>
  <c r="AG159" i="14" s="1"/>
  <c r="AE148" i="14"/>
  <c r="AG148" i="14" s="1"/>
  <c r="AE125" i="14"/>
  <c r="AG125" i="14" s="1"/>
  <c r="AE119" i="14"/>
  <c r="AG119" i="14" s="1"/>
  <c r="AE108" i="14"/>
  <c r="AG108" i="14" s="1"/>
  <c r="AE108" i="15" s="1"/>
  <c r="AG108" i="15" s="1"/>
  <c r="AE108" i="16" s="1"/>
  <c r="AG108" i="16" s="1"/>
  <c r="AJ108" i="13"/>
  <c r="AE29" i="14"/>
  <c r="AG29" i="14" s="1"/>
  <c r="AE29" i="15" s="1"/>
  <c r="AG29" i="15" s="1"/>
  <c r="AE29" i="16" s="1"/>
  <c r="AG29" i="16" s="1"/>
  <c r="AE25" i="14"/>
  <c r="AG25" i="14" s="1"/>
  <c r="AG21" i="13"/>
  <c r="AE21" i="14" s="1"/>
  <c r="AG21" i="14" s="1"/>
  <c r="AG142" i="13"/>
  <c r="AE142" i="14" s="1"/>
  <c r="AG142" i="14" s="1"/>
  <c r="AE118" i="14"/>
  <c r="AG118" i="14" s="1"/>
  <c r="AJ118" i="14" s="1"/>
  <c r="AJ118" i="13"/>
  <c r="AE75" i="14"/>
  <c r="AG75" i="14" s="1"/>
  <c r="AE73" i="14"/>
  <c r="AG73" i="14" s="1"/>
  <c r="E28" i="11"/>
  <c r="AE133" i="14"/>
  <c r="AG133" i="14" s="1"/>
  <c r="AE95" i="14"/>
  <c r="AG95" i="14" s="1"/>
  <c r="AE80" i="15"/>
  <c r="AG80" i="15" s="1"/>
  <c r="AE71" i="14"/>
  <c r="AG71" i="14" s="1"/>
  <c r="AJ71" i="13"/>
  <c r="AE70" i="15"/>
  <c r="AG70" i="15" s="1"/>
  <c r="AJ70" i="14"/>
  <c r="AE68" i="14"/>
  <c r="AG68" i="14" s="1"/>
  <c r="AJ68" i="14" s="1"/>
  <c r="AE41" i="14"/>
  <c r="AG41" i="14" s="1"/>
  <c r="AE27" i="14"/>
  <c r="AG27" i="14" s="1"/>
  <c r="AJ27" i="13"/>
  <c r="F48" i="15"/>
  <c r="L58" i="16"/>
  <c r="J81" i="16"/>
  <c r="L82" i="16"/>
  <c r="L81" i="16" s="1"/>
  <c r="W203" i="16"/>
  <c r="X250" i="16"/>
  <c r="AC63" i="12"/>
  <c r="BQ16" i="12"/>
  <c r="M40" i="20" s="1"/>
  <c r="AI249" i="12"/>
  <c r="X203" i="12"/>
  <c r="X186" i="12"/>
  <c r="AI119" i="12"/>
  <c r="AH119" i="12"/>
  <c r="X70" i="12"/>
  <c r="AJ70" i="12" s="1"/>
  <c r="U69" i="12"/>
  <c r="AJ27" i="12"/>
  <c r="AH27" i="12"/>
  <c r="AI27" i="12"/>
  <c r="AH25" i="12"/>
  <c r="AI25" i="12"/>
  <c r="M115" i="12"/>
  <c r="F101" i="12"/>
  <c r="F43" i="12"/>
  <c r="F42" i="12" s="1"/>
  <c r="AQ10" i="12" s="1"/>
  <c r="AI252" i="13"/>
  <c r="AH252" i="13"/>
  <c r="AI248" i="13"/>
  <c r="AH248" i="13"/>
  <c r="AI80" i="13"/>
  <c r="AJ80" i="13"/>
  <c r="AH80" i="13"/>
  <c r="AH78" i="13"/>
  <c r="AJ78" i="13"/>
  <c r="AI78" i="13"/>
  <c r="N110" i="14"/>
  <c r="M110" i="14"/>
  <c r="AI40" i="15"/>
  <c r="AG131" i="13"/>
  <c r="AE78" i="15"/>
  <c r="AG78" i="15" s="1"/>
  <c r="AJ78" i="14"/>
  <c r="AE19" i="14"/>
  <c r="AG19" i="14" s="1"/>
  <c r="AB253" i="15"/>
  <c r="AD253" i="15" s="1"/>
  <c r="AI253" i="14"/>
  <c r="AD251" i="13"/>
  <c r="AB217" i="15"/>
  <c r="AD217" i="15" s="1"/>
  <c r="AB214" i="13"/>
  <c r="AD214" i="13" s="1"/>
  <c r="AB181" i="15"/>
  <c r="AD181" i="15" s="1"/>
  <c r="AB181" i="16" s="1"/>
  <c r="AD181" i="16" s="1"/>
  <c r="AD118" i="14"/>
  <c r="AB118" i="15" s="1"/>
  <c r="AD118" i="15" s="1"/>
  <c r="AB118" i="16" s="1"/>
  <c r="AD118" i="16" s="1"/>
  <c r="AB76" i="13"/>
  <c r="AA251" i="14"/>
  <c r="Y251" i="15" s="1"/>
  <c r="Y174" i="15"/>
  <c r="AA174" i="15" s="1"/>
  <c r="Y174" i="16" s="1"/>
  <c r="Y53" i="13"/>
  <c r="AA53" i="13" s="1"/>
  <c r="Y21" i="16"/>
  <c r="AA21" i="16" s="1"/>
  <c r="I56" i="14"/>
  <c r="G56" i="15" s="1"/>
  <c r="G53" i="16"/>
  <c r="I53" i="16" s="1"/>
  <c r="I46" i="13"/>
  <c r="G46" i="14" s="1"/>
  <c r="I46" i="14" s="1"/>
  <c r="W252" i="15"/>
  <c r="X252" i="15" s="1"/>
  <c r="AH252" i="15" s="1"/>
  <c r="X252" i="14"/>
  <c r="AH252" i="14" s="1"/>
  <c r="W244" i="13"/>
  <c r="W238" i="15"/>
  <c r="X238" i="14"/>
  <c r="AH238" i="14" s="1"/>
  <c r="W225" i="16"/>
  <c r="W224" i="15"/>
  <c r="W222" i="15" s="1"/>
  <c r="W222" i="14"/>
  <c r="W223" i="16"/>
  <c r="X223" i="16" s="1"/>
  <c r="X223" i="15"/>
  <c r="AH223" i="15" s="1"/>
  <c r="W212" i="13"/>
  <c r="W212" i="14" s="1"/>
  <c r="W190" i="14"/>
  <c r="X190" i="13"/>
  <c r="AI190" i="13" s="1"/>
  <c r="W183" i="15"/>
  <c r="W183" i="16" s="1"/>
  <c r="W174" i="13"/>
  <c r="W172" i="13" s="1"/>
  <c r="W172" i="12"/>
  <c r="W162" i="13"/>
  <c r="W162" i="14" s="1"/>
  <c r="W162" i="15" s="1"/>
  <c r="W162" i="16" s="1"/>
  <c r="X162" i="16" s="1"/>
  <c r="W138" i="15"/>
  <c r="X138" i="15" s="1"/>
  <c r="X138" i="14"/>
  <c r="AH138" i="14" s="1"/>
  <c r="W132" i="14"/>
  <c r="W132" i="15" s="1"/>
  <c r="W132" i="16" s="1"/>
  <c r="X132" i="16" s="1"/>
  <c r="X132" i="13"/>
  <c r="AI132" i="13" s="1"/>
  <c r="W131" i="16"/>
  <c r="C32" i="12"/>
  <c r="M87" i="12"/>
  <c r="M34" i="12"/>
  <c r="AH254" i="12"/>
  <c r="AI254" i="12"/>
  <c r="AI246" i="12"/>
  <c r="U211" i="12"/>
  <c r="U210" i="12" s="1"/>
  <c r="U209" i="12" s="1"/>
  <c r="U207" i="12" s="1"/>
  <c r="AH135" i="12"/>
  <c r="AI73" i="12"/>
  <c r="AJ73" i="12"/>
  <c r="X37" i="12"/>
  <c r="N110" i="12"/>
  <c r="M110" i="12"/>
  <c r="AI202" i="13"/>
  <c r="AI118" i="13"/>
  <c r="AH118" i="13"/>
  <c r="AI108" i="13"/>
  <c r="AH108" i="13"/>
  <c r="AE138" i="14"/>
  <c r="AG138" i="14" s="1"/>
  <c r="AE120" i="15"/>
  <c r="AG120" i="15" s="1"/>
  <c r="AE40" i="14"/>
  <c r="AG40" i="14" s="1"/>
  <c r="AJ40" i="13"/>
  <c r="AE33" i="15"/>
  <c r="AG33" i="15" s="1"/>
  <c r="AE33" i="16" s="1"/>
  <c r="AG33" i="16" s="1"/>
  <c r="AE30" i="14"/>
  <c r="AG30" i="14" s="1"/>
  <c r="AJ30" i="13"/>
  <c r="U227" i="12"/>
  <c r="AH252" i="12"/>
  <c r="AH253" i="12"/>
  <c r="AI253" i="12"/>
  <c r="AH241" i="12"/>
  <c r="AI241" i="12"/>
  <c r="X212" i="12"/>
  <c r="AI190" i="12"/>
  <c r="AI80" i="12"/>
  <c r="AH80" i="12"/>
  <c r="AJ80" i="12"/>
  <c r="X67" i="12"/>
  <c r="X59" i="12"/>
  <c r="U58" i="12"/>
  <c r="U57" i="12" s="1"/>
  <c r="AI40" i="12"/>
  <c r="AJ40" i="12"/>
  <c r="C117" i="12"/>
  <c r="C75" i="12"/>
  <c r="C51" i="12"/>
  <c r="M44" i="12"/>
  <c r="F35" i="12"/>
  <c r="N36" i="12"/>
  <c r="W222" i="13"/>
  <c r="N106" i="14"/>
  <c r="AG153" i="13"/>
  <c r="AE153" i="14" s="1"/>
  <c r="AG153" i="14" s="1"/>
  <c r="AE153" i="15" s="1"/>
  <c r="AG153" i="15" s="1"/>
  <c r="AE153" i="16" s="1"/>
  <c r="AG153" i="16" s="1"/>
  <c r="AE47" i="16"/>
  <c r="AG47" i="16" s="1"/>
  <c r="AE37" i="15"/>
  <c r="AG37" i="15" s="1"/>
  <c r="AJ37" i="14"/>
  <c r="AE32" i="14"/>
  <c r="AG32" i="14" s="1"/>
  <c r="AJ32" i="13"/>
  <c r="AE24" i="14"/>
  <c r="AG24" i="14" s="1"/>
  <c r="AE24" i="15" s="1"/>
  <c r="AG24" i="15" s="1"/>
  <c r="AB241" i="16"/>
  <c r="AD241" i="16" s="1"/>
  <c r="AI241" i="15"/>
  <c r="AB229" i="13"/>
  <c r="AB130" i="14"/>
  <c r="AD130" i="14" s="1"/>
  <c r="AB130" i="15" s="1"/>
  <c r="AD130" i="15" s="1"/>
  <c r="C72" i="12"/>
  <c r="AI78" i="12"/>
  <c r="AH250" i="12"/>
  <c r="AI250" i="12"/>
  <c r="AH247" i="12"/>
  <c r="AI247" i="12"/>
  <c r="AH240" i="12"/>
  <c r="AI240" i="12"/>
  <c r="U235" i="12"/>
  <c r="X162" i="12"/>
  <c r="X125" i="12"/>
  <c r="AI120" i="12"/>
  <c r="AJ120" i="12"/>
  <c r="AH120" i="12"/>
  <c r="AH117" i="12"/>
  <c r="AH71" i="12"/>
  <c r="AI71" i="12"/>
  <c r="AJ71" i="12"/>
  <c r="X33" i="12"/>
  <c r="AJ30" i="12"/>
  <c r="AH30" i="12"/>
  <c r="N112" i="12"/>
  <c r="M106" i="12"/>
  <c r="N88" i="12"/>
  <c r="AH250" i="13"/>
  <c r="N112" i="14"/>
  <c r="N91" i="15"/>
  <c r="M91" i="15"/>
  <c r="AE167" i="14"/>
  <c r="AG167" i="14" s="1"/>
  <c r="AJ167" i="13"/>
  <c r="AG165" i="12"/>
  <c r="AE165" i="13" s="1"/>
  <c r="AG165" i="13" s="1"/>
  <c r="AE165" i="14" s="1"/>
  <c r="AG165" i="14" s="1"/>
  <c r="AE165" i="15" s="1"/>
  <c r="AG165" i="15" s="1"/>
  <c r="AE130" i="14"/>
  <c r="AG130" i="14" s="1"/>
  <c r="AE101" i="13"/>
  <c r="AG101" i="13" s="1"/>
  <c r="AE88" i="14"/>
  <c r="AG88" i="14" s="1"/>
  <c r="AE75" i="15"/>
  <c r="AG75" i="15" s="1"/>
  <c r="AE75" i="16" s="1"/>
  <c r="AG75" i="16" s="1"/>
  <c r="AE61" i="15"/>
  <c r="AG61" i="15" s="1"/>
  <c r="AE61" i="16" s="1"/>
  <c r="AG61" i="16" s="1"/>
  <c r="AE26" i="14"/>
  <c r="AG26" i="14" s="1"/>
  <c r="AJ26" i="13"/>
  <c r="AB256" i="15"/>
  <c r="AD256" i="15" s="1"/>
  <c r="N115" i="15"/>
  <c r="N101" i="15"/>
  <c r="AB254" i="16"/>
  <c r="AD254" i="16" s="1"/>
  <c r="AB249" i="16"/>
  <c r="AD249" i="16" s="1"/>
  <c r="AB247" i="16"/>
  <c r="AD247" i="16" s="1"/>
  <c r="AI247" i="15"/>
  <c r="AB246" i="16"/>
  <c r="AD246" i="16" s="1"/>
  <c r="AD244" i="14"/>
  <c r="AB244" i="15" s="1"/>
  <c r="AD244" i="15" s="1"/>
  <c r="AD212" i="14"/>
  <c r="AB201" i="16"/>
  <c r="AD201" i="16" s="1"/>
  <c r="AB182" i="16"/>
  <c r="AD182" i="16" s="1"/>
  <c r="AI182" i="15"/>
  <c r="AB95" i="16"/>
  <c r="AD95" i="16" s="1"/>
  <c r="AB87" i="16"/>
  <c r="AD87" i="16" s="1"/>
  <c r="AD74" i="14"/>
  <c r="AB74" i="15" s="1"/>
  <c r="AD74" i="15" s="1"/>
  <c r="AB74" i="16" s="1"/>
  <c r="AD74" i="16" s="1"/>
  <c r="AB230" i="16"/>
  <c r="AD230" i="16" s="1"/>
  <c r="AB137" i="16"/>
  <c r="AD137" i="16" s="1"/>
  <c r="L61" i="14"/>
  <c r="J61" i="15" s="1"/>
  <c r="L61" i="15" s="1"/>
  <c r="J61" i="16" s="1"/>
  <c r="L61" i="16" s="1"/>
  <c r="L34" i="14"/>
  <c r="J30" i="15"/>
  <c r="L30" i="15" s="1"/>
  <c r="L29" i="15" s="1"/>
  <c r="L29" i="14"/>
  <c r="AB240" i="16"/>
  <c r="AD240" i="16" s="1"/>
  <c r="AB216" i="16"/>
  <c r="AD216" i="16" s="1"/>
  <c r="AD186" i="14"/>
  <c r="AB186" i="15" s="1"/>
  <c r="AD186" i="15" s="1"/>
  <c r="AB186" i="16" s="1"/>
  <c r="AD186" i="16" s="1"/>
  <c r="AB150" i="16"/>
  <c r="AD150" i="16" s="1"/>
  <c r="AB78" i="16"/>
  <c r="AD78" i="16"/>
  <c r="AI78" i="15"/>
  <c r="AD38" i="14"/>
  <c r="AB38" i="15" s="1"/>
  <c r="I109" i="16"/>
  <c r="I58" i="16"/>
  <c r="E63" i="16"/>
  <c r="X249" i="16"/>
  <c r="X248" i="16"/>
  <c r="AH248" i="16" s="1"/>
  <c r="X199" i="16"/>
  <c r="X137" i="16"/>
  <c r="AH137" i="16" s="1"/>
  <c r="X118" i="16"/>
  <c r="AH118" i="16" s="1"/>
  <c r="D35" i="16"/>
  <c r="AE68" i="15"/>
  <c r="AG68" i="15" s="1"/>
  <c r="BR20" i="16"/>
  <c r="AD229" i="13"/>
  <c r="BD15" i="13"/>
  <c r="AD76" i="13"/>
  <c r="AB76" i="14" s="1"/>
  <c r="AD76" i="14" s="1"/>
  <c r="AI118" i="14"/>
  <c r="AB251" i="14"/>
  <c r="AD251" i="14" s="1"/>
  <c r="BC16" i="12"/>
  <c r="BQ15" i="12"/>
  <c r="BK10" i="12" s="1"/>
  <c r="J29" i="15"/>
  <c r="W190" i="15"/>
  <c r="X162" i="13"/>
  <c r="W238" i="16"/>
  <c r="X238" i="16" s="1"/>
  <c r="X238" i="15"/>
  <c r="AE131" i="14"/>
  <c r="AG131" i="14" s="1"/>
  <c r="AE131" i="15" s="1"/>
  <c r="AG131" i="15" s="1"/>
  <c r="X131" i="16"/>
  <c r="B105" i="9"/>
  <c r="B105" i="10" s="1"/>
  <c r="B105" i="11" s="1"/>
  <c r="B105" i="12" s="1"/>
  <c r="B105" i="13" s="1"/>
  <c r="B105" i="14" s="1"/>
  <c r="B105" i="15" s="1"/>
  <c r="B105" i="16" s="1"/>
  <c r="AI252" i="15"/>
  <c r="N100" i="9"/>
  <c r="J100" i="10"/>
  <c r="L100" i="10" s="1"/>
  <c r="G100" i="10"/>
  <c r="I100" i="10" s="1"/>
  <c r="G100" i="11" s="1"/>
  <c r="I100" i="11" s="1"/>
  <c r="M100" i="9"/>
  <c r="J99" i="6"/>
  <c r="L105" i="6"/>
  <c r="L99" i="6" s="1"/>
  <c r="G99" i="6"/>
  <c r="I105" i="6"/>
  <c r="I99" i="6" s="1"/>
  <c r="BD18" i="5"/>
  <c r="BC18" i="5"/>
  <c r="J41" i="15"/>
  <c r="L41" i="15" s="1"/>
  <c r="D41" i="15"/>
  <c r="F41" i="15" s="1"/>
  <c r="M100" i="10"/>
  <c r="G41" i="15"/>
  <c r="I41" i="15" s="1"/>
  <c r="BQ14" i="15" l="1"/>
  <c r="AC220" i="12"/>
  <c r="AF220" i="13"/>
  <c r="BQ30" i="13" s="1"/>
  <c r="Z90" i="9"/>
  <c r="Z90" i="11"/>
  <c r="Z170" i="15"/>
  <c r="Z234" i="8"/>
  <c r="Z232" i="8" s="1"/>
  <c r="AM112" i="15"/>
  <c r="AL220" i="15"/>
  <c r="AL90" i="14"/>
  <c r="AL145" i="13"/>
  <c r="AL112" i="13"/>
  <c r="AL220" i="11"/>
  <c r="AL145" i="11"/>
  <c r="AL43" i="11"/>
  <c r="AL14" i="11" s="1"/>
  <c r="AL90" i="9"/>
  <c r="AL43" i="9"/>
  <c r="AL220" i="8"/>
  <c r="AL90" i="7"/>
  <c r="AL112" i="6"/>
  <c r="AE234" i="5"/>
  <c r="AE232" i="5" s="1"/>
  <c r="AB145" i="5"/>
  <c r="Y43" i="5"/>
  <c r="K28" i="10"/>
  <c r="H28" i="12"/>
  <c r="H21" i="12" s="1"/>
  <c r="H19" i="12" s="1"/>
  <c r="H17" i="12" s="1"/>
  <c r="H8" i="12" s="1"/>
  <c r="U220" i="5"/>
  <c r="W234" i="5"/>
  <c r="W232" i="5" s="1"/>
  <c r="V220" i="5"/>
  <c r="AG220" i="5"/>
  <c r="N35" i="5"/>
  <c r="M57" i="5"/>
  <c r="L28" i="5"/>
  <c r="AC220" i="5"/>
  <c r="AA220" i="5"/>
  <c r="BO30" i="5" s="1"/>
  <c r="BI14" i="5" s="1"/>
  <c r="F63" i="5"/>
  <c r="AC234" i="6"/>
  <c r="AC232" i="6" s="1"/>
  <c r="U141" i="8"/>
  <c r="C72" i="8"/>
  <c r="C60" i="8"/>
  <c r="P28" i="7"/>
  <c r="AF234" i="7"/>
  <c r="AF232" i="7" s="1"/>
  <c r="BQ29" i="7" s="1"/>
  <c r="AF220" i="7"/>
  <c r="BQ30" i="7" s="1"/>
  <c r="AF194" i="7"/>
  <c r="AF112" i="7"/>
  <c r="AF43" i="7"/>
  <c r="Z220" i="7"/>
  <c r="Z112" i="7"/>
  <c r="BN19" i="7"/>
  <c r="C75" i="7"/>
  <c r="AG195" i="5"/>
  <c r="L13" i="6"/>
  <c r="J13" i="7" s="1"/>
  <c r="L13" i="7" s="1"/>
  <c r="L12" i="6"/>
  <c r="C81" i="16"/>
  <c r="C75" i="16"/>
  <c r="C69" i="16"/>
  <c r="C63" i="16"/>
  <c r="C57" i="16"/>
  <c r="C35" i="16"/>
  <c r="C29" i="16"/>
  <c r="C10" i="16"/>
  <c r="W141" i="11"/>
  <c r="G82" i="7"/>
  <c r="I82" i="7" s="1"/>
  <c r="G82" i="8" s="1"/>
  <c r="I82" i="8" s="1"/>
  <c r="I81" i="6"/>
  <c r="M82" i="6"/>
  <c r="AJ180" i="6"/>
  <c r="AI180" i="6"/>
  <c r="N36" i="7"/>
  <c r="M36" i="7"/>
  <c r="AJ119" i="13"/>
  <c r="AI252" i="14"/>
  <c r="AI238" i="14"/>
  <c r="BH5" i="13"/>
  <c r="BC5" i="9"/>
  <c r="M35" i="7"/>
  <c r="AD235" i="6"/>
  <c r="AD187" i="6"/>
  <c r="AB235" i="6"/>
  <c r="AB187" i="6"/>
  <c r="AB44" i="6"/>
  <c r="AJ217" i="6"/>
  <c r="AJ133" i="6"/>
  <c r="AJ125" i="6"/>
  <c r="C32" i="8"/>
  <c r="M34" i="8"/>
  <c r="L81" i="8"/>
  <c r="AB187" i="8"/>
  <c r="AI107" i="8"/>
  <c r="L57" i="9"/>
  <c r="AB227" i="9"/>
  <c r="AB44" i="9"/>
  <c r="J48" i="9"/>
  <c r="AI214" i="9"/>
  <c r="AJ39" i="9"/>
  <c r="C48" i="7"/>
  <c r="AI167" i="7"/>
  <c r="N49" i="7"/>
  <c r="AD227" i="7"/>
  <c r="L81" i="7"/>
  <c r="L48" i="7"/>
  <c r="L29" i="7"/>
  <c r="AB227" i="7"/>
  <c r="AB141" i="7"/>
  <c r="J57" i="7"/>
  <c r="J42" i="7"/>
  <c r="J22" i="7"/>
  <c r="Y222" i="7"/>
  <c r="N24" i="7"/>
  <c r="AD141" i="10"/>
  <c r="BP20" i="10" s="1"/>
  <c r="L29" i="10"/>
  <c r="J81" i="10"/>
  <c r="AA172" i="10"/>
  <c r="AI48" i="10"/>
  <c r="J81" i="11"/>
  <c r="Y141" i="11"/>
  <c r="N82" i="11"/>
  <c r="L81" i="12"/>
  <c r="J29" i="12"/>
  <c r="J81" i="13"/>
  <c r="N103" i="13"/>
  <c r="C29" i="13"/>
  <c r="L81" i="14"/>
  <c r="AI71" i="14"/>
  <c r="L81" i="15"/>
  <c r="BC5" i="13"/>
  <c r="AW4" i="9"/>
  <c r="H123" i="6"/>
  <c r="AJ251" i="6"/>
  <c r="AE172" i="6"/>
  <c r="AD211" i="6"/>
  <c r="AD210" i="6" s="1"/>
  <c r="AD209" i="6" s="1"/>
  <c r="AB211" i="6"/>
  <c r="AB210" i="6" s="1"/>
  <c r="AB209" i="6" s="1"/>
  <c r="AB207" i="6" s="1"/>
  <c r="AB91" i="6"/>
  <c r="AI218" i="6"/>
  <c r="AJ160" i="6"/>
  <c r="AI48" i="6"/>
  <c r="C48" i="8"/>
  <c r="AH167" i="8"/>
  <c r="AD141" i="8"/>
  <c r="BP20" i="8" s="1"/>
  <c r="L57" i="8"/>
  <c r="L42" i="8"/>
  <c r="AS10" i="8" s="1"/>
  <c r="J81" i="8"/>
  <c r="J48" i="8"/>
  <c r="J29" i="8"/>
  <c r="AJ230" i="8"/>
  <c r="C117" i="8"/>
  <c r="U172" i="9"/>
  <c r="L81" i="9"/>
  <c r="L29" i="9"/>
  <c r="AB141" i="9"/>
  <c r="J29" i="9"/>
  <c r="Y222" i="9"/>
  <c r="AH205" i="9"/>
  <c r="AI137" i="9"/>
  <c r="AJ102" i="9"/>
  <c r="AD141" i="7"/>
  <c r="BP20" i="7" s="1"/>
  <c r="AB235" i="7"/>
  <c r="AA172" i="7"/>
  <c r="Y227" i="7"/>
  <c r="Y141" i="7"/>
  <c r="AI75" i="7"/>
  <c r="AJ21" i="7"/>
  <c r="AI137" i="10"/>
  <c r="AH246" i="10"/>
  <c r="AB141" i="10"/>
  <c r="J29" i="10"/>
  <c r="U235" i="10"/>
  <c r="C54" i="10"/>
  <c r="AA141" i="11"/>
  <c r="BO20" i="11" s="1"/>
  <c r="J81" i="12"/>
  <c r="AI85" i="12"/>
  <c r="AJ25" i="12"/>
  <c r="L29" i="13"/>
  <c r="AH180" i="14"/>
  <c r="AA141" i="14"/>
  <c r="BO20" i="14" s="1"/>
  <c r="AI167" i="14"/>
  <c r="F43" i="16"/>
  <c r="BC16" i="16" s="1"/>
  <c r="W138" i="16"/>
  <c r="X138" i="16" s="1"/>
  <c r="AE118" i="15"/>
  <c r="AG118" i="15" s="1"/>
  <c r="AE118" i="16" s="1"/>
  <c r="AG118" i="16" s="1"/>
  <c r="AW19" i="13"/>
  <c r="AW19" i="9"/>
  <c r="U172" i="6"/>
  <c r="AE227" i="6"/>
  <c r="AE83" i="6"/>
  <c r="AD141" i="6"/>
  <c r="BP20" i="6" s="1"/>
  <c r="AB141" i="6"/>
  <c r="AB227" i="8"/>
  <c r="AB141" i="8"/>
  <c r="AJ133" i="8"/>
  <c r="AD141" i="9"/>
  <c r="BP20" i="9" s="1"/>
  <c r="J57" i="9"/>
  <c r="AJ75" i="7"/>
  <c r="AI71" i="7"/>
  <c r="AD187" i="7"/>
  <c r="L57" i="7"/>
  <c r="L42" i="7"/>
  <c r="AS10" i="7" s="1"/>
  <c r="L22" i="7"/>
  <c r="AS7" i="7" s="1"/>
  <c r="AB187" i="7"/>
  <c r="J48" i="7"/>
  <c r="J29" i="7"/>
  <c r="AA187" i="7"/>
  <c r="Y172" i="7"/>
  <c r="AH137" i="7"/>
  <c r="AI133" i="7"/>
  <c r="AH250" i="10"/>
  <c r="L57" i="10"/>
  <c r="AB187" i="10"/>
  <c r="Y141" i="10"/>
  <c r="L29" i="11"/>
  <c r="J29" i="11"/>
  <c r="AI247" i="11"/>
  <c r="L29" i="12"/>
  <c r="Y141" i="12"/>
  <c r="AH205" i="12"/>
  <c r="M112" i="12"/>
  <c r="N106" i="12"/>
  <c r="L57" i="13"/>
  <c r="AA141" i="13"/>
  <c r="BO20" i="13" s="1"/>
  <c r="Y141" i="13"/>
  <c r="J29" i="14"/>
  <c r="Y141" i="14"/>
  <c r="F35" i="15"/>
  <c r="AF170" i="16"/>
  <c r="BQ24" i="16" s="1"/>
  <c r="Q48" i="20" s="1"/>
  <c r="AC170" i="16"/>
  <c r="AF112" i="16"/>
  <c r="Z112" i="16"/>
  <c r="BQ16" i="16"/>
  <c r="Q40" i="20" s="1"/>
  <c r="Z90" i="16"/>
  <c r="Z63" i="16" s="1"/>
  <c r="AC90" i="16"/>
  <c r="AC63" i="16" s="1"/>
  <c r="AF90" i="16"/>
  <c r="AF63" i="16" s="1"/>
  <c r="K85" i="16"/>
  <c r="AF145" i="16"/>
  <c r="AF110" i="16" s="1"/>
  <c r="Z145" i="16"/>
  <c r="BQ17" i="15"/>
  <c r="P41" i="20" s="1"/>
  <c r="Z145" i="15"/>
  <c r="AC145" i="15"/>
  <c r="Z112" i="15"/>
  <c r="Z90" i="15"/>
  <c r="Z63" i="15" s="1"/>
  <c r="Z43" i="15"/>
  <c r="E42" i="16"/>
  <c r="AF170" i="14"/>
  <c r="BQ24" i="14" s="1"/>
  <c r="O48" i="20" s="1"/>
  <c r="O46" i="20" s="1"/>
  <c r="AF145" i="14"/>
  <c r="Z112" i="14"/>
  <c r="Z110" i="14" s="1"/>
  <c r="AC112" i="14"/>
  <c r="Z90" i="14"/>
  <c r="AF43" i="14"/>
  <c r="AF14" i="14" s="1"/>
  <c r="AC43" i="14"/>
  <c r="Z43" i="14"/>
  <c r="X198" i="16"/>
  <c r="X163" i="14"/>
  <c r="X162" i="15"/>
  <c r="X152" i="14"/>
  <c r="AM145" i="14"/>
  <c r="AM112" i="14"/>
  <c r="X70" i="15"/>
  <c r="AI70" i="15" s="1"/>
  <c r="X36" i="14"/>
  <c r="E42" i="14"/>
  <c r="E42" i="15"/>
  <c r="F43" i="15"/>
  <c r="BC16" i="15" s="1"/>
  <c r="M13" i="9"/>
  <c r="AH228" i="6"/>
  <c r="AJ228" i="6"/>
  <c r="AI228" i="6"/>
  <c r="AJ133" i="9"/>
  <c r="AH133" i="9"/>
  <c r="AI133" i="9"/>
  <c r="AI61" i="11"/>
  <c r="AH61" i="11"/>
  <c r="AJ61" i="11"/>
  <c r="AI252" i="8"/>
  <c r="AH252" i="8"/>
  <c r="AJ70" i="8"/>
  <c r="AI70" i="8"/>
  <c r="N49" i="11"/>
  <c r="M49" i="11"/>
  <c r="F48" i="11"/>
  <c r="AH223" i="12"/>
  <c r="AH130" i="8"/>
  <c r="AJ130" i="8"/>
  <c r="N30" i="9"/>
  <c r="AH252" i="11"/>
  <c r="AI252" i="11"/>
  <c r="AJ48" i="12"/>
  <c r="AI48" i="12"/>
  <c r="AH48" i="12"/>
  <c r="AH71" i="7"/>
  <c r="AJ71" i="7"/>
  <c r="F55" i="15"/>
  <c r="C54" i="15"/>
  <c r="AA60" i="7"/>
  <c r="Y60" i="8" s="1"/>
  <c r="AA60" i="8" s="1"/>
  <c r="Y60" i="9" s="1"/>
  <c r="AA60" i="9" s="1"/>
  <c r="Y60" i="10" s="1"/>
  <c r="AA60" i="10" s="1"/>
  <c r="Y60" i="11" s="1"/>
  <c r="AA60" i="11" s="1"/>
  <c r="Y60" i="12" s="1"/>
  <c r="AA60" i="12" s="1"/>
  <c r="Y60" i="13" s="1"/>
  <c r="AA60" i="13" s="1"/>
  <c r="Y60" i="14" s="1"/>
  <c r="AA60" i="14" s="1"/>
  <c r="Y60" i="15" s="1"/>
  <c r="AA60" i="15" s="1"/>
  <c r="Y60" i="16" s="1"/>
  <c r="AA60" i="16" s="1"/>
  <c r="AA58" i="16" s="1"/>
  <c r="AA57" i="16" s="1"/>
  <c r="Y58" i="7"/>
  <c r="Y57" i="7" s="1"/>
  <c r="G83" i="8"/>
  <c r="I81" i="7"/>
  <c r="I37" i="10"/>
  <c r="G35" i="10"/>
  <c r="W239" i="10"/>
  <c r="W235" i="9"/>
  <c r="W230" i="11"/>
  <c r="W227" i="10"/>
  <c r="W197" i="10"/>
  <c r="W195" i="9"/>
  <c r="W194" i="9" s="1"/>
  <c r="W193" i="9" s="1"/>
  <c r="W189" i="11"/>
  <c r="W187" i="10"/>
  <c r="W185" i="10" s="1"/>
  <c r="W159" i="8"/>
  <c r="W157" i="7"/>
  <c r="W155" i="7" s="1"/>
  <c r="W145" i="7" s="1"/>
  <c r="W115" i="8"/>
  <c r="W114" i="7"/>
  <c r="W51" i="8"/>
  <c r="W49" i="7"/>
  <c r="W46" i="11"/>
  <c r="W44" i="10"/>
  <c r="W39" i="15"/>
  <c r="W35" i="14"/>
  <c r="E96" i="11"/>
  <c r="E93" i="10"/>
  <c r="E85" i="10" s="1"/>
  <c r="E82" i="12"/>
  <c r="E81" i="11"/>
  <c r="E76" i="8"/>
  <c r="E75" i="7"/>
  <c r="E70" i="12"/>
  <c r="E69" i="11"/>
  <c r="E58" i="11"/>
  <c r="E57" i="10"/>
  <c r="E52" i="12"/>
  <c r="E51" i="11"/>
  <c r="E46" i="8"/>
  <c r="E45" i="7"/>
  <c r="E34" i="14"/>
  <c r="E32" i="13"/>
  <c r="E28" i="13" s="1"/>
  <c r="E27" i="11"/>
  <c r="E25" i="10"/>
  <c r="E15" i="14"/>
  <c r="E10" i="13"/>
  <c r="V245" i="8"/>
  <c r="V243" i="7"/>
  <c r="V239" i="10"/>
  <c r="V235" i="9"/>
  <c r="V224" i="11"/>
  <c r="V224" i="12" s="1"/>
  <c r="V224" i="13" s="1"/>
  <c r="V222" i="10"/>
  <c r="V197" i="10"/>
  <c r="V195" i="9"/>
  <c r="V194" i="9" s="1"/>
  <c r="V193" i="9" s="1"/>
  <c r="V189" i="12"/>
  <c r="V187" i="11"/>
  <c r="V185" i="11" s="1"/>
  <c r="V160" i="8"/>
  <c r="V157" i="7"/>
  <c r="V94" i="8"/>
  <c r="V91" i="7"/>
  <c r="V21" i="8"/>
  <c r="V21" i="9" s="1"/>
  <c r="V21" i="10" s="1"/>
  <c r="V21" i="11" s="1"/>
  <c r="V20" i="7"/>
  <c r="V16" i="7" s="1"/>
  <c r="D77" i="11"/>
  <c r="D75" i="10"/>
  <c r="D70" i="8"/>
  <c r="D69" i="7"/>
  <c r="AE149" i="6"/>
  <c r="AE147" i="6" s="1"/>
  <c r="AA222" i="6"/>
  <c r="Y222" i="6"/>
  <c r="D51" i="6"/>
  <c r="AJ32" i="8"/>
  <c r="AI167" i="8"/>
  <c r="AH107" i="8"/>
  <c r="X94" i="8"/>
  <c r="F76" i="8"/>
  <c r="F70" i="8"/>
  <c r="F46" i="8"/>
  <c r="W220" i="8"/>
  <c r="D51" i="8"/>
  <c r="AJ119" i="9"/>
  <c r="F53" i="9"/>
  <c r="M53" i="9" s="1"/>
  <c r="F33" i="9"/>
  <c r="BC13" i="9" s="1"/>
  <c r="AE172" i="7"/>
  <c r="F33" i="7"/>
  <c r="N33" i="7" s="1"/>
  <c r="F26" i="7"/>
  <c r="F14" i="7"/>
  <c r="D57" i="10"/>
  <c r="X224" i="12"/>
  <c r="AI224" i="12" s="1"/>
  <c r="AI26" i="15"/>
  <c r="Y236" i="10"/>
  <c r="AA235" i="9"/>
  <c r="Y225" i="11"/>
  <c r="AA225" i="11" s="1"/>
  <c r="Y225" i="12" s="1"/>
  <c r="AA225" i="12" s="1"/>
  <c r="Y225" i="13" s="1"/>
  <c r="AA225" i="13" s="1"/>
  <c r="Y225" i="14" s="1"/>
  <c r="AA225" i="14" s="1"/>
  <c r="Y225" i="15" s="1"/>
  <c r="AA225" i="15" s="1"/>
  <c r="Y225" i="16" s="1"/>
  <c r="AA225" i="16" s="1"/>
  <c r="AA222" i="10"/>
  <c r="AH223" i="11"/>
  <c r="AI223" i="11"/>
  <c r="AB236" i="8"/>
  <c r="AD235" i="7"/>
  <c r="AB228" i="10"/>
  <c r="AD227" i="9"/>
  <c r="AD220" i="9" s="1"/>
  <c r="BP30" i="9" s="1"/>
  <c r="BJ14" i="9" s="1"/>
  <c r="AD223" i="12"/>
  <c r="AB222" i="12"/>
  <c r="AD215" i="7"/>
  <c r="AB211" i="7"/>
  <c r="AB210" i="7" s="1"/>
  <c r="AB209" i="7" s="1"/>
  <c r="AB207" i="7" s="1"/>
  <c r="D123" i="6"/>
  <c r="X159" i="8"/>
  <c r="X239" i="10"/>
  <c r="AH239" i="10" s="1"/>
  <c r="AI70" i="12"/>
  <c r="C108" i="12"/>
  <c r="C99" i="12"/>
  <c r="BE22" i="5"/>
  <c r="F25" i="20" s="1"/>
  <c r="AI250" i="15"/>
  <c r="AI218" i="11"/>
  <c r="AW19" i="10"/>
  <c r="AG172" i="6"/>
  <c r="N90" i="6"/>
  <c r="AE187" i="6"/>
  <c r="AE185" i="6" s="1"/>
  <c r="AA235" i="6"/>
  <c r="Y235" i="6"/>
  <c r="D57" i="6"/>
  <c r="D45" i="6"/>
  <c r="U211" i="8"/>
  <c r="U210" i="8" s="1"/>
  <c r="U209" i="8" s="1"/>
  <c r="U207" i="8" s="1"/>
  <c r="AA222" i="8"/>
  <c r="Y222" i="8"/>
  <c r="X245" i="8"/>
  <c r="AI245" i="8" s="1"/>
  <c r="X160" i="8"/>
  <c r="X21" i="8"/>
  <c r="D57" i="8"/>
  <c r="D45" i="8"/>
  <c r="C51" i="9"/>
  <c r="AH202" i="9"/>
  <c r="AE172" i="9"/>
  <c r="AA222" i="9"/>
  <c r="Y235" i="9"/>
  <c r="D57" i="9"/>
  <c r="C51" i="7"/>
  <c r="AJ78" i="7"/>
  <c r="AH236" i="7"/>
  <c r="AH75" i="7"/>
  <c r="AA235" i="7"/>
  <c r="AJ48" i="7"/>
  <c r="D32" i="7"/>
  <c r="C35" i="10"/>
  <c r="AH80" i="10"/>
  <c r="AH248" i="11"/>
  <c r="X189" i="11"/>
  <c r="F27" i="11"/>
  <c r="M112" i="14"/>
  <c r="F34" i="14"/>
  <c r="M34" i="14" s="1"/>
  <c r="F15" i="14"/>
  <c r="X21" i="10"/>
  <c r="U20" i="10"/>
  <c r="D47" i="14"/>
  <c r="D45" i="13"/>
  <c r="D33" i="10"/>
  <c r="D32" i="9"/>
  <c r="D26" i="8"/>
  <c r="F26" i="8" s="1"/>
  <c r="D25" i="7"/>
  <c r="D14" i="10"/>
  <c r="D10" i="9"/>
  <c r="AH78" i="7"/>
  <c r="AI78" i="7"/>
  <c r="F62" i="7"/>
  <c r="C60" i="7"/>
  <c r="L119" i="7"/>
  <c r="J117" i="7"/>
  <c r="L67" i="9"/>
  <c r="J66" i="9"/>
  <c r="J50" i="10"/>
  <c r="L48" i="9"/>
  <c r="L46" i="9"/>
  <c r="J45" i="9"/>
  <c r="L33" i="11"/>
  <c r="J33" i="12" s="1"/>
  <c r="J32" i="11"/>
  <c r="W252" i="16"/>
  <c r="X252" i="16" s="1"/>
  <c r="X190" i="14"/>
  <c r="AI190" i="14" s="1"/>
  <c r="F82" i="12"/>
  <c r="F52" i="12"/>
  <c r="N34" i="14"/>
  <c r="AH182" i="13"/>
  <c r="AJ119" i="12"/>
  <c r="M39" i="20"/>
  <c r="F35" i="13"/>
  <c r="AJ26" i="12"/>
  <c r="BE3" i="11"/>
  <c r="BK3" i="11" s="1"/>
  <c r="BQ3" i="11" s="1"/>
  <c r="BN5" i="11" s="1"/>
  <c r="K123" i="5"/>
  <c r="N36" i="15"/>
  <c r="N103" i="11"/>
  <c r="N83" i="8"/>
  <c r="N81" i="8" s="1"/>
  <c r="AH218" i="6"/>
  <c r="AH47" i="6"/>
  <c r="BH5" i="6"/>
  <c r="C1" i="6"/>
  <c r="AI138" i="14"/>
  <c r="AH132" i="13"/>
  <c r="AI254" i="15"/>
  <c r="M88" i="12"/>
  <c r="M80" i="11"/>
  <c r="AJ3" i="9"/>
  <c r="BE3" i="15"/>
  <c r="BK3" i="15" s="1"/>
  <c r="BQ3" i="15" s="1"/>
  <c r="BN5" i="15" s="1"/>
  <c r="E123" i="5"/>
  <c r="D123" i="5"/>
  <c r="AE172" i="10"/>
  <c r="AJ189" i="6"/>
  <c r="AY11" i="8"/>
  <c r="AJ3" i="14"/>
  <c r="U203" i="6"/>
  <c r="C57" i="6"/>
  <c r="AH180" i="6"/>
  <c r="AG187" i="6"/>
  <c r="AG185" i="6" s="1"/>
  <c r="AE203" i="6"/>
  <c r="M90" i="6"/>
  <c r="AA243" i="6"/>
  <c r="AA211" i="6"/>
  <c r="AA210" i="6" s="1"/>
  <c r="AA209" i="6" s="1"/>
  <c r="Y243" i="6"/>
  <c r="Y211" i="6"/>
  <c r="Y210" i="6" s="1"/>
  <c r="Y209" i="6" s="1"/>
  <c r="Y207" i="6" s="1"/>
  <c r="AH256" i="6"/>
  <c r="AH252" i="6"/>
  <c r="AH248" i="6"/>
  <c r="F59" i="6"/>
  <c r="F53" i="6"/>
  <c r="F41" i="6"/>
  <c r="F26" i="6"/>
  <c r="F14" i="6"/>
  <c r="W90" i="6"/>
  <c r="D32" i="6"/>
  <c r="D10" i="6"/>
  <c r="C54" i="8"/>
  <c r="AJ78" i="8"/>
  <c r="AH225" i="8"/>
  <c r="N114" i="8"/>
  <c r="AA235" i="8"/>
  <c r="Y235" i="8"/>
  <c r="X115" i="8"/>
  <c r="AI115" i="8" s="1"/>
  <c r="X51" i="8"/>
  <c r="D32" i="8"/>
  <c r="D28" i="8" s="1"/>
  <c r="D10" i="8"/>
  <c r="C66" i="9"/>
  <c r="AB220" i="9"/>
  <c r="AJ163" i="9"/>
  <c r="AJ70" i="9"/>
  <c r="C117" i="9"/>
  <c r="W227" i="9"/>
  <c r="D45" i="9"/>
  <c r="AI201" i="7"/>
  <c r="M91" i="7"/>
  <c r="Y235" i="7"/>
  <c r="G81" i="7"/>
  <c r="G35" i="7"/>
  <c r="AH225" i="7"/>
  <c r="X165" i="7"/>
  <c r="AJ70" i="7"/>
  <c r="M110" i="7"/>
  <c r="W222" i="7"/>
  <c r="W172" i="7"/>
  <c r="D51" i="7"/>
  <c r="D10" i="7"/>
  <c r="C75" i="10"/>
  <c r="AH248" i="10"/>
  <c r="Y222" i="10"/>
  <c r="F53" i="10"/>
  <c r="F47" i="10"/>
  <c r="W172" i="10"/>
  <c r="D51" i="10"/>
  <c r="U141" i="11"/>
  <c r="M112" i="11"/>
  <c r="X249" i="11"/>
  <c r="X230" i="11"/>
  <c r="X216" i="11"/>
  <c r="X46" i="11"/>
  <c r="W172" i="11"/>
  <c r="D45" i="11"/>
  <c r="M91" i="12"/>
  <c r="AI252" i="12"/>
  <c r="AI248" i="12"/>
  <c r="X216" i="12"/>
  <c r="X201" i="12"/>
  <c r="X182" i="12"/>
  <c r="AH73" i="12"/>
  <c r="X68" i="12"/>
  <c r="W222" i="12"/>
  <c r="D45" i="12"/>
  <c r="X136" i="13"/>
  <c r="AJ136" i="13" s="1"/>
  <c r="X22" i="13"/>
  <c r="X17" i="13"/>
  <c r="X182" i="14"/>
  <c r="W57" i="14"/>
  <c r="X54" i="15"/>
  <c r="AB187" i="14"/>
  <c r="X236" i="16"/>
  <c r="X256" i="9"/>
  <c r="AH256" i="9" s="1"/>
  <c r="X201" i="9"/>
  <c r="X197" i="9"/>
  <c r="X189" i="9"/>
  <c r="X182" i="9"/>
  <c r="AH182" i="9" s="1"/>
  <c r="X178" i="9"/>
  <c r="X164" i="9"/>
  <c r="X138" i="9"/>
  <c r="AI138" i="9" s="1"/>
  <c r="X134" i="9"/>
  <c r="AH127" i="9"/>
  <c r="X22" i="9"/>
  <c r="X17" i="9"/>
  <c r="AQ22" i="9" s="1"/>
  <c r="F115" i="9"/>
  <c r="F96" i="9"/>
  <c r="M91" i="9"/>
  <c r="N50" i="9"/>
  <c r="F14" i="9"/>
  <c r="M14" i="9" s="1"/>
  <c r="E108" i="9"/>
  <c r="X256" i="7"/>
  <c r="AI256" i="7" s="1"/>
  <c r="AH248" i="7"/>
  <c r="AH238" i="7"/>
  <c r="AJ167" i="7"/>
  <c r="X159" i="7"/>
  <c r="AJ159" i="7" s="1"/>
  <c r="X129" i="7"/>
  <c r="X125" i="7"/>
  <c r="X119" i="7"/>
  <c r="X115" i="7"/>
  <c r="AI115" i="7" s="1"/>
  <c r="X98" i="7"/>
  <c r="X93" i="7"/>
  <c r="X86" i="7"/>
  <c r="X80" i="7"/>
  <c r="AH80" i="7" s="1"/>
  <c r="X76" i="7"/>
  <c r="X72" i="7"/>
  <c r="AI72" i="7" s="1"/>
  <c r="X22" i="7"/>
  <c r="X17" i="7"/>
  <c r="AQ22" i="7" s="1"/>
  <c r="F115" i="7"/>
  <c r="F106" i="7"/>
  <c r="F96" i="7"/>
  <c r="F88" i="7"/>
  <c r="AQ11" i="7" s="1"/>
  <c r="AZ11" i="7" s="1"/>
  <c r="F82" i="7"/>
  <c r="F76" i="7"/>
  <c r="F75" i="7" s="1"/>
  <c r="C66" i="7"/>
  <c r="C54" i="7"/>
  <c r="E108" i="7"/>
  <c r="X230" i="10"/>
  <c r="X224" i="10"/>
  <c r="X216" i="10"/>
  <c r="AI216" i="10" s="1"/>
  <c r="X212" i="10"/>
  <c r="X201" i="10"/>
  <c r="X197" i="10"/>
  <c r="X189" i="10"/>
  <c r="AH189" i="10" s="1"/>
  <c r="X182" i="10"/>
  <c r="X178" i="10"/>
  <c r="X168" i="10"/>
  <c r="X164" i="10"/>
  <c r="AH164" i="10" s="1"/>
  <c r="X138" i="10"/>
  <c r="X130" i="10"/>
  <c r="X126" i="10"/>
  <c r="BN19" i="10" s="1"/>
  <c r="X120" i="10"/>
  <c r="AH120" i="10" s="1"/>
  <c r="X99" i="10"/>
  <c r="X77" i="10"/>
  <c r="AI77" i="10" s="1"/>
  <c r="F112" i="10"/>
  <c r="F102" i="10"/>
  <c r="N102" i="10" s="1"/>
  <c r="F96" i="10"/>
  <c r="F14" i="10"/>
  <c r="F10" i="10" s="1"/>
  <c r="BC7" i="10" s="1"/>
  <c r="X256" i="11"/>
  <c r="AH191" i="11"/>
  <c r="X162" i="11"/>
  <c r="X136" i="11"/>
  <c r="AI136" i="11" s="1"/>
  <c r="X132" i="11"/>
  <c r="AI132" i="11" s="1"/>
  <c r="X66" i="11"/>
  <c r="U49" i="11"/>
  <c r="F62" i="11"/>
  <c r="M62" i="11" s="1"/>
  <c r="X136" i="12"/>
  <c r="X132" i="12"/>
  <c r="X66" i="12"/>
  <c r="AQ22" i="12" s="1"/>
  <c r="F47" i="12"/>
  <c r="N47" i="12" s="1"/>
  <c r="W57" i="12"/>
  <c r="X54" i="13"/>
  <c r="X25" i="13"/>
  <c r="F110" i="13"/>
  <c r="M110" i="13" s="1"/>
  <c r="F88" i="13"/>
  <c r="AQ11" i="13" s="1"/>
  <c r="F47" i="13"/>
  <c r="N47" i="13" s="1"/>
  <c r="F34" i="13"/>
  <c r="F15" i="13"/>
  <c r="W57" i="13"/>
  <c r="X256" i="14"/>
  <c r="AI256" i="14" s="1"/>
  <c r="X136" i="14"/>
  <c r="X125" i="14"/>
  <c r="X119" i="14"/>
  <c r="AJ119" i="14" s="1"/>
  <c r="X93" i="14"/>
  <c r="X86" i="14"/>
  <c r="AH86" i="14" s="1"/>
  <c r="X80" i="14"/>
  <c r="X72" i="14"/>
  <c r="AI72" i="14" s="1"/>
  <c r="X17" i="14"/>
  <c r="F115" i="14"/>
  <c r="N115" i="14" s="1"/>
  <c r="X256" i="15"/>
  <c r="AH256" i="15" s="1"/>
  <c r="X201" i="15"/>
  <c r="X151" i="15"/>
  <c r="U141" i="15"/>
  <c r="X136" i="15"/>
  <c r="AJ47" i="15"/>
  <c r="X200" i="16"/>
  <c r="AH200" i="16" s="1"/>
  <c r="Z145" i="13"/>
  <c r="AF145" i="13"/>
  <c r="AF90" i="13"/>
  <c r="AF63" i="13"/>
  <c r="AC43" i="13"/>
  <c r="AF43" i="13"/>
  <c r="N23" i="13"/>
  <c r="Z194" i="12"/>
  <c r="Z193" i="12" s="1"/>
  <c r="AF145" i="12"/>
  <c r="AF43" i="12"/>
  <c r="AF14" i="12" s="1"/>
  <c r="BQ28" i="12"/>
  <c r="AF193" i="12"/>
  <c r="M10" i="20"/>
  <c r="M9" i="20" s="1"/>
  <c r="BQ14" i="11"/>
  <c r="AC145" i="16"/>
  <c r="AL110" i="13"/>
  <c r="Q10" i="20"/>
  <c r="Q9" i="20" s="1"/>
  <c r="AC145" i="14"/>
  <c r="AC145" i="11"/>
  <c r="AC194" i="16"/>
  <c r="AC193" i="16" s="1"/>
  <c r="BK15" i="13"/>
  <c r="AC43" i="12"/>
  <c r="AC14" i="12" s="1"/>
  <c r="BQ16" i="15"/>
  <c r="P40" i="20" s="1"/>
  <c r="AC112" i="8"/>
  <c r="AH61" i="6"/>
  <c r="AJ61" i="6"/>
  <c r="AH253" i="8"/>
  <c r="AI253" i="8"/>
  <c r="AJ71" i="11"/>
  <c r="AH71" i="11"/>
  <c r="AG241" i="6"/>
  <c r="AE235" i="6"/>
  <c r="AE76" i="8"/>
  <c r="AG76" i="8" s="1"/>
  <c r="AE76" i="9" s="1"/>
  <c r="AG76" i="9" s="1"/>
  <c r="AE76" i="10" s="1"/>
  <c r="AG76" i="10" s="1"/>
  <c r="AE76" i="11" s="1"/>
  <c r="AG76" i="11" s="1"/>
  <c r="AE76" i="12" s="1"/>
  <c r="AG76" i="12" s="1"/>
  <c r="AE76" i="13" s="1"/>
  <c r="AG76" i="13" s="1"/>
  <c r="AE76" i="14" s="1"/>
  <c r="AG76" i="14" s="1"/>
  <c r="AJ76" i="7"/>
  <c r="AC90" i="13"/>
  <c r="AC90" i="14"/>
  <c r="AC63" i="14" s="1"/>
  <c r="AC112" i="15"/>
  <c r="AC145" i="12"/>
  <c r="AF170" i="15"/>
  <c r="BQ24" i="15" s="1"/>
  <c r="P48" i="20" s="1"/>
  <c r="AC194" i="13"/>
  <c r="AC193" i="13" s="1"/>
  <c r="AF220" i="16"/>
  <c r="BQ30" i="16" s="1"/>
  <c r="AC234" i="9"/>
  <c r="AC232" i="9" s="1"/>
  <c r="Z194" i="16"/>
  <c r="Z193" i="16" s="1"/>
  <c r="Z220" i="9"/>
  <c r="Z234" i="11"/>
  <c r="Z232" i="11" s="1"/>
  <c r="AM145" i="12"/>
  <c r="AM110" i="12" s="1"/>
  <c r="AM220" i="5"/>
  <c r="AM220" i="16"/>
  <c r="AL63" i="15"/>
  <c r="AL43" i="13"/>
  <c r="AM14" i="11"/>
  <c r="AL170" i="10"/>
  <c r="AL170" i="8"/>
  <c r="AL112" i="8"/>
  <c r="AE220" i="5"/>
  <c r="AE145" i="5"/>
  <c r="AB43" i="5"/>
  <c r="M52" i="6"/>
  <c r="N52" i="6"/>
  <c r="M67" i="8"/>
  <c r="N67" i="8"/>
  <c r="N49" i="8"/>
  <c r="M49" i="8"/>
  <c r="AE246" i="7"/>
  <c r="AG246" i="7" s="1"/>
  <c r="AJ246" i="6"/>
  <c r="AE94" i="8"/>
  <c r="AG94" i="8" s="1"/>
  <c r="AE94" i="9" s="1"/>
  <c r="AG94" i="9" s="1"/>
  <c r="AE94" i="10" s="1"/>
  <c r="AG94" i="10" s="1"/>
  <c r="AE94" i="11" s="1"/>
  <c r="AG94" i="11" s="1"/>
  <c r="AE94" i="12" s="1"/>
  <c r="AG94" i="12" s="1"/>
  <c r="AE94" i="13" s="1"/>
  <c r="AG94" i="13" s="1"/>
  <c r="AE94" i="14" s="1"/>
  <c r="AG94" i="14" s="1"/>
  <c r="AE94" i="15" s="1"/>
  <c r="AG94" i="15" s="1"/>
  <c r="AE94" i="16" s="1"/>
  <c r="AG94" i="16" s="1"/>
  <c r="AJ94" i="7"/>
  <c r="AF220" i="9"/>
  <c r="BQ30" i="9" s="1"/>
  <c r="AF234" i="12"/>
  <c r="AF232" i="12" s="1"/>
  <c r="BQ29" i="12" s="1"/>
  <c r="AF234" i="8"/>
  <c r="AF232" i="8" s="1"/>
  <c r="BQ29" i="8" s="1"/>
  <c r="Z112" i="12"/>
  <c r="Z110" i="12" s="1"/>
  <c r="Z170" i="12"/>
  <c r="Z220" i="13"/>
  <c r="Z234" i="10"/>
  <c r="Z232" i="10" s="1"/>
  <c r="AM145" i="7"/>
  <c r="AM145" i="16"/>
  <c r="AM220" i="12"/>
  <c r="AL145" i="12"/>
  <c r="AL170" i="11"/>
  <c r="AL170" i="5"/>
  <c r="AL112" i="5"/>
  <c r="AE112" i="5"/>
  <c r="AH214" i="6"/>
  <c r="AJ214" i="6"/>
  <c r="AI214" i="6"/>
  <c r="AG213" i="6"/>
  <c r="AE211" i="6"/>
  <c r="AE210" i="6" s="1"/>
  <c r="AE209" i="6" s="1"/>
  <c r="AE207" i="6" s="1"/>
  <c r="AC90" i="11"/>
  <c r="AC112" i="13"/>
  <c r="AC145" i="13"/>
  <c r="AC194" i="12"/>
  <c r="AC193" i="12" s="1"/>
  <c r="AC194" i="8"/>
  <c r="AC193" i="8" s="1"/>
  <c r="AF194" i="14"/>
  <c r="AC220" i="15"/>
  <c r="Z43" i="16"/>
  <c r="Z43" i="13"/>
  <c r="Z90" i="13"/>
  <c r="Z90" i="12"/>
  <c r="Z63" i="12" s="1"/>
  <c r="Z220" i="14"/>
  <c r="AM220" i="10"/>
  <c r="AL220" i="16"/>
  <c r="AL170" i="15"/>
  <c r="AL145" i="14"/>
  <c r="AL220" i="12"/>
  <c r="AL90" i="12"/>
  <c r="AL220" i="10"/>
  <c r="AL145" i="10"/>
  <c r="AL43" i="10"/>
  <c r="AL220" i="9"/>
  <c r="AL112" i="9"/>
  <c r="AL145" i="8"/>
  <c r="AL43" i="8"/>
  <c r="AL220" i="7"/>
  <c r="AL170" i="7"/>
  <c r="AL145" i="7"/>
  <c r="AL234" i="5"/>
  <c r="AL232" i="5" s="1"/>
  <c r="AL110" i="5"/>
  <c r="AB112" i="5"/>
  <c r="AB110" i="5" s="1"/>
  <c r="AB90" i="5"/>
  <c r="Y220" i="5"/>
  <c r="AI29" i="6"/>
  <c r="AH29" i="6"/>
  <c r="AJ29" i="6"/>
  <c r="AG117" i="6"/>
  <c r="AE114" i="6"/>
  <c r="AM234" i="9"/>
  <c r="AM232" i="9" s="1"/>
  <c r="K85" i="12"/>
  <c r="W220" i="5"/>
  <c r="V90" i="5"/>
  <c r="V63" i="5" s="1"/>
  <c r="AF90" i="5"/>
  <c r="X211" i="5"/>
  <c r="X210" i="5" s="1"/>
  <c r="X209" i="5" s="1"/>
  <c r="F81" i="5"/>
  <c r="AF220" i="6"/>
  <c r="BQ30" i="6" s="1"/>
  <c r="AC220" i="6"/>
  <c r="AC145" i="6"/>
  <c r="Z220" i="6"/>
  <c r="AI71" i="8"/>
  <c r="AH133" i="8"/>
  <c r="U83" i="8"/>
  <c r="AI37" i="9"/>
  <c r="AH117" i="9"/>
  <c r="M97" i="9"/>
  <c r="U195" i="7"/>
  <c r="AI238" i="7"/>
  <c r="AC90" i="7"/>
  <c r="V220" i="7"/>
  <c r="U203" i="11"/>
  <c r="U222" i="12"/>
  <c r="U220" i="12" s="1"/>
  <c r="C35" i="13"/>
  <c r="C117" i="13"/>
  <c r="F42" i="13"/>
  <c r="AQ10" i="13" s="1"/>
  <c r="AJ178" i="11"/>
  <c r="V170" i="5"/>
  <c r="N54" i="5"/>
  <c r="F45" i="5"/>
  <c r="AJ120" i="6"/>
  <c r="AH71" i="8"/>
  <c r="U235" i="9"/>
  <c r="C32" i="7"/>
  <c r="C48" i="11"/>
  <c r="AI241" i="14"/>
  <c r="N88" i="14"/>
  <c r="U222" i="14"/>
  <c r="AM43" i="16"/>
  <c r="K28" i="15"/>
  <c r="Q28" i="15"/>
  <c r="H28" i="16"/>
  <c r="H21" i="16" s="1"/>
  <c r="H19" i="16" s="1"/>
  <c r="H17" i="16" s="1"/>
  <c r="H8" i="16" s="1"/>
  <c r="AF43" i="16"/>
  <c r="AF14" i="16" s="1"/>
  <c r="K85" i="5"/>
  <c r="Z220" i="5"/>
  <c r="V90" i="6"/>
  <c r="AI133" i="8"/>
  <c r="AD220" i="8"/>
  <c r="BP30" i="8" s="1"/>
  <c r="BJ14" i="8" s="1"/>
  <c r="AH214" i="9"/>
  <c r="V234" i="7"/>
  <c r="V232" i="7" s="1"/>
  <c r="AJ80" i="10"/>
  <c r="C35" i="12"/>
  <c r="AH25" i="13"/>
  <c r="P28" i="14"/>
  <c r="AF90" i="12"/>
  <c r="AF234" i="5"/>
  <c r="AF232" i="5" s="1"/>
  <c r="BQ29" i="5" s="1"/>
  <c r="M45" i="5"/>
  <c r="AE104" i="6"/>
  <c r="AJ163" i="14"/>
  <c r="AJ125" i="13"/>
  <c r="AJ101" i="12"/>
  <c r="X129" i="14"/>
  <c r="U114" i="16"/>
  <c r="X78" i="16"/>
  <c r="AH78" i="16" s="1"/>
  <c r="X81" i="16"/>
  <c r="F86" i="16"/>
  <c r="AI127" i="7"/>
  <c r="BE10" i="11"/>
  <c r="BE9" i="11" s="1"/>
  <c r="BE8" i="11" s="1"/>
  <c r="L42" i="11"/>
  <c r="AS10" i="11" s="1"/>
  <c r="H21" i="11"/>
  <c r="H19" i="11" s="1"/>
  <c r="H17" i="11" s="1"/>
  <c r="H8" i="11" s="1"/>
  <c r="AC234" i="11"/>
  <c r="AC232" i="11" s="1"/>
  <c r="AF194" i="11"/>
  <c r="BQ28" i="11" s="1"/>
  <c r="AC194" i="11"/>
  <c r="AC193" i="11" s="1"/>
  <c r="Z194" i="11"/>
  <c r="Z193" i="11" s="1"/>
  <c r="AI199" i="15"/>
  <c r="AD187" i="11"/>
  <c r="AB187" i="13"/>
  <c r="AD187" i="12"/>
  <c r="AD187" i="13"/>
  <c r="Z145" i="11"/>
  <c r="Z110" i="11" s="1"/>
  <c r="AF145" i="11"/>
  <c r="AF110" i="11" s="1"/>
  <c r="BQ17" i="11"/>
  <c r="L41" i="20" s="1"/>
  <c r="BQ16" i="11"/>
  <c r="AI132" i="16"/>
  <c r="AC112" i="11"/>
  <c r="AC110" i="11" s="1"/>
  <c r="AA105" i="16"/>
  <c r="AA104" i="16" s="1"/>
  <c r="AJ85" i="12"/>
  <c r="Z43" i="11"/>
  <c r="Z14" i="11" s="1"/>
  <c r="W149" i="16"/>
  <c r="X236" i="13"/>
  <c r="X151" i="14"/>
  <c r="AM145" i="10"/>
  <c r="X151" i="11"/>
  <c r="AJ151" i="11" s="1"/>
  <c r="X151" i="12"/>
  <c r="AJ151" i="12" s="1"/>
  <c r="W149" i="14"/>
  <c r="X156" i="13"/>
  <c r="X236" i="12"/>
  <c r="X236" i="14"/>
  <c r="X151" i="13"/>
  <c r="AJ151" i="13" s="1"/>
  <c r="W149" i="15"/>
  <c r="AM145" i="11"/>
  <c r="AM110" i="11" s="1"/>
  <c r="X156" i="11"/>
  <c r="AI156" i="11" s="1"/>
  <c r="AF234" i="10"/>
  <c r="AF232" i="10" s="1"/>
  <c r="BQ29" i="10" s="1"/>
  <c r="AC194" i="10"/>
  <c r="AC193" i="10" s="1"/>
  <c r="AH204" i="12"/>
  <c r="AH203" i="12" s="1"/>
  <c r="Z145" i="10"/>
  <c r="AC145" i="10"/>
  <c r="BQ16" i="10"/>
  <c r="K40" i="20" s="1"/>
  <c r="AC112" i="10"/>
  <c r="AH124" i="10"/>
  <c r="AC90" i="10"/>
  <c r="Z90" i="10"/>
  <c r="Z63" i="10" s="1"/>
  <c r="BK9" i="10"/>
  <c r="AC43" i="10"/>
  <c r="AC14" i="10" s="1"/>
  <c r="AF43" i="10"/>
  <c r="AC90" i="9"/>
  <c r="AC63" i="9" s="1"/>
  <c r="AC43" i="9"/>
  <c r="AC14" i="9" s="1"/>
  <c r="N44" i="12"/>
  <c r="L42" i="14"/>
  <c r="AS10" i="14" s="1"/>
  <c r="AX10" i="12"/>
  <c r="AZ10" i="12" s="1"/>
  <c r="AX10" i="10"/>
  <c r="L42" i="12"/>
  <c r="AS10" i="12" s="1"/>
  <c r="AV10" i="12" s="1"/>
  <c r="J42" i="12"/>
  <c r="J42" i="13"/>
  <c r="N43" i="12"/>
  <c r="J42" i="11"/>
  <c r="J42" i="14"/>
  <c r="AX10" i="11"/>
  <c r="J42" i="10"/>
  <c r="Z234" i="9"/>
  <c r="Z232" i="9" s="1"/>
  <c r="Z194" i="9"/>
  <c r="Z193" i="9" s="1"/>
  <c r="AE178" i="12"/>
  <c r="AG178" i="12" s="1"/>
  <c r="AJ178" i="12" s="1"/>
  <c r="AD172" i="9"/>
  <c r="AA172" i="11"/>
  <c r="AA172" i="12"/>
  <c r="Y172" i="12"/>
  <c r="Y172" i="16"/>
  <c r="Y172" i="14"/>
  <c r="AA172" i="9"/>
  <c r="AA172" i="13"/>
  <c r="Y172" i="15"/>
  <c r="AA172" i="14"/>
  <c r="Y172" i="10"/>
  <c r="Y172" i="11"/>
  <c r="Y172" i="13"/>
  <c r="AI166" i="13"/>
  <c r="AF145" i="9"/>
  <c r="AJ156" i="9"/>
  <c r="Z145" i="9"/>
  <c r="AI128" i="13"/>
  <c r="BR19" i="16"/>
  <c r="AH125" i="10"/>
  <c r="AC112" i="9"/>
  <c r="Y105" i="12"/>
  <c r="AJ101" i="10"/>
  <c r="AH93" i="13"/>
  <c r="AI72" i="13"/>
  <c r="AI72" i="12"/>
  <c r="AI72" i="11"/>
  <c r="AJ59" i="13"/>
  <c r="AG58" i="13"/>
  <c r="AG57" i="13" s="1"/>
  <c r="AJ54" i="9"/>
  <c r="N44" i="15"/>
  <c r="AX10" i="14"/>
  <c r="L42" i="9"/>
  <c r="AS10" i="9" s="1"/>
  <c r="L42" i="13"/>
  <c r="AS10" i="13" s="1"/>
  <c r="AV10" i="13" s="1"/>
  <c r="AX10" i="13"/>
  <c r="AZ10" i="13" s="1"/>
  <c r="L42" i="10"/>
  <c r="AS10" i="10" s="1"/>
  <c r="K85" i="9"/>
  <c r="BF18" i="10"/>
  <c r="BF18" i="13" s="1"/>
  <c r="BF18" i="16" s="1"/>
  <c r="N87" i="12"/>
  <c r="N87" i="14"/>
  <c r="BF16" i="10"/>
  <c r="BF16" i="13" s="1"/>
  <c r="BF16" i="16" s="1"/>
  <c r="J22" i="12"/>
  <c r="AX7" i="10"/>
  <c r="AX7" i="9"/>
  <c r="AI166" i="12"/>
  <c r="AI166" i="8"/>
  <c r="BP26" i="13"/>
  <c r="Z194" i="8"/>
  <c r="Z193" i="8" s="1"/>
  <c r="BP26" i="10"/>
  <c r="BP26" i="8"/>
  <c r="AD188" i="14"/>
  <c r="AB188" i="15" s="1"/>
  <c r="AD188" i="15" s="1"/>
  <c r="AD187" i="8"/>
  <c r="AD187" i="10"/>
  <c r="AB187" i="12"/>
  <c r="AD187" i="9"/>
  <c r="AB187" i="9"/>
  <c r="AB187" i="11"/>
  <c r="AA187" i="9"/>
  <c r="AA185" i="9" s="1"/>
  <c r="Y187" i="9"/>
  <c r="Y185" i="9" s="1"/>
  <c r="Y187" i="10"/>
  <c r="Z170" i="8"/>
  <c r="AC145" i="8"/>
  <c r="Z145" i="8"/>
  <c r="BP18" i="11"/>
  <c r="AI128" i="8"/>
  <c r="AI128" i="11"/>
  <c r="Z112" i="8"/>
  <c r="AJ125" i="12"/>
  <c r="BK15" i="8"/>
  <c r="AA105" i="8"/>
  <c r="AA104" i="8" s="1"/>
  <c r="AA105" i="11"/>
  <c r="AA104" i="11" s="1"/>
  <c r="AA105" i="9"/>
  <c r="AA104" i="9" s="1"/>
  <c r="AJ98" i="9"/>
  <c r="AF90" i="8"/>
  <c r="AF63" i="8" s="1"/>
  <c r="AC90" i="8"/>
  <c r="AC63" i="8" s="1"/>
  <c r="BQ14" i="8"/>
  <c r="AH67" i="15"/>
  <c r="AA58" i="8"/>
  <c r="AA57" i="8" s="1"/>
  <c r="AE58" i="9"/>
  <c r="AE57" i="9" s="1"/>
  <c r="AH59" i="13"/>
  <c r="Y58" i="15"/>
  <c r="Y57" i="15" s="1"/>
  <c r="AJ54" i="11"/>
  <c r="AF43" i="8"/>
  <c r="AC43" i="8"/>
  <c r="AI36" i="11"/>
  <c r="AI36" i="10"/>
  <c r="AH36" i="12"/>
  <c r="AH36" i="9"/>
  <c r="BO11" i="14"/>
  <c r="J72" i="10"/>
  <c r="I42" i="10"/>
  <c r="AR10" i="10" s="1"/>
  <c r="BD16" i="11"/>
  <c r="I42" i="11"/>
  <c r="AR10" i="11" s="1"/>
  <c r="BE10" i="8"/>
  <c r="BE9" i="8" s="1"/>
  <c r="BE8" i="8" s="1"/>
  <c r="BF11" i="10"/>
  <c r="BF11" i="13" s="1"/>
  <c r="BF11" i="16" s="1"/>
  <c r="AX7" i="11"/>
  <c r="J22" i="9"/>
  <c r="J22" i="11"/>
  <c r="AX7" i="8"/>
  <c r="L22" i="10"/>
  <c r="AS7" i="10" s="1"/>
  <c r="N24" i="11"/>
  <c r="L22" i="12"/>
  <c r="AS7" i="12" s="1"/>
  <c r="L22" i="13"/>
  <c r="AS7" i="13" s="1"/>
  <c r="J22" i="13"/>
  <c r="AX7" i="13"/>
  <c r="J22" i="14"/>
  <c r="AX7" i="12"/>
  <c r="L22" i="8"/>
  <c r="AS7" i="8" s="1"/>
  <c r="L22" i="9"/>
  <c r="AS7" i="9" s="1"/>
  <c r="J22" i="10"/>
  <c r="L22" i="11"/>
  <c r="AS7" i="11" s="1"/>
  <c r="Z234" i="7"/>
  <c r="Z232" i="7" s="1"/>
  <c r="AH244" i="11"/>
  <c r="BD16" i="14"/>
  <c r="BD16" i="10"/>
  <c r="I42" i="13"/>
  <c r="AR10" i="13" s="1"/>
  <c r="AU10" i="13" s="1"/>
  <c r="G42" i="13"/>
  <c r="BD11" i="13"/>
  <c r="AG172" i="10"/>
  <c r="AE174" i="11"/>
  <c r="AE172" i="11" s="1"/>
  <c r="AG172" i="8"/>
  <c r="AE172" i="8"/>
  <c r="AG172" i="9"/>
  <c r="AG172" i="7"/>
  <c r="AH204" i="13"/>
  <c r="AH203" i="13" s="1"/>
  <c r="AA203" i="13"/>
  <c r="Y203" i="8"/>
  <c r="BP26" i="12"/>
  <c r="BP26" i="9"/>
  <c r="BP26" i="7"/>
  <c r="BP26" i="11"/>
  <c r="AI180" i="12"/>
  <c r="AI180" i="14"/>
  <c r="AH180" i="12"/>
  <c r="AH180" i="7"/>
  <c r="BP23" i="11"/>
  <c r="BP23" i="13"/>
  <c r="Z145" i="7"/>
  <c r="Z110" i="7" s="1"/>
  <c r="AE151" i="14"/>
  <c r="AG151" i="14" s="1"/>
  <c r="AE151" i="15" s="1"/>
  <c r="AI151" i="7"/>
  <c r="AI128" i="12"/>
  <c r="AI128" i="14"/>
  <c r="AH127" i="11"/>
  <c r="AH127" i="10"/>
  <c r="AH127" i="7"/>
  <c r="AH124" i="12"/>
  <c r="AH124" i="8"/>
  <c r="AF110" i="7"/>
  <c r="AE105" i="10"/>
  <c r="AE104" i="10" s="1"/>
  <c r="AE105" i="11"/>
  <c r="AE104" i="11" s="1"/>
  <c r="AF90" i="7"/>
  <c r="AF63" i="7" s="1"/>
  <c r="Z90" i="7"/>
  <c r="Z63" i="7" s="1"/>
  <c r="AH97" i="15"/>
  <c r="AI93" i="13"/>
  <c r="BQ13" i="7"/>
  <c r="H37" i="20" s="1"/>
  <c r="AH86" i="8"/>
  <c r="BO11" i="11"/>
  <c r="AH67" i="12"/>
  <c r="BO11" i="9"/>
  <c r="BO11" i="8"/>
  <c r="BO11" i="10"/>
  <c r="BO11" i="16"/>
  <c r="BO11" i="7"/>
  <c r="AH67" i="14"/>
  <c r="AH67" i="13"/>
  <c r="AH67" i="8"/>
  <c r="AH67" i="9"/>
  <c r="AA58" i="11"/>
  <c r="AA57" i="11" s="1"/>
  <c r="Y58" i="8"/>
  <c r="Y57" i="8" s="1"/>
  <c r="Y58" i="10"/>
  <c r="Y57" i="10" s="1"/>
  <c r="AJ59" i="7"/>
  <c r="AG58" i="11"/>
  <c r="AG57" i="11" s="1"/>
  <c r="AE58" i="8"/>
  <c r="AE57" i="8" s="1"/>
  <c r="AE58" i="12"/>
  <c r="AE57" i="12" s="1"/>
  <c r="AI53" i="10"/>
  <c r="AJ46" i="9"/>
  <c r="AJ46" i="8"/>
  <c r="AJ46" i="11"/>
  <c r="AH46" i="9"/>
  <c r="Z43" i="7"/>
  <c r="Z14" i="7" s="1"/>
  <c r="AJ36" i="12"/>
  <c r="AJ36" i="8"/>
  <c r="BQ12" i="7"/>
  <c r="BQ9" i="7" s="1"/>
  <c r="W195" i="8"/>
  <c r="W194" i="8" s="1"/>
  <c r="W193" i="8" s="1"/>
  <c r="X196" i="14"/>
  <c r="X196" i="8"/>
  <c r="X196" i="10"/>
  <c r="BN26" i="10" s="1"/>
  <c r="W149" i="10"/>
  <c r="W147" i="10" s="1"/>
  <c r="W149" i="12"/>
  <c r="W147" i="12" s="1"/>
  <c r="W149" i="13"/>
  <c r="W149" i="8"/>
  <c r="W147" i="8" s="1"/>
  <c r="W149" i="11"/>
  <c r="W147" i="11" s="1"/>
  <c r="W141" i="8"/>
  <c r="X142" i="8"/>
  <c r="W141" i="9"/>
  <c r="W141" i="10"/>
  <c r="X142" i="9"/>
  <c r="X81" i="12"/>
  <c r="AI81" i="12" s="1"/>
  <c r="L72" i="13"/>
  <c r="J72" i="13"/>
  <c r="J72" i="14"/>
  <c r="N73" i="7"/>
  <c r="N64" i="7"/>
  <c r="AW10" i="14"/>
  <c r="AW10" i="11"/>
  <c r="AW10" i="10"/>
  <c r="BD16" i="8"/>
  <c r="G42" i="12"/>
  <c r="M43" i="12"/>
  <c r="M42" i="12" s="1"/>
  <c r="AW10" i="15"/>
  <c r="AW10" i="12"/>
  <c r="AY10" i="12" s="1"/>
  <c r="BD16" i="7"/>
  <c r="I42" i="9"/>
  <c r="AR10" i="9" s="1"/>
  <c r="I42" i="12"/>
  <c r="AR10" i="12" s="1"/>
  <c r="AU10" i="12" s="1"/>
  <c r="G42" i="14"/>
  <c r="BD16" i="13"/>
  <c r="BD16" i="9"/>
  <c r="I42" i="7"/>
  <c r="AR10" i="7" s="1"/>
  <c r="I42" i="14"/>
  <c r="AR10" i="14" s="1"/>
  <c r="G42" i="15"/>
  <c r="AW10" i="13"/>
  <c r="AY10" i="13" s="1"/>
  <c r="BD16" i="12"/>
  <c r="AW10" i="9"/>
  <c r="AW10" i="8"/>
  <c r="AW10" i="7"/>
  <c r="I42" i="8"/>
  <c r="AR10" i="8" s="1"/>
  <c r="G42" i="8"/>
  <c r="G42" i="9"/>
  <c r="M43" i="7"/>
  <c r="G42" i="10"/>
  <c r="G42" i="11"/>
  <c r="N27" i="9"/>
  <c r="N27" i="7"/>
  <c r="AX8" i="12"/>
  <c r="AX8" i="11"/>
  <c r="L25" i="8"/>
  <c r="AS8" i="8" s="1"/>
  <c r="L25" i="10"/>
  <c r="AS8" i="10" s="1"/>
  <c r="J25" i="10"/>
  <c r="J25" i="13"/>
  <c r="AX8" i="9"/>
  <c r="J25" i="8"/>
  <c r="L25" i="9"/>
  <c r="AS8" i="9" s="1"/>
  <c r="J25" i="11"/>
  <c r="G26" i="15"/>
  <c r="G25" i="15" s="1"/>
  <c r="K10" i="6"/>
  <c r="BE7" i="6" s="1"/>
  <c r="BF7" i="7" s="1"/>
  <c r="BF7" i="10" s="1"/>
  <c r="BF7" i="13" s="1"/>
  <c r="BF7" i="16" s="1"/>
  <c r="L15" i="6"/>
  <c r="AM112" i="6"/>
  <c r="X102" i="8"/>
  <c r="AJ102" i="8" s="1"/>
  <c r="X102" i="13"/>
  <c r="AJ102" i="13" s="1"/>
  <c r="X102" i="7"/>
  <c r="AI102" i="7" s="1"/>
  <c r="X102" i="10"/>
  <c r="AH102" i="10" s="1"/>
  <c r="W83" i="6"/>
  <c r="W63" i="6" s="1"/>
  <c r="W83" i="8"/>
  <c r="W83" i="7"/>
  <c r="X81" i="6"/>
  <c r="AI81" i="6" s="1"/>
  <c r="X81" i="10"/>
  <c r="AI81" i="10" s="1"/>
  <c r="X81" i="8"/>
  <c r="AH81" i="8" s="1"/>
  <c r="X88" i="8"/>
  <c r="AH88" i="8" s="1"/>
  <c r="X88" i="7"/>
  <c r="AI88" i="7" s="1"/>
  <c r="X88" i="14"/>
  <c r="AH88" i="14" s="1"/>
  <c r="X153" i="10"/>
  <c r="AH153" i="10" s="1"/>
  <c r="X205" i="10"/>
  <c r="AH205" i="10" s="1"/>
  <c r="X205" i="15"/>
  <c r="AH205" i="15" s="1"/>
  <c r="X205" i="8"/>
  <c r="AI205" i="8" s="1"/>
  <c r="V194" i="8"/>
  <c r="V193" i="8" s="1"/>
  <c r="X205" i="13"/>
  <c r="AH205" i="13" s="1"/>
  <c r="V114" i="7"/>
  <c r="X121" i="8"/>
  <c r="AI121" i="8" s="1"/>
  <c r="X121" i="9"/>
  <c r="AI121" i="9" s="1"/>
  <c r="X121" i="14"/>
  <c r="AI121" i="14" s="1"/>
  <c r="X121" i="6"/>
  <c r="AI121" i="6" s="1"/>
  <c r="V114" i="8"/>
  <c r="X55" i="7"/>
  <c r="AJ55" i="7" s="1"/>
  <c r="F102" i="6"/>
  <c r="M102" i="6" s="1"/>
  <c r="F102" i="9"/>
  <c r="N102" i="9" s="1"/>
  <c r="F102" i="7"/>
  <c r="AA105" i="14"/>
  <c r="AA104" i="14" s="1"/>
  <c r="AI93" i="14"/>
  <c r="AB93" i="15"/>
  <c r="AD93" i="15" s="1"/>
  <c r="AB93" i="16" s="1"/>
  <c r="AD93" i="16" s="1"/>
  <c r="AI93" i="9"/>
  <c r="AH60" i="10"/>
  <c r="Y58" i="9"/>
  <c r="Y57" i="9" s="1"/>
  <c r="AA58" i="7"/>
  <c r="AA57" i="7" s="1"/>
  <c r="AA58" i="10"/>
  <c r="AA57" i="10" s="1"/>
  <c r="Y58" i="11"/>
  <c r="Y57" i="11" s="1"/>
  <c r="AA58" i="12"/>
  <c r="AA57" i="12" s="1"/>
  <c r="Y58" i="13"/>
  <c r="Y57" i="13" s="1"/>
  <c r="AA58" i="6"/>
  <c r="AA57" i="6" s="1"/>
  <c r="Y58" i="12"/>
  <c r="Y57" i="12" s="1"/>
  <c r="AA58" i="13"/>
  <c r="AA57" i="13" s="1"/>
  <c r="AH59" i="14"/>
  <c r="AH59" i="7"/>
  <c r="Y58" i="14"/>
  <c r="Y57" i="14" s="1"/>
  <c r="AH59" i="9"/>
  <c r="AA58" i="9"/>
  <c r="AA57" i="9" s="1"/>
  <c r="AF43" i="6"/>
  <c r="AF14" i="6" s="1"/>
  <c r="AD44" i="10"/>
  <c r="AD44" i="8"/>
  <c r="AD44" i="12"/>
  <c r="AD44" i="11"/>
  <c r="AA96" i="9"/>
  <c r="AH99" i="9"/>
  <c r="AH99" i="7"/>
  <c r="X55" i="8"/>
  <c r="AJ55" i="8" s="1"/>
  <c r="X55" i="9"/>
  <c r="AJ55" i="9" s="1"/>
  <c r="X55" i="10"/>
  <c r="AJ55" i="10" s="1"/>
  <c r="X55" i="11"/>
  <c r="AJ55" i="11" s="1"/>
  <c r="AD243" i="9"/>
  <c r="AI244" i="11"/>
  <c r="AD243" i="6"/>
  <c r="AB243" i="7"/>
  <c r="AD243" i="8"/>
  <c r="AB243" i="8"/>
  <c r="AG203" i="6"/>
  <c r="BQ28" i="6"/>
  <c r="G52" i="20" s="1"/>
  <c r="AA203" i="6"/>
  <c r="AA203" i="10"/>
  <c r="AA203" i="14"/>
  <c r="AI199" i="9"/>
  <c r="AI199" i="16"/>
  <c r="AI199" i="12"/>
  <c r="AI199" i="14"/>
  <c r="AL170" i="6"/>
  <c r="V176" i="8"/>
  <c r="X183" i="16"/>
  <c r="AH183" i="16" s="1"/>
  <c r="X183" i="6"/>
  <c r="X183" i="9"/>
  <c r="X183" i="8"/>
  <c r="X183" i="15"/>
  <c r="AH183" i="15" s="1"/>
  <c r="X183" i="7"/>
  <c r="X179" i="6"/>
  <c r="X179" i="9"/>
  <c r="AH179" i="9" s="1"/>
  <c r="X179" i="7"/>
  <c r="AJ179" i="7" s="1"/>
  <c r="V176" i="7"/>
  <c r="V176" i="10"/>
  <c r="V176" i="6"/>
  <c r="X179" i="8"/>
  <c r="AH179" i="8" s="1"/>
  <c r="V176" i="9"/>
  <c r="AJ177" i="9"/>
  <c r="V172" i="6"/>
  <c r="X174" i="7"/>
  <c r="X174" i="6"/>
  <c r="V172" i="8"/>
  <c r="X174" i="10"/>
  <c r="AH174" i="10" s="1"/>
  <c r="X174" i="12"/>
  <c r="AH174" i="12" s="1"/>
  <c r="AI168" i="6"/>
  <c r="AL145" i="6"/>
  <c r="AL110" i="6" s="1"/>
  <c r="X168" i="7"/>
  <c r="V155" i="7"/>
  <c r="X168" i="13"/>
  <c r="X168" i="14"/>
  <c r="AH168" i="14" s="1"/>
  <c r="X168" i="8"/>
  <c r="AI168" i="8" s="1"/>
  <c r="X168" i="9"/>
  <c r="AI168" i="9" s="1"/>
  <c r="X168" i="11"/>
  <c r="AJ161" i="11"/>
  <c r="Z145" i="6"/>
  <c r="BP18" i="6"/>
  <c r="AM145" i="6"/>
  <c r="V147" i="6"/>
  <c r="V145" i="6" s="1"/>
  <c r="X153" i="9"/>
  <c r="X153" i="7"/>
  <c r="AI153" i="7" s="1"/>
  <c r="X153" i="6"/>
  <c r="AJ153" i="6" s="1"/>
  <c r="X153" i="8"/>
  <c r="AJ153" i="8" s="1"/>
  <c r="AJ152" i="9"/>
  <c r="AJ152" i="7"/>
  <c r="AG149" i="6"/>
  <c r="AG147" i="6" s="1"/>
  <c r="AE149" i="9"/>
  <c r="AE147" i="9" s="1"/>
  <c r="AE149" i="10"/>
  <c r="AE147" i="10" s="1"/>
  <c r="AG149" i="7"/>
  <c r="AG147" i="7" s="1"/>
  <c r="AG149" i="10"/>
  <c r="AG147" i="10" s="1"/>
  <c r="AE149" i="8"/>
  <c r="AE147" i="8" s="1"/>
  <c r="AG149" i="9"/>
  <c r="AG147" i="9" s="1"/>
  <c r="AE149" i="11"/>
  <c r="AE147" i="11" s="1"/>
  <c r="AG149" i="8"/>
  <c r="AG147" i="8" s="1"/>
  <c r="AE149" i="7"/>
  <c r="AE147" i="7" s="1"/>
  <c r="Z112" i="6"/>
  <c r="BQ17" i="6"/>
  <c r="G41" i="20" s="1"/>
  <c r="AF112" i="6"/>
  <c r="AG114" i="6"/>
  <c r="AJ121" i="7"/>
  <c r="X121" i="11"/>
  <c r="AJ121" i="11" s="1"/>
  <c r="X121" i="12"/>
  <c r="AJ121" i="12" s="1"/>
  <c r="X121" i="10"/>
  <c r="AH121" i="10" s="1"/>
  <c r="X121" i="15"/>
  <c r="AH121" i="15" s="1"/>
  <c r="AJ116" i="6"/>
  <c r="AJ115" i="8"/>
  <c r="AG105" i="7"/>
  <c r="AG104" i="7" s="1"/>
  <c r="AE105" i="8"/>
  <c r="AE104" i="8" s="1"/>
  <c r="AG105" i="6"/>
  <c r="AG104" i="6" s="1"/>
  <c r="AG105" i="8"/>
  <c r="AG104" i="8" s="1"/>
  <c r="AE105" i="9"/>
  <c r="AE104" i="9" s="1"/>
  <c r="AE105" i="7"/>
  <c r="AE104" i="7" s="1"/>
  <c r="AF90" i="6"/>
  <c r="AF63" i="6" s="1"/>
  <c r="AJ100" i="6"/>
  <c r="AJ98" i="8"/>
  <c r="X88" i="11"/>
  <c r="AH88" i="11" s="1"/>
  <c r="X88" i="12"/>
  <c r="X88" i="6"/>
  <c r="AH88" i="6" s="1"/>
  <c r="V83" i="6"/>
  <c r="V83" i="8"/>
  <c r="X88" i="9"/>
  <c r="AJ88" i="9" s="1"/>
  <c r="X88" i="10"/>
  <c r="AJ88" i="10" s="1"/>
  <c r="X88" i="15"/>
  <c r="X88" i="16"/>
  <c r="AG83" i="6"/>
  <c r="AH86" i="12"/>
  <c r="AH86" i="13"/>
  <c r="Y83" i="9"/>
  <c r="Y83" i="11"/>
  <c r="AI77" i="12"/>
  <c r="AI77" i="13"/>
  <c r="AI77" i="9"/>
  <c r="AI77" i="14"/>
  <c r="AH72" i="13"/>
  <c r="AH72" i="12"/>
  <c r="AJ66" i="14"/>
  <c r="AH66" i="8"/>
  <c r="AG58" i="8"/>
  <c r="AG57" i="8" s="1"/>
  <c r="AG58" i="9"/>
  <c r="AG57" i="9" s="1"/>
  <c r="AG58" i="7"/>
  <c r="AG57" i="7" s="1"/>
  <c r="AE58" i="7"/>
  <c r="AE57" i="7" s="1"/>
  <c r="AG58" i="10"/>
  <c r="AG57" i="10" s="1"/>
  <c r="AE58" i="10"/>
  <c r="AE57" i="10" s="1"/>
  <c r="AE58" i="13"/>
  <c r="AE57" i="13" s="1"/>
  <c r="AG58" i="6"/>
  <c r="AG57" i="6" s="1"/>
  <c r="AJ59" i="9"/>
  <c r="AE58" i="11"/>
  <c r="AE57" i="11" s="1"/>
  <c r="AG58" i="12"/>
  <c r="AG57" i="12" s="1"/>
  <c r="AC43" i="6"/>
  <c r="AC14" i="6" s="1"/>
  <c r="AJ50" i="9"/>
  <c r="AI36" i="12"/>
  <c r="AI36" i="15"/>
  <c r="X41" i="7"/>
  <c r="AI41" i="7" s="1"/>
  <c r="X33" i="7"/>
  <c r="AJ33" i="7" s="1"/>
  <c r="X33" i="9"/>
  <c r="AJ33" i="9" s="1"/>
  <c r="X33" i="6"/>
  <c r="AJ33" i="6" s="1"/>
  <c r="X33" i="8"/>
  <c r="AJ33" i="8" s="1"/>
  <c r="AI36" i="9"/>
  <c r="AI36" i="8"/>
  <c r="AI36" i="14"/>
  <c r="AH36" i="8"/>
  <c r="AJ33" i="10"/>
  <c r="AJ33" i="12"/>
  <c r="AA20" i="8"/>
  <c r="AA20" i="9"/>
  <c r="BR11" i="16"/>
  <c r="AJ18" i="7"/>
  <c r="AJ18" i="12"/>
  <c r="AJ18" i="11"/>
  <c r="BR10" i="16"/>
  <c r="BD14" i="5"/>
  <c r="BF14" i="7"/>
  <c r="BF14" i="10" s="1"/>
  <c r="BF14" i="13" s="1"/>
  <c r="BF14" i="16" s="1"/>
  <c r="L75" i="9"/>
  <c r="J75" i="7"/>
  <c r="L69" i="6"/>
  <c r="N71" i="8"/>
  <c r="L63" i="6"/>
  <c r="L63" i="7"/>
  <c r="J25" i="14"/>
  <c r="AX8" i="10"/>
  <c r="AX8" i="8"/>
  <c r="N26" i="7"/>
  <c r="L25" i="11"/>
  <c r="AS8" i="11" s="1"/>
  <c r="J25" i="12"/>
  <c r="AX8" i="13"/>
  <c r="AX8" i="7"/>
  <c r="J25" i="9"/>
  <c r="L25" i="12"/>
  <c r="AS8" i="12" s="1"/>
  <c r="L25" i="13"/>
  <c r="AS8" i="13" s="1"/>
  <c r="BD11" i="7"/>
  <c r="BD11" i="9"/>
  <c r="BD11" i="6"/>
  <c r="BD11" i="12"/>
  <c r="G64" i="7"/>
  <c r="I64" i="7" s="1"/>
  <c r="M64" i="7" s="1"/>
  <c r="BD14" i="6"/>
  <c r="J26" i="15"/>
  <c r="J25" i="15" s="1"/>
  <c r="AX8" i="14"/>
  <c r="BQ22" i="16"/>
  <c r="BK11" i="16" s="1"/>
  <c r="AW19" i="7"/>
  <c r="AJ3" i="7"/>
  <c r="BH5" i="7"/>
  <c r="BC5" i="7"/>
  <c r="AU11" i="5"/>
  <c r="AV11" i="5"/>
  <c r="BK13" i="15"/>
  <c r="P53" i="20"/>
  <c r="P55" i="20"/>
  <c r="BK15" i="15"/>
  <c r="AF193" i="11"/>
  <c r="N80" i="5"/>
  <c r="M80" i="5"/>
  <c r="BK14" i="8"/>
  <c r="I54" i="20"/>
  <c r="BK14" i="9"/>
  <c r="J54" i="20"/>
  <c r="BK14" i="13"/>
  <c r="N54" i="20"/>
  <c r="BK13" i="9"/>
  <c r="J53" i="20"/>
  <c r="BK13" i="12"/>
  <c r="M53" i="20"/>
  <c r="BK13" i="8"/>
  <c r="I53" i="20"/>
  <c r="J34" i="15"/>
  <c r="L34" i="15" s="1"/>
  <c r="AJ118" i="16"/>
  <c r="AC12" i="12"/>
  <c r="BE3" i="7"/>
  <c r="BK3" i="7" s="1"/>
  <c r="BQ3" i="7" s="1"/>
  <c r="BN5" i="7" s="1"/>
  <c r="AC63" i="11"/>
  <c r="AF234" i="13"/>
  <c r="AF232" i="13" s="1"/>
  <c r="BQ29" i="13" s="1"/>
  <c r="Z14" i="8"/>
  <c r="O11" i="20"/>
  <c r="R11" i="20" s="1"/>
  <c r="BE10" i="14"/>
  <c r="BE9" i="14" s="1"/>
  <c r="BE8" i="14" s="1"/>
  <c r="BQ27" i="10"/>
  <c r="K51" i="20" s="1"/>
  <c r="AF207" i="10"/>
  <c r="AJ3" i="12"/>
  <c r="BH5" i="12"/>
  <c r="AW4" i="12"/>
  <c r="BC5" i="12"/>
  <c r="AW19" i="12"/>
  <c r="AS21" i="11"/>
  <c r="AT21" i="11"/>
  <c r="AT6" i="11"/>
  <c r="AR21" i="11"/>
  <c r="AS6" i="11"/>
  <c r="AI238" i="15"/>
  <c r="AH238" i="15"/>
  <c r="AE87" i="15"/>
  <c r="AG87" i="15" s="1"/>
  <c r="AE87" i="16" s="1"/>
  <c r="AG87" i="16" s="1"/>
  <c r="G55" i="20"/>
  <c r="BK15" i="6"/>
  <c r="AJ59" i="14"/>
  <c r="AI249" i="16"/>
  <c r="R16" i="20"/>
  <c r="BQ16" i="9"/>
  <c r="J40" i="20" s="1"/>
  <c r="J39" i="20" s="1"/>
  <c r="AM12" i="15"/>
  <c r="X244" i="13"/>
  <c r="M52" i="20"/>
  <c r="M49" i="20" s="1"/>
  <c r="BQ25" i="12"/>
  <c r="BK12" i="12" s="1"/>
  <c r="H12" i="20"/>
  <c r="R12" i="20" s="1"/>
  <c r="BF12" i="7"/>
  <c r="BF12" i="10" s="1"/>
  <c r="BF12" i="13" s="1"/>
  <c r="BF12" i="16" s="1"/>
  <c r="BK14" i="12"/>
  <c r="M54" i="20"/>
  <c r="BK14" i="16"/>
  <c r="Q54" i="20"/>
  <c r="AS6" i="15"/>
  <c r="AT6" i="15"/>
  <c r="AS21" i="15"/>
  <c r="AT21" i="15"/>
  <c r="AR21" i="15"/>
  <c r="AS6" i="6"/>
  <c r="AS21" i="6"/>
  <c r="AR21" i="6"/>
  <c r="AT6" i="6"/>
  <c r="AT21" i="6"/>
  <c r="BK13" i="10"/>
  <c r="K53" i="20"/>
  <c r="N38" i="20"/>
  <c r="BK9" i="13"/>
  <c r="Q47" i="20"/>
  <c r="BR23" i="16"/>
  <c r="K50" i="20"/>
  <c r="AF193" i="9"/>
  <c r="BQ28" i="9"/>
  <c r="J52" i="20" s="1"/>
  <c r="BQ28" i="13"/>
  <c r="N52" i="20" s="1"/>
  <c r="AF193" i="13"/>
  <c r="O50" i="20"/>
  <c r="BK9" i="8"/>
  <c r="I38" i="20"/>
  <c r="AF193" i="14"/>
  <c r="BQ28" i="14"/>
  <c r="O52" i="20" s="1"/>
  <c r="AE60" i="14"/>
  <c r="AG60" i="14" s="1"/>
  <c r="BK14" i="11"/>
  <c r="AC63" i="13"/>
  <c r="R44" i="20"/>
  <c r="R24" i="20"/>
  <c r="P38" i="20"/>
  <c r="BK9" i="15"/>
  <c r="BQ22" i="12"/>
  <c r="BK11" i="12" s="1"/>
  <c r="M47" i="20"/>
  <c r="M46" i="20" s="1"/>
  <c r="BQ17" i="14"/>
  <c r="O41" i="20" s="1"/>
  <c r="AF112" i="14"/>
  <c r="AF110" i="14" s="1"/>
  <c r="AF112" i="8"/>
  <c r="BQ17" i="8"/>
  <c r="I41" i="20" s="1"/>
  <c r="AH241" i="5"/>
  <c r="AI241" i="5"/>
  <c r="AJ241" i="5"/>
  <c r="AH237" i="5"/>
  <c r="AI237" i="5"/>
  <c r="AJ237" i="5"/>
  <c r="AI143" i="5"/>
  <c r="AH143" i="5"/>
  <c r="AH141" i="5" s="1"/>
  <c r="AJ143" i="5"/>
  <c r="AJ141" i="5" s="1"/>
  <c r="AH137" i="5"/>
  <c r="AJ137" i="5"/>
  <c r="AI137" i="5"/>
  <c r="AH133" i="5"/>
  <c r="AJ133" i="5"/>
  <c r="AI133" i="5"/>
  <c r="AH129" i="5"/>
  <c r="AJ129" i="5"/>
  <c r="AI129" i="5"/>
  <c r="AH125" i="5"/>
  <c r="AI125" i="5"/>
  <c r="AJ125" i="5"/>
  <c r="M110" i="5"/>
  <c r="N110" i="5"/>
  <c r="BE19" i="6"/>
  <c r="G22" i="20" s="1"/>
  <c r="K85" i="6"/>
  <c r="AI158" i="6"/>
  <c r="AJ158" i="6"/>
  <c r="AH76" i="6"/>
  <c r="AI76" i="6"/>
  <c r="AJ76" i="6"/>
  <c r="F119" i="6"/>
  <c r="C117" i="6"/>
  <c r="C108" i="6" s="1"/>
  <c r="X173" i="7"/>
  <c r="U172" i="7"/>
  <c r="AI165" i="7"/>
  <c r="AJ165" i="7"/>
  <c r="AH165" i="7"/>
  <c r="M83" i="7"/>
  <c r="N83" i="7"/>
  <c r="M31" i="7"/>
  <c r="N31" i="7"/>
  <c r="Q17" i="11"/>
  <c r="Q8" i="11" s="1"/>
  <c r="BQ22" i="15"/>
  <c r="BK11" i="15" s="1"/>
  <c r="AY11" i="15"/>
  <c r="AF14" i="8"/>
  <c r="AF234" i="14"/>
  <c r="AF232" i="14" s="1"/>
  <c r="BQ29" i="14" s="1"/>
  <c r="BK15" i="10"/>
  <c r="AF110" i="13"/>
  <c r="AF194" i="8"/>
  <c r="AC63" i="15"/>
  <c r="AC112" i="16"/>
  <c r="AF112" i="12"/>
  <c r="AF110" i="12" s="1"/>
  <c r="BQ17" i="16"/>
  <c r="Q41" i="20" s="1"/>
  <c r="Z14" i="12"/>
  <c r="Z63" i="13"/>
  <c r="AM63" i="12"/>
  <c r="AM63" i="8"/>
  <c r="AM63" i="16"/>
  <c r="AM90" i="5"/>
  <c r="AM63" i="5" s="1"/>
  <c r="AM110" i="10"/>
  <c r="AL43" i="16"/>
  <c r="AL14" i="16" s="1"/>
  <c r="AL112" i="15"/>
  <c r="AL112" i="14"/>
  <c r="AL110" i="14" s="1"/>
  <c r="AL63" i="12"/>
  <c r="AL170" i="9"/>
  <c r="AL14" i="7"/>
  <c r="AL43" i="6"/>
  <c r="AL14" i="6" s="1"/>
  <c r="AL90" i="5"/>
  <c r="AL63" i="5" s="1"/>
  <c r="AB234" i="5"/>
  <c r="AB232" i="5" s="1"/>
  <c r="Y170" i="5"/>
  <c r="Y112" i="5"/>
  <c r="Y110" i="5" s="1"/>
  <c r="Y90" i="5"/>
  <c r="Y14" i="5"/>
  <c r="BK15" i="12"/>
  <c r="M55" i="20"/>
  <c r="L55" i="20"/>
  <c r="BK15" i="11"/>
  <c r="BK15" i="16"/>
  <c r="Q55" i="20"/>
  <c r="G38" i="20"/>
  <c r="BK9" i="6"/>
  <c r="BQ25" i="9"/>
  <c r="BK12" i="9" s="1"/>
  <c r="J50" i="20"/>
  <c r="BR26" i="16"/>
  <c r="N50" i="20"/>
  <c r="BQ14" i="9"/>
  <c r="BK14" i="15"/>
  <c r="P54" i="20"/>
  <c r="BK14" i="10"/>
  <c r="K54" i="20"/>
  <c r="AI223" i="8"/>
  <c r="AH223" i="8"/>
  <c r="AH32" i="9"/>
  <c r="AJ32" i="9"/>
  <c r="AI32" i="9"/>
  <c r="N104" i="9"/>
  <c r="M104" i="9"/>
  <c r="N95" i="9"/>
  <c r="F47" i="9"/>
  <c r="C45" i="9"/>
  <c r="F43" i="9"/>
  <c r="BC16" i="9" s="1"/>
  <c r="C42" i="9"/>
  <c r="F37" i="11"/>
  <c r="C35" i="11"/>
  <c r="AI250" i="14"/>
  <c r="AH250" i="14"/>
  <c r="AH117" i="14"/>
  <c r="AF14" i="10"/>
  <c r="BQ14" i="12"/>
  <c r="AF194" i="10"/>
  <c r="AF194" i="15"/>
  <c r="BQ28" i="15" s="1"/>
  <c r="L10" i="20"/>
  <c r="L9" i="20" s="1"/>
  <c r="AC14" i="11"/>
  <c r="BQ16" i="13"/>
  <c r="AC110" i="8"/>
  <c r="AC170" i="10"/>
  <c r="AC170" i="8"/>
  <c r="AC194" i="15"/>
  <c r="AC193" i="15" s="1"/>
  <c r="AF220" i="14"/>
  <c r="BQ30" i="14" s="1"/>
  <c r="AC220" i="9"/>
  <c r="Z112" i="13"/>
  <c r="Z110" i="13" s="1"/>
  <c r="Z170" i="11"/>
  <c r="Z170" i="10"/>
  <c r="AM14" i="13"/>
  <c r="AM12" i="13" s="1"/>
  <c r="AM63" i="14"/>
  <c r="AM170" i="12"/>
  <c r="AL112" i="16"/>
  <c r="AL90" i="16"/>
  <c r="Z14" i="16"/>
  <c r="AL43" i="15"/>
  <c r="AL63" i="14"/>
  <c r="AL12" i="14" s="1"/>
  <c r="AL112" i="12"/>
  <c r="Z14" i="9"/>
  <c r="AM112" i="7"/>
  <c r="AM110" i="7" s="1"/>
  <c r="BK15" i="7"/>
  <c r="H55" i="20"/>
  <c r="H38" i="20"/>
  <c r="BK9" i="7"/>
  <c r="O38" i="20"/>
  <c r="BK9" i="14"/>
  <c r="H54" i="20"/>
  <c r="BK14" i="7"/>
  <c r="BE19" i="10"/>
  <c r="K22" i="20" s="1"/>
  <c r="K85" i="10"/>
  <c r="AF207" i="6"/>
  <c r="BQ27" i="6"/>
  <c r="X173" i="8"/>
  <c r="X172" i="8" s="1"/>
  <c r="U172" i="8"/>
  <c r="AJ165" i="8"/>
  <c r="AI165" i="8"/>
  <c r="AH165" i="8"/>
  <c r="AI138" i="8"/>
  <c r="AH138" i="8"/>
  <c r="AJ136" i="8"/>
  <c r="AH136" i="8"/>
  <c r="AI136" i="8"/>
  <c r="AH129" i="8"/>
  <c r="AI129" i="8"/>
  <c r="AJ61" i="8"/>
  <c r="AH61" i="8"/>
  <c r="AI61" i="8"/>
  <c r="AI29" i="8"/>
  <c r="AJ29" i="8"/>
  <c r="AH29" i="8"/>
  <c r="AH26" i="8"/>
  <c r="AI26" i="8"/>
  <c r="AJ26" i="8"/>
  <c r="M77" i="8"/>
  <c r="N77" i="8"/>
  <c r="BE19" i="7"/>
  <c r="H22" i="20" s="1"/>
  <c r="K85" i="7"/>
  <c r="I10" i="20"/>
  <c r="I9" i="20" s="1"/>
  <c r="AC110" i="13"/>
  <c r="AF170" i="13"/>
  <c r="BQ24" i="13" s="1"/>
  <c r="Z63" i="14"/>
  <c r="AM12" i="14"/>
  <c r="AM14" i="7"/>
  <c r="AM234" i="5"/>
  <c r="AM232" i="5" s="1"/>
  <c r="AM110" i="15"/>
  <c r="AM10" i="15" s="1"/>
  <c r="AM8" i="15" s="1"/>
  <c r="AL14" i="8"/>
  <c r="AL110" i="7"/>
  <c r="AE110" i="5"/>
  <c r="AE63" i="5"/>
  <c r="Y194" i="5"/>
  <c r="Y193" i="5" s="1"/>
  <c r="AL194" i="10"/>
  <c r="AL193" i="10" s="1"/>
  <c r="BQ12" i="6"/>
  <c r="BE19" i="15"/>
  <c r="P22" i="20" s="1"/>
  <c r="K85" i="15"/>
  <c r="AH254" i="5"/>
  <c r="AI254" i="5"/>
  <c r="AJ254" i="5"/>
  <c r="AH250" i="5"/>
  <c r="AI250" i="5"/>
  <c r="AJ250" i="5"/>
  <c r="AH246" i="5"/>
  <c r="AI246" i="5"/>
  <c r="AJ246" i="5"/>
  <c r="AJ225" i="5"/>
  <c r="AH225" i="5"/>
  <c r="AI225" i="5"/>
  <c r="AH214" i="5"/>
  <c r="AH211" i="5" s="1"/>
  <c r="AH210" i="5" s="1"/>
  <c r="AH209" i="5" s="1"/>
  <c r="AH207" i="5" s="1"/>
  <c r="AJ214" i="5"/>
  <c r="AI214" i="5"/>
  <c r="AI199" i="5"/>
  <c r="AJ199" i="5"/>
  <c r="AH174" i="5"/>
  <c r="AI174" i="5"/>
  <c r="AJ174" i="5"/>
  <c r="AH166" i="5"/>
  <c r="AI166" i="5"/>
  <c r="AJ158" i="5"/>
  <c r="AH158" i="5"/>
  <c r="N119" i="5"/>
  <c r="M119" i="5"/>
  <c r="AI255" i="6"/>
  <c r="AJ255" i="6"/>
  <c r="AH255" i="6"/>
  <c r="AH251" i="6"/>
  <c r="AI251" i="6"/>
  <c r="AI247" i="6"/>
  <c r="AJ247" i="6"/>
  <c r="X237" i="6"/>
  <c r="AH237" i="6" s="1"/>
  <c r="U235" i="6"/>
  <c r="AH201" i="6"/>
  <c r="AI201" i="6"/>
  <c r="AJ201" i="6"/>
  <c r="AH117" i="6"/>
  <c r="N92" i="6"/>
  <c r="M92" i="6"/>
  <c r="M88" i="6"/>
  <c r="N88" i="6"/>
  <c r="AI249" i="8"/>
  <c r="X237" i="8"/>
  <c r="U235" i="8"/>
  <c r="X228" i="8"/>
  <c r="AI228" i="8" s="1"/>
  <c r="U227" i="8"/>
  <c r="AH214" i="8"/>
  <c r="AI214" i="8"/>
  <c r="X204" i="8"/>
  <c r="AH204" i="8" s="1"/>
  <c r="AH203" i="8" s="1"/>
  <c r="U203" i="8"/>
  <c r="AJ25" i="8"/>
  <c r="AH25" i="8"/>
  <c r="AI25" i="8"/>
  <c r="M91" i="8"/>
  <c r="N91" i="8"/>
  <c r="M88" i="8"/>
  <c r="N88" i="8"/>
  <c r="U141" i="9"/>
  <c r="X143" i="9"/>
  <c r="AH137" i="9"/>
  <c r="AJ137" i="9"/>
  <c r="AI68" i="9"/>
  <c r="AH68" i="9"/>
  <c r="AJ68" i="9"/>
  <c r="AI48" i="9"/>
  <c r="AH48" i="9"/>
  <c r="AJ48" i="9"/>
  <c r="AH28" i="9"/>
  <c r="AJ28" i="9"/>
  <c r="AI200" i="7"/>
  <c r="AH200" i="7"/>
  <c r="AH182" i="7"/>
  <c r="AI182" i="7"/>
  <c r="M87" i="7"/>
  <c r="N87" i="7"/>
  <c r="K21" i="15"/>
  <c r="K19" i="15" s="1"/>
  <c r="K17" i="15" s="1"/>
  <c r="Q21" i="15"/>
  <c r="Q19" i="15" s="1"/>
  <c r="Q17" i="15" s="1"/>
  <c r="N81" i="5"/>
  <c r="X235" i="5"/>
  <c r="X141" i="5"/>
  <c r="BN20" i="5" s="1"/>
  <c r="M66" i="5"/>
  <c r="BK9" i="11"/>
  <c r="L38" i="20"/>
  <c r="AJ120" i="5"/>
  <c r="AH120" i="5"/>
  <c r="X114" i="5"/>
  <c r="AJ116" i="5"/>
  <c r="AH116" i="5"/>
  <c r="X105" i="5"/>
  <c r="X104" i="5" s="1"/>
  <c r="AH106" i="5"/>
  <c r="AH94" i="5"/>
  <c r="AI94" i="5"/>
  <c r="AJ94" i="5"/>
  <c r="AH87" i="5"/>
  <c r="AJ87" i="5"/>
  <c r="AJ77" i="5"/>
  <c r="AH77" i="5"/>
  <c r="AH73" i="5"/>
  <c r="AI73" i="5"/>
  <c r="AH68" i="5"/>
  <c r="AI68" i="5"/>
  <c r="AJ68" i="5"/>
  <c r="AI60" i="5"/>
  <c r="AJ60" i="5"/>
  <c r="AJ58" i="5" s="1"/>
  <c r="AJ57" i="5" s="1"/>
  <c r="AH60" i="5"/>
  <c r="AH58" i="5" s="1"/>
  <c r="AH57" i="5" s="1"/>
  <c r="AJ53" i="5"/>
  <c r="AI53" i="5"/>
  <c r="AI48" i="5"/>
  <c r="AH48" i="5"/>
  <c r="AJ41" i="5"/>
  <c r="AI41" i="5"/>
  <c r="AJ31" i="5"/>
  <c r="AH31" i="5"/>
  <c r="AI31" i="5"/>
  <c r="AJ27" i="5"/>
  <c r="AH27" i="5"/>
  <c r="AI27" i="5"/>
  <c r="AJ23" i="5"/>
  <c r="AH23" i="5"/>
  <c r="AH20" i="5" s="1"/>
  <c r="AI18" i="5"/>
  <c r="AJ18" i="5"/>
  <c r="N13" i="5"/>
  <c r="M13" i="5"/>
  <c r="M10" i="5" s="1"/>
  <c r="F72" i="5"/>
  <c r="N74" i="5"/>
  <c r="F57" i="5"/>
  <c r="N58" i="5"/>
  <c r="N57" i="5" s="1"/>
  <c r="AI253" i="6"/>
  <c r="AH253" i="6"/>
  <c r="AJ253" i="6"/>
  <c r="AH249" i="6"/>
  <c r="AJ249" i="6"/>
  <c r="U141" i="6"/>
  <c r="X143" i="6"/>
  <c r="AI119" i="6"/>
  <c r="AH119" i="6"/>
  <c r="AJ119" i="6"/>
  <c r="AH80" i="6"/>
  <c r="AI80" i="6"/>
  <c r="AJ80" i="6"/>
  <c r="M56" i="6"/>
  <c r="N56" i="6"/>
  <c r="AI224" i="8"/>
  <c r="AH224" i="8"/>
  <c r="AH222" i="8" s="1"/>
  <c r="AH174" i="8"/>
  <c r="AJ174" i="8"/>
  <c r="AI174" i="8"/>
  <c r="AJ118" i="8"/>
  <c r="AH118" i="8"/>
  <c r="AI118" i="8"/>
  <c r="AH78" i="8"/>
  <c r="AI78" i="8"/>
  <c r="F64" i="8"/>
  <c r="C63" i="8"/>
  <c r="F58" i="8"/>
  <c r="C57" i="8"/>
  <c r="F52" i="8"/>
  <c r="C51" i="8"/>
  <c r="F47" i="8"/>
  <c r="N47" i="8" s="1"/>
  <c r="C45" i="8"/>
  <c r="M33" i="8"/>
  <c r="N33" i="8"/>
  <c r="X224" i="9"/>
  <c r="AH224" i="9" s="1"/>
  <c r="U222" i="9"/>
  <c r="AI252" i="7"/>
  <c r="AH252" i="7"/>
  <c r="AI239" i="10"/>
  <c r="X212" i="11"/>
  <c r="U211" i="11"/>
  <c r="U210" i="11" s="1"/>
  <c r="U209" i="11" s="1"/>
  <c r="U207" i="11" s="1"/>
  <c r="AI190" i="11"/>
  <c r="AE224" i="6"/>
  <c r="AJ224" i="5"/>
  <c r="P46" i="20"/>
  <c r="AC14" i="16"/>
  <c r="AC14" i="8"/>
  <c r="BQ14" i="16"/>
  <c r="BQ16" i="14"/>
  <c r="AC145" i="9"/>
  <c r="AC170" i="15"/>
  <c r="AC170" i="13"/>
  <c r="AC170" i="11"/>
  <c r="AC170" i="9"/>
  <c r="AF170" i="9"/>
  <c r="BQ24" i="9" s="1"/>
  <c r="Z14" i="13"/>
  <c r="Z12" i="13" s="1"/>
  <c r="Z63" i="11"/>
  <c r="Z90" i="8"/>
  <c r="Z63" i="8" s="1"/>
  <c r="Z12" i="8" s="1"/>
  <c r="Z112" i="10"/>
  <c r="Z110" i="10" s="1"/>
  <c r="Z170" i="14"/>
  <c r="Z170" i="16"/>
  <c r="Z194" i="13"/>
  <c r="Z193" i="13" s="1"/>
  <c r="AM14" i="12"/>
  <c r="AM12" i="12" s="1"/>
  <c r="AM63" i="7"/>
  <c r="AM145" i="9"/>
  <c r="AM110" i="9" s="1"/>
  <c r="AM145" i="8"/>
  <c r="AM110" i="8" s="1"/>
  <c r="AM112" i="16"/>
  <c r="AM110" i="16" s="1"/>
  <c r="AL63" i="16"/>
  <c r="AL14" i="15"/>
  <c r="AL12" i="15" s="1"/>
  <c r="AL170" i="14"/>
  <c r="AR21" i="14"/>
  <c r="AL170" i="13"/>
  <c r="AL90" i="13"/>
  <c r="AL63" i="13" s="1"/>
  <c r="AL110" i="11"/>
  <c r="AL112" i="10"/>
  <c r="AL110" i="10" s="1"/>
  <c r="AL145" i="9"/>
  <c r="AL110" i="9" s="1"/>
  <c r="AM14" i="6"/>
  <c r="AE170" i="5"/>
  <c r="AB170" i="5"/>
  <c r="AI222" i="5"/>
  <c r="U123" i="9"/>
  <c r="BK13" i="7"/>
  <c r="H53" i="20"/>
  <c r="BK15" i="14"/>
  <c r="O55" i="20"/>
  <c r="H47" i="20"/>
  <c r="I40" i="20"/>
  <c r="AJ230" i="5"/>
  <c r="AH230" i="5"/>
  <c r="AH227" i="5" s="1"/>
  <c r="AI230" i="5"/>
  <c r="F51" i="5"/>
  <c r="M53" i="5"/>
  <c r="M51" i="5" s="1"/>
  <c r="F42" i="5"/>
  <c r="AQ10" i="5" s="1"/>
  <c r="M43" i="5"/>
  <c r="M42" i="5" s="1"/>
  <c r="F32" i="5"/>
  <c r="M34" i="5"/>
  <c r="M32" i="5" s="1"/>
  <c r="N34" i="5"/>
  <c r="N32" i="5" s="1"/>
  <c r="F99" i="5"/>
  <c r="M106" i="5"/>
  <c r="N102" i="5"/>
  <c r="M102" i="5"/>
  <c r="M99" i="5" s="1"/>
  <c r="F96" i="6"/>
  <c r="M96" i="6" s="1"/>
  <c r="C93" i="6"/>
  <c r="C85" i="6" s="1"/>
  <c r="M91" i="6"/>
  <c r="N91" i="6"/>
  <c r="M87" i="6"/>
  <c r="N87" i="6"/>
  <c r="U176" i="8"/>
  <c r="X177" i="8"/>
  <c r="X99" i="8"/>
  <c r="U96" i="8"/>
  <c r="AI87" i="8"/>
  <c r="AJ87" i="8"/>
  <c r="M110" i="8"/>
  <c r="N110" i="8"/>
  <c r="N104" i="8"/>
  <c r="M104" i="8"/>
  <c r="U149" i="9"/>
  <c r="X151" i="9"/>
  <c r="AI151" i="9" s="1"/>
  <c r="AH40" i="9"/>
  <c r="AJ40" i="9"/>
  <c r="AI40" i="9"/>
  <c r="AH214" i="7"/>
  <c r="AI214" i="7"/>
  <c r="X204" i="7"/>
  <c r="X203" i="7" s="1"/>
  <c r="U203" i="7"/>
  <c r="C93" i="7"/>
  <c r="C85" i="7" s="1"/>
  <c r="F94" i="7"/>
  <c r="X214" i="10"/>
  <c r="U211" i="10"/>
  <c r="U210" i="10" s="1"/>
  <c r="U209" i="10" s="1"/>
  <c r="U207" i="10" s="1"/>
  <c r="X151" i="10"/>
  <c r="AI151" i="10" s="1"/>
  <c r="U149" i="10"/>
  <c r="AH118" i="10"/>
  <c r="AI118" i="10"/>
  <c r="AJ118" i="10"/>
  <c r="AH108" i="10"/>
  <c r="AJ108" i="10"/>
  <c r="AI85" i="10"/>
  <c r="AJ85" i="10"/>
  <c r="AI30" i="10"/>
  <c r="AJ30" i="10"/>
  <c r="F95" i="10"/>
  <c r="N95" i="10" s="1"/>
  <c r="C93" i="10"/>
  <c r="C85" i="10" s="1"/>
  <c r="C66" i="10"/>
  <c r="M53" i="10"/>
  <c r="F49" i="10"/>
  <c r="M49" i="10" s="1"/>
  <c r="C48" i="10"/>
  <c r="N43" i="10"/>
  <c r="N42" i="10" s="1"/>
  <c r="M43" i="10"/>
  <c r="M31" i="10"/>
  <c r="N31" i="10"/>
  <c r="C25" i="10"/>
  <c r="AJ130" i="12"/>
  <c r="AI130" i="12"/>
  <c r="AH130" i="12"/>
  <c r="C45" i="12"/>
  <c r="AE135" i="8"/>
  <c r="AG135" i="8" s="1"/>
  <c r="AJ135" i="7"/>
  <c r="AG99" i="6"/>
  <c r="AJ99" i="6" s="1"/>
  <c r="AE96" i="6"/>
  <c r="AG97" i="7"/>
  <c r="AJ97" i="7" s="1"/>
  <c r="AE72" i="6"/>
  <c r="AG72" i="6" s="1"/>
  <c r="AE72" i="7" s="1"/>
  <c r="AG72" i="7" s="1"/>
  <c r="AE72" i="8" s="1"/>
  <c r="AG72" i="8" s="1"/>
  <c r="AE72" i="9" s="1"/>
  <c r="AG72" i="9" s="1"/>
  <c r="AE72" i="10" s="1"/>
  <c r="AG72" i="10" s="1"/>
  <c r="AE72" i="11" s="1"/>
  <c r="AG72" i="11" s="1"/>
  <c r="AJ72" i="5"/>
  <c r="AE52" i="6"/>
  <c r="AG49" i="5"/>
  <c r="AG43" i="5" s="1"/>
  <c r="AB117" i="6"/>
  <c r="AD117" i="6" s="1"/>
  <c r="AI117" i="5"/>
  <c r="AB39" i="7"/>
  <c r="AD35" i="6"/>
  <c r="I95" i="6"/>
  <c r="G93" i="6"/>
  <c r="I68" i="6"/>
  <c r="G66" i="6"/>
  <c r="G59" i="7"/>
  <c r="I57" i="6"/>
  <c r="G55" i="7"/>
  <c r="I54" i="6"/>
  <c r="G50" i="6"/>
  <c r="I48" i="5"/>
  <c r="M50" i="5"/>
  <c r="V229" i="11"/>
  <c r="V229" i="12" s="1"/>
  <c r="V229" i="13" s="1"/>
  <c r="V227" i="10"/>
  <c r="X229" i="10"/>
  <c r="V45" i="8"/>
  <c r="X45" i="8" s="1"/>
  <c r="AI45" i="8" s="1"/>
  <c r="V44" i="7"/>
  <c r="V43" i="7" s="1"/>
  <c r="V24" i="9"/>
  <c r="V20" i="8"/>
  <c r="V16" i="8" s="1"/>
  <c r="D118" i="6"/>
  <c r="F118" i="5"/>
  <c r="D117" i="5"/>
  <c r="D108" i="5" s="1"/>
  <c r="D111" i="12"/>
  <c r="D111" i="13" s="1"/>
  <c r="D111" i="14" s="1"/>
  <c r="D111" i="15" s="1"/>
  <c r="D111" i="16" s="1"/>
  <c r="F111" i="16" s="1"/>
  <c r="F111" i="11"/>
  <c r="N111" i="11" s="1"/>
  <c r="D109" i="9"/>
  <c r="D109" i="10" s="1"/>
  <c r="D109" i="11" s="1"/>
  <c r="D109" i="12" s="1"/>
  <c r="D105" i="7"/>
  <c r="D99" i="6"/>
  <c r="BF20" i="7"/>
  <c r="BF20" i="10" s="1"/>
  <c r="BF20" i="13" s="1"/>
  <c r="BF20" i="16" s="1"/>
  <c r="AZ11" i="13"/>
  <c r="AF234" i="16"/>
  <c r="AF232" i="16" s="1"/>
  <c r="BQ29" i="16" s="1"/>
  <c r="AZ11" i="6"/>
  <c r="BE10" i="10"/>
  <c r="BE9" i="10" s="1"/>
  <c r="AF170" i="11"/>
  <c r="BQ24" i="11" s="1"/>
  <c r="AF194" i="16"/>
  <c r="AC43" i="15"/>
  <c r="AC14" i="15" s="1"/>
  <c r="AC112" i="12"/>
  <c r="AC110" i="12" s="1"/>
  <c r="BQ17" i="10"/>
  <c r="K41" i="20" s="1"/>
  <c r="K39" i="20" s="1"/>
  <c r="R42" i="20"/>
  <c r="AF145" i="10"/>
  <c r="AF145" i="8"/>
  <c r="AF145" i="15"/>
  <c r="BQ17" i="13"/>
  <c r="N41" i="20" s="1"/>
  <c r="AF170" i="8"/>
  <c r="BQ24" i="8" s="1"/>
  <c r="AC220" i="13"/>
  <c r="AC234" i="15"/>
  <c r="AC232" i="15" s="1"/>
  <c r="AC234" i="16"/>
  <c r="AC232" i="16" s="1"/>
  <c r="AC234" i="12"/>
  <c r="AC232" i="12" s="1"/>
  <c r="AC234" i="8"/>
  <c r="AC232" i="8" s="1"/>
  <c r="Z43" i="10"/>
  <c r="Z14" i="10" s="1"/>
  <c r="Z112" i="9"/>
  <c r="Z170" i="9"/>
  <c r="Z194" i="14"/>
  <c r="Z193" i="14" s="1"/>
  <c r="Z234" i="14"/>
  <c r="Z232" i="14" s="1"/>
  <c r="AM63" i="10"/>
  <c r="AM12" i="10" s="1"/>
  <c r="AM112" i="5"/>
  <c r="AM110" i="5" s="1"/>
  <c r="AM112" i="13"/>
  <c r="AM110" i="13" s="1"/>
  <c r="AM170" i="14"/>
  <c r="AT21" i="8"/>
  <c r="BC5" i="16"/>
  <c r="AT21" i="16"/>
  <c r="AS21" i="12"/>
  <c r="AL145" i="16"/>
  <c r="AL145" i="15"/>
  <c r="AR21" i="12"/>
  <c r="AL43" i="12"/>
  <c r="AL14" i="12" s="1"/>
  <c r="AL12" i="12" s="1"/>
  <c r="AL90" i="11"/>
  <c r="AL63" i="11" s="1"/>
  <c r="AL12" i="11" s="1"/>
  <c r="AL10" i="11" s="1"/>
  <c r="AL8" i="11" s="1"/>
  <c r="AL90" i="10"/>
  <c r="AL63" i="10" s="1"/>
  <c r="AS21" i="8"/>
  <c r="AL90" i="8"/>
  <c r="AL63" i="8" s="1"/>
  <c r="AS6" i="8"/>
  <c r="AL63" i="7"/>
  <c r="AM14" i="5"/>
  <c r="P21" i="14"/>
  <c r="P19" i="14" s="1"/>
  <c r="P17" i="14" s="1"/>
  <c r="P8" i="14" s="1"/>
  <c r="BQ12" i="14"/>
  <c r="AH222" i="5"/>
  <c r="M81" i="5"/>
  <c r="AI211" i="5"/>
  <c r="AI210" i="5" s="1"/>
  <c r="AI209" i="5" s="1"/>
  <c r="AI207" i="5" s="1"/>
  <c r="AH172" i="5"/>
  <c r="AC90" i="6"/>
  <c r="AC63" i="6" s="1"/>
  <c r="BK15" i="9"/>
  <c r="J55" i="20"/>
  <c r="X85" i="7"/>
  <c r="AI85" i="7" s="1"/>
  <c r="U83" i="7"/>
  <c r="AJ37" i="7"/>
  <c r="AH37" i="7"/>
  <c r="F100" i="7"/>
  <c r="C99" i="7"/>
  <c r="N68" i="7"/>
  <c r="M53" i="7"/>
  <c r="M51" i="7" s="1"/>
  <c r="AI252" i="10"/>
  <c r="AH252" i="10"/>
  <c r="AI143" i="10"/>
  <c r="AH133" i="10"/>
  <c r="AJ133" i="10"/>
  <c r="AI174" i="11"/>
  <c r="AH174" i="11"/>
  <c r="AH138" i="11"/>
  <c r="AJ138" i="11"/>
  <c r="M88" i="11"/>
  <c r="N88" i="11"/>
  <c r="C93" i="13"/>
  <c r="N91" i="13"/>
  <c r="M91" i="13"/>
  <c r="AH27" i="14"/>
  <c r="AI27" i="14"/>
  <c r="U172" i="16"/>
  <c r="C51" i="16"/>
  <c r="C45" i="16"/>
  <c r="W251" i="8"/>
  <c r="W243" i="7"/>
  <c r="W234" i="7" s="1"/>
  <c r="W232" i="7" s="1"/>
  <c r="W217" i="8"/>
  <c r="X217" i="8" s="1"/>
  <c r="W211" i="7"/>
  <c r="W210" i="7" s="1"/>
  <c r="W209" i="7" s="1"/>
  <c r="W207" i="7" s="1"/>
  <c r="W181" i="8"/>
  <c r="W176" i="7"/>
  <c r="W170" i="7" s="1"/>
  <c r="W158" i="11"/>
  <c r="W158" i="12" s="1"/>
  <c r="W107" i="12"/>
  <c r="W105" i="11"/>
  <c r="W104" i="11" s="1"/>
  <c r="W100" i="8"/>
  <c r="W96" i="7"/>
  <c r="W95" i="12"/>
  <c r="W91" i="11"/>
  <c r="W84" i="11"/>
  <c r="W83" i="10"/>
  <c r="W75" i="8"/>
  <c r="W69" i="7"/>
  <c r="W65" i="7" s="1"/>
  <c r="W53" i="12"/>
  <c r="E118" i="12"/>
  <c r="E117" i="11"/>
  <c r="E108" i="11" s="1"/>
  <c r="E105" i="8"/>
  <c r="E99" i="7"/>
  <c r="E68" i="8"/>
  <c r="F68" i="8" s="1"/>
  <c r="E66" i="7"/>
  <c r="E62" i="14"/>
  <c r="E60" i="13"/>
  <c r="E56" i="8"/>
  <c r="E54" i="7"/>
  <c r="V255" i="10"/>
  <c r="D94" i="8"/>
  <c r="D93" i="7"/>
  <c r="D85" i="7" s="1"/>
  <c r="D89" i="11"/>
  <c r="D79" i="10"/>
  <c r="D78" i="9"/>
  <c r="D73" i="8"/>
  <c r="F73" i="8" s="1"/>
  <c r="D72" i="7"/>
  <c r="D67" i="10"/>
  <c r="F67" i="10" s="1"/>
  <c r="D66" i="9"/>
  <c r="D64" i="11"/>
  <c r="D64" i="12" s="1"/>
  <c r="D64" i="13" s="1"/>
  <c r="D64" i="14" s="1"/>
  <c r="D64" i="15" s="1"/>
  <c r="D64" i="16" s="1"/>
  <c r="F64" i="16" s="1"/>
  <c r="D63" i="10"/>
  <c r="D61" i="8"/>
  <c r="F61" i="8" s="1"/>
  <c r="D60" i="7"/>
  <c r="D56" i="10"/>
  <c r="D54" i="9"/>
  <c r="AM194" i="12"/>
  <c r="AM193" i="12" s="1"/>
  <c r="K28" i="9"/>
  <c r="H28" i="10"/>
  <c r="H21" i="10" s="1"/>
  <c r="H19" i="10" s="1"/>
  <c r="H17" i="10" s="1"/>
  <c r="H8" i="10" s="1"/>
  <c r="K21" i="10"/>
  <c r="K19" i="10" s="1"/>
  <c r="K17" i="10" s="1"/>
  <c r="K8" i="10" s="1"/>
  <c r="P28" i="10"/>
  <c r="P21" i="10" s="1"/>
  <c r="P19" i="10" s="1"/>
  <c r="P17" i="10" s="1"/>
  <c r="P8" i="10" s="1"/>
  <c r="K28" i="11"/>
  <c r="K21" i="11" s="1"/>
  <c r="P28" i="13"/>
  <c r="P21" i="13" s="1"/>
  <c r="P19" i="13" s="1"/>
  <c r="P17" i="13" s="1"/>
  <c r="P8" i="13" s="1"/>
  <c r="R35" i="20"/>
  <c r="R43" i="20"/>
  <c r="W43" i="5"/>
  <c r="W14" i="5" s="1"/>
  <c r="V194" i="5"/>
  <c r="V193" i="5" s="1"/>
  <c r="V112" i="5"/>
  <c r="V43" i="5"/>
  <c r="D28" i="5"/>
  <c r="D21" i="5" s="1"/>
  <c r="D19" i="5" s="1"/>
  <c r="D17" i="5" s="1"/>
  <c r="D8" i="5" s="1"/>
  <c r="D121" i="5" s="1"/>
  <c r="D125" i="5" s="1"/>
  <c r="AJ236" i="5"/>
  <c r="AJ235" i="5" s="1"/>
  <c r="AJ228" i="5"/>
  <c r="AJ227" i="5" s="1"/>
  <c r="AJ223" i="5"/>
  <c r="AJ222" i="5" s="1"/>
  <c r="AJ216" i="5"/>
  <c r="AJ212" i="5"/>
  <c r="AJ187" i="5"/>
  <c r="AJ185" i="5" s="1"/>
  <c r="AJ173" i="5"/>
  <c r="AJ172" i="5" s="1"/>
  <c r="AJ132" i="5"/>
  <c r="AJ127" i="5"/>
  <c r="AJ75" i="5"/>
  <c r="AJ22" i="5"/>
  <c r="AI239" i="5"/>
  <c r="AI187" i="5"/>
  <c r="AI173" i="5"/>
  <c r="AI101" i="5"/>
  <c r="AH187" i="5"/>
  <c r="AH71" i="5"/>
  <c r="AH47" i="5"/>
  <c r="N15" i="5"/>
  <c r="N10" i="5" s="1"/>
  <c r="N97" i="5"/>
  <c r="N77" i="5"/>
  <c r="N75" i="5" s="1"/>
  <c r="N71" i="5"/>
  <c r="N48" i="5"/>
  <c r="N26" i="5"/>
  <c r="N104" i="5"/>
  <c r="N100" i="5"/>
  <c r="M48" i="5"/>
  <c r="M112" i="5"/>
  <c r="X227" i="5"/>
  <c r="X222" i="5"/>
  <c r="X220" i="5" s="1"/>
  <c r="BN30" i="5" s="1"/>
  <c r="BH14" i="5" s="1"/>
  <c r="X187" i="5"/>
  <c r="X185" i="5" s="1"/>
  <c r="F75" i="5"/>
  <c r="F48" i="5"/>
  <c r="F35" i="5"/>
  <c r="F29" i="5"/>
  <c r="U35" i="6"/>
  <c r="C35" i="6"/>
  <c r="AI61" i="6"/>
  <c r="AC112" i="6"/>
  <c r="AC110" i="6" s="1"/>
  <c r="Z234" i="6"/>
  <c r="Z232" i="6" s="1"/>
  <c r="Z90" i="6"/>
  <c r="Z63" i="6" s="1"/>
  <c r="F113" i="6"/>
  <c r="W170" i="6"/>
  <c r="W43" i="6"/>
  <c r="W14" i="6" s="1"/>
  <c r="V234" i="6"/>
  <c r="V232" i="6" s="1"/>
  <c r="U222" i="8"/>
  <c r="C75" i="8"/>
  <c r="C25" i="8"/>
  <c r="AJ40" i="8"/>
  <c r="AJ28" i="8"/>
  <c r="AI246" i="8"/>
  <c r="AI137" i="8"/>
  <c r="AI130" i="8"/>
  <c r="AI32" i="8"/>
  <c r="AH182" i="8"/>
  <c r="AH135" i="8"/>
  <c r="N31" i="8"/>
  <c r="X24" i="8"/>
  <c r="X19" i="8"/>
  <c r="F111" i="8"/>
  <c r="N111" i="8" s="1"/>
  <c r="U243" i="9"/>
  <c r="C54" i="9"/>
  <c r="C35" i="9"/>
  <c r="AJ37" i="9"/>
  <c r="AI99" i="9"/>
  <c r="AG105" i="9"/>
  <c r="AG104" i="9" s="1"/>
  <c r="X19" i="9"/>
  <c r="V170" i="9"/>
  <c r="U222" i="7"/>
  <c r="U58" i="7"/>
  <c r="U57" i="7" s="1"/>
  <c r="C57" i="7"/>
  <c r="C29" i="7"/>
  <c r="C28" i="7" s="1"/>
  <c r="AJ133" i="7"/>
  <c r="Q28" i="7"/>
  <c r="Q21" i="7" s="1"/>
  <c r="Q19" i="7" s="1"/>
  <c r="Q17" i="7" s="1"/>
  <c r="Q8" i="7" s="1"/>
  <c r="AI253" i="7"/>
  <c r="AI94" i="7"/>
  <c r="AI48" i="7"/>
  <c r="P21" i="7"/>
  <c r="P19" i="7" s="1"/>
  <c r="P17" i="7" s="1"/>
  <c r="P8" i="7" s="1"/>
  <c r="AH167" i="7"/>
  <c r="AF14" i="7"/>
  <c r="AE83" i="7"/>
  <c r="AC170" i="7"/>
  <c r="AC112" i="7"/>
  <c r="Z194" i="7"/>
  <c r="Z193" i="7" s="1"/>
  <c r="X24" i="7"/>
  <c r="AJ24" i="7" s="1"/>
  <c r="U195" i="10"/>
  <c r="AJ137" i="10"/>
  <c r="AI120" i="10"/>
  <c r="AI250" i="11"/>
  <c r="L32" i="11"/>
  <c r="Y222" i="11"/>
  <c r="AH216" i="7"/>
  <c r="AI216" i="7"/>
  <c r="AI159" i="7"/>
  <c r="AH76" i="7"/>
  <c r="AI76" i="7"/>
  <c r="AI249" i="10"/>
  <c r="AI240" i="10"/>
  <c r="AH240" i="10"/>
  <c r="AI32" i="10"/>
  <c r="AJ32" i="10"/>
  <c r="N82" i="10"/>
  <c r="M36" i="10"/>
  <c r="N36" i="10"/>
  <c r="F102" i="11"/>
  <c r="N102" i="11" s="1"/>
  <c r="C99" i="11"/>
  <c r="F49" i="12"/>
  <c r="C48" i="12"/>
  <c r="X98" i="14"/>
  <c r="AH98" i="14" s="1"/>
  <c r="U96" i="14"/>
  <c r="C48" i="14"/>
  <c r="F50" i="14"/>
  <c r="X240" i="15"/>
  <c r="U235" i="15"/>
  <c r="AE106" i="12"/>
  <c r="AG105" i="11"/>
  <c r="AG104" i="11" s="1"/>
  <c r="AE86" i="8"/>
  <c r="AG83" i="7"/>
  <c r="AG50" i="11"/>
  <c r="AE50" i="12" s="1"/>
  <c r="AG50" i="12" s="1"/>
  <c r="AE50" i="13" s="1"/>
  <c r="AG50" i="13" s="1"/>
  <c r="AE50" i="14" s="1"/>
  <c r="AG50" i="14" s="1"/>
  <c r="AB37" i="12"/>
  <c r="AB22" i="8"/>
  <c r="AD22" i="8" s="1"/>
  <c r="AD20" i="7"/>
  <c r="L70" i="7"/>
  <c r="N70" i="7" s="1"/>
  <c r="J69" i="7"/>
  <c r="J64" i="13"/>
  <c r="L64" i="13" s="1"/>
  <c r="J64" i="14" s="1"/>
  <c r="L64" i="14" s="1"/>
  <c r="J64" i="15" s="1"/>
  <c r="L63" i="12"/>
  <c r="L53" i="7"/>
  <c r="N53" i="7" s="1"/>
  <c r="N51" i="7" s="1"/>
  <c r="J51" i="7"/>
  <c r="L49" i="12"/>
  <c r="L37" i="7"/>
  <c r="J35" i="7"/>
  <c r="J28" i="7" s="1"/>
  <c r="L33" i="12"/>
  <c r="J32" i="12"/>
  <c r="AA249" i="7"/>
  <c r="Y243" i="7"/>
  <c r="Y234" i="7" s="1"/>
  <c r="Y232" i="7" s="1"/>
  <c r="Y237" i="12"/>
  <c r="Y230" i="8"/>
  <c r="AA227" i="7"/>
  <c r="AA220" i="7" s="1"/>
  <c r="BO30" i="7" s="1"/>
  <c r="Y224" i="12"/>
  <c r="AA222" i="11"/>
  <c r="AA212" i="7"/>
  <c r="Y211" i="7"/>
  <c r="Y210" i="7" s="1"/>
  <c r="Y209" i="7" s="1"/>
  <c r="Y207" i="7" s="1"/>
  <c r="Y198" i="16"/>
  <c r="AA198" i="16" s="1"/>
  <c r="AH198" i="15"/>
  <c r="Y190" i="11"/>
  <c r="AA187" i="10"/>
  <c r="AA185" i="10" s="1"/>
  <c r="AA101" i="10"/>
  <c r="Y101" i="11" s="1"/>
  <c r="Y96" i="10"/>
  <c r="Y84" i="12"/>
  <c r="AA84" i="12" s="1"/>
  <c r="Y84" i="13" s="1"/>
  <c r="AA84" i="13" s="1"/>
  <c r="Y84" i="14" s="1"/>
  <c r="AA84" i="14" s="1"/>
  <c r="Y84" i="15" s="1"/>
  <c r="AA84" i="15" s="1"/>
  <c r="Y84" i="16" s="1"/>
  <c r="AA84" i="16" s="1"/>
  <c r="AA83" i="11"/>
  <c r="V225" i="12"/>
  <c r="V222" i="11"/>
  <c r="V213" i="8"/>
  <c r="X213" i="8" s="1"/>
  <c r="V211" i="7"/>
  <c r="V210" i="7" s="1"/>
  <c r="V209" i="7" s="1"/>
  <c r="V207" i="7" s="1"/>
  <c r="V173" i="11"/>
  <c r="V172" i="10"/>
  <c r="V170" i="10" s="1"/>
  <c r="V159" i="10"/>
  <c r="V150" i="8"/>
  <c r="V149" i="7"/>
  <c r="V147" i="7" s="1"/>
  <c r="V143" i="12"/>
  <c r="V141" i="11"/>
  <c r="V126" i="11"/>
  <c r="V126" i="12" s="1"/>
  <c r="V126" i="13" s="1"/>
  <c r="V126" i="14" s="1"/>
  <c r="V126" i="15" s="1"/>
  <c r="V126" i="16" s="1"/>
  <c r="V123" i="10"/>
  <c r="V116" i="10"/>
  <c r="X116" i="10" s="1"/>
  <c r="V114" i="9"/>
  <c r="V112" i="9" s="1"/>
  <c r="V106" i="8"/>
  <c r="X106" i="8" s="1"/>
  <c r="V105" i="7"/>
  <c r="V104" i="7" s="1"/>
  <c r="V99" i="12"/>
  <c r="X99" i="12" s="1"/>
  <c r="AI99" i="12" s="1"/>
  <c r="V96" i="11"/>
  <c r="V87" i="10"/>
  <c r="V83" i="9"/>
  <c r="V76" i="8"/>
  <c r="X76" i="8" s="1"/>
  <c r="V69" i="7"/>
  <c r="V65" i="7" s="1"/>
  <c r="V52" i="11"/>
  <c r="V52" i="12" s="1"/>
  <c r="V52" i="13" s="1"/>
  <c r="V52" i="14" s="1"/>
  <c r="V52" i="15" s="1"/>
  <c r="V52" i="16" s="1"/>
  <c r="V49" i="10"/>
  <c r="K21" i="9"/>
  <c r="BQ12" i="15"/>
  <c r="BQ12" i="13"/>
  <c r="BQ12" i="12"/>
  <c r="BQ12" i="10"/>
  <c r="AZ13" i="6"/>
  <c r="C28" i="5"/>
  <c r="W170" i="5"/>
  <c r="AI141" i="5"/>
  <c r="AH235" i="5"/>
  <c r="M35" i="5"/>
  <c r="M29" i="5"/>
  <c r="I28" i="5"/>
  <c r="H28" i="5"/>
  <c r="AJ168" i="5"/>
  <c r="AF170" i="6"/>
  <c r="BQ24" i="6" s="1"/>
  <c r="AC170" i="6"/>
  <c r="Z170" i="6"/>
  <c r="F94" i="8"/>
  <c r="F111" i="9"/>
  <c r="AF170" i="7"/>
  <c r="BQ24" i="7" s="1"/>
  <c r="H48" i="20" s="1"/>
  <c r="Z170" i="7"/>
  <c r="X45" i="7"/>
  <c r="X44" i="7" s="1"/>
  <c r="F105" i="7"/>
  <c r="X87" i="10"/>
  <c r="X19" i="10"/>
  <c r="BN26" i="11"/>
  <c r="U187" i="11"/>
  <c r="U185" i="11" s="1"/>
  <c r="AI130" i="7"/>
  <c r="AJ130" i="7"/>
  <c r="X97" i="11"/>
  <c r="AH97" i="11" s="1"/>
  <c r="U96" i="11"/>
  <c r="AH29" i="11"/>
  <c r="AJ29" i="11"/>
  <c r="C45" i="14"/>
  <c r="AE152" i="12"/>
  <c r="AG149" i="11"/>
  <c r="AG147" i="11" s="1"/>
  <c r="AG143" i="7"/>
  <c r="AE141" i="7"/>
  <c r="AE116" i="8"/>
  <c r="AB215" i="8"/>
  <c r="AD211" i="7"/>
  <c r="AD210" i="7" s="1"/>
  <c r="AD209" i="7" s="1"/>
  <c r="AD173" i="12"/>
  <c r="AB173" i="13" s="1"/>
  <c r="AD173" i="13" s="1"/>
  <c r="AB172" i="12"/>
  <c r="V41" i="8"/>
  <c r="V35" i="7"/>
  <c r="AM43" i="9"/>
  <c r="AM14" i="9" s="1"/>
  <c r="AM12" i="9" s="1"/>
  <c r="AM10" i="9" s="1"/>
  <c r="AM8" i="9" s="1"/>
  <c r="H28" i="8"/>
  <c r="H21" i="8" s="1"/>
  <c r="H19" i="8" s="1"/>
  <c r="H17" i="8" s="1"/>
  <c r="H8" i="8" s="1"/>
  <c r="K85" i="8"/>
  <c r="P28" i="11"/>
  <c r="P21" i="11" s="1"/>
  <c r="P19" i="11" s="1"/>
  <c r="P17" i="11" s="1"/>
  <c r="P8" i="11" s="1"/>
  <c r="H28" i="13"/>
  <c r="H21" i="13" s="1"/>
  <c r="H19" i="13" s="1"/>
  <c r="H17" i="13" s="1"/>
  <c r="H8" i="13" s="1"/>
  <c r="K28" i="13"/>
  <c r="K21" i="13" s="1"/>
  <c r="H28" i="14"/>
  <c r="H21" i="14" s="1"/>
  <c r="H19" i="14" s="1"/>
  <c r="H17" i="14" s="1"/>
  <c r="H8" i="14" s="1"/>
  <c r="K85" i="14"/>
  <c r="AF90" i="15"/>
  <c r="AF63" i="15" s="1"/>
  <c r="AF43" i="15"/>
  <c r="AF90" i="14"/>
  <c r="AF90" i="11"/>
  <c r="AF63" i="11" s="1"/>
  <c r="AF43" i="11"/>
  <c r="AF90" i="10"/>
  <c r="AF90" i="9"/>
  <c r="AF63" i="9" s="1"/>
  <c r="AF43" i="9"/>
  <c r="AF14" i="9" s="1"/>
  <c r="BQ12" i="9"/>
  <c r="W194" i="5"/>
  <c r="W193" i="5" s="1"/>
  <c r="W112" i="5"/>
  <c r="W90" i="5"/>
  <c r="W63" i="5" s="1"/>
  <c r="V234" i="5"/>
  <c r="V232" i="5" s="1"/>
  <c r="AJ252" i="5"/>
  <c r="AJ248" i="5"/>
  <c r="AJ139" i="5"/>
  <c r="AJ135" i="5"/>
  <c r="AJ33" i="5"/>
  <c r="AI228" i="5"/>
  <c r="AI227" i="5" s="1"/>
  <c r="AI220" i="5" s="1"/>
  <c r="AI153" i="5"/>
  <c r="AI33" i="5"/>
  <c r="AI29" i="5"/>
  <c r="AI25" i="5"/>
  <c r="P28" i="5"/>
  <c r="P21" i="5" s="1"/>
  <c r="P19" i="5" s="1"/>
  <c r="P17" i="5" s="1"/>
  <c r="P8" i="5" s="1"/>
  <c r="AF220" i="5"/>
  <c r="BQ30" i="5" s="1"/>
  <c r="AF194" i="5"/>
  <c r="N67" i="5"/>
  <c r="N66" i="5" s="1"/>
  <c r="N51" i="5"/>
  <c r="N46" i="5"/>
  <c r="N45" i="5" s="1"/>
  <c r="N31" i="5"/>
  <c r="M56" i="5"/>
  <c r="M54" i="5" s="1"/>
  <c r="AD220" i="5"/>
  <c r="BP30" i="5" s="1"/>
  <c r="BJ14" i="5" s="1"/>
  <c r="X172" i="5"/>
  <c r="X58" i="5"/>
  <c r="X57" i="5" s="1"/>
  <c r="F78" i="5"/>
  <c r="C99" i="6"/>
  <c r="C54" i="6"/>
  <c r="AF234" i="6"/>
  <c r="AF232" i="6" s="1"/>
  <c r="BQ29" i="6" s="1"/>
  <c r="AC194" i="6"/>
  <c r="AC193" i="6" s="1"/>
  <c r="Z43" i="6"/>
  <c r="Z14" i="6" s="1"/>
  <c r="Z12" i="6" s="1"/>
  <c r="F111" i="6"/>
  <c r="N111" i="6" s="1"/>
  <c r="F105" i="6"/>
  <c r="W220" i="6"/>
  <c r="W194" i="6"/>
  <c r="W193" i="6" s="1"/>
  <c r="U105" i="8"/>
  <c r="U104" i="8" s="1"/>
  <c r="C93" i="8"/>
  <c r="C69" i="8"/>
  <c r="AJ137" i="8"/>
  <c r="AI40" i="8"/>
  <c r="X75" i="8"/>
  <c r="F113" i="8"/>
  <c r="F109" i="8"/>
  <c r="M109" i="8" s="1"/>
  <c r="F56" i="8"/>
  <c r="BC15" i="8"/>
  <c r="U227" i="9"/>
  <c r="C25" i="9"/>
  <c r="AI228" i="9"/>
  <c r="U187" i="7"/>
  <c r="U185" i="7" s="1"/>
  <c r="C117" i="7"/>
  <c r="C108" i="7" s="1"/>
  <c r="C63" i="7"/>
  <c r="AJ137" i="7"/>
  <c r="AI246" i="7"/>
  <c r="AI228" i="7"/>
  <c r="AI137" i="7"/>
  <c r="AH48" i="7"/>
  <c r="BQ17" i="7"/>
  <c r="N119" i="7"/>
  <c r="AC234" i="7"/>
  <c r="AC232" i="7" s="1"/>
  <c r="K28" i="7"/>
  <c r="K21" i="7" s="1"/>
  <c r="Y220" i="7"/>
  <c r="M92" i="7"/>
  <c r="F67" i="7"/>
  <c r="F55" i="7"/>
  <c r="F34" i="7"/>
  <c r="W90" i="7"/>
  <c r="AJ120" i="10"/>
  <c r="AI253" i="10"/>
  <c r="AG105" i="10"/>
  <c r="AG104" i="10" s="1"/>
  <c r="N59" i="10"/>
  <c r="AJ66" i="11"/>
  <c r="X19" i="12"/>
  <c r="F113" i="13"/>
  <c r="C99" i="13"/>
  <c r="W229" i="16"/>
  <c r="E36" i="16"/>
  <c r="E35" i="15"/>
  <c r="D44" i="16"/>
  <c r="D42" i="16" s="1"/>
  <c r="D42" i="15"/>
  <c r="X129" i="9"/>
  <c r="X87" i="9"/>
  <c r="X81" i="9"/>
  <c r="AI81" i="9" s="1"/>
  <c r="X53" i="9"/>
  <c r="F64" i="9"/>
  <c r="AC220" i="7"/>
  <c r="AC194" i="7"/>
  <c r="AC193" i="7" s="1"/>
  <c r="AC43" i="7"/>
  <c r="AC14" i="7" s="1"/>
  <c r="Y104" i="7"/>
  <c r="X251" i="7"/>
  <c r="X213" i="7"/>
  <c r="AH213" i="7" s="1"/>
  <c r="X181" i="7"/>
  <c r="X161" i="7"/>
  <c r="AJ161" i="7" s="1"/>
  <c r="X156" i="7"/>
  <c r="AJ156" i="7" s="1"/>
  <c r="X150" i="7"/>
  <c r="X149" i="7" s="1"/>
  <c r="X139" i="7"/>
  <c r="AH135" i="7"/>
  <c r="X131" i="7"/>
  <c r="AH131" i="7" s="1"/>
  <c r="X107" i="7"/>
  <c r="AI107" i="7" s="1"/>
  <c r="X100" i="7"/>
  <c r="AH100" i="7" s="1"/>
  <c r="X95" i="7"/>
  <c r="X84" i="7"/>
  <c r="AH84" i="7" s="1"/>
  <c r="X61" i="7"/>
  <c r="X31" i="7"/>
  <c r="AI31" i="7" s="1"/>
  <c r="X19" i="7"/>
  <c r="F113" i="7"/>
  <c r="F61" i="7"/>
  <c r="N61" i="7" s="1"/>
  <c r="AI254" i="10"/>
  <c r="X225" i="10"/>
  <c r="X183" i="10"/>
  <c r="AH183" i="10" s="1"/>
  <c r="X179" i="10"/>
  <c r="AH179" i="10" s="1"/>
  <c r="X165" i="10"/>
  <c r="X161" i="10"/>
  <c r="X156" i="10"/>
  <c r="AI156" i="10" s="1"/>
  <c r="X139" i="10"/>
  <c r="AJ139" i="10" s="1"/>
  <c r="AH135" i="10"/>
  <c r="X131" i="10"/>
  <c r="X61" i="10"/>
  <c r="AH61" i="10" s="1"/>
  <c r="F111" i="10"/>
  <c r="X183" i="11"/>
  <c r="AH183" i="11" s="1"/>
  <c r="X179" i="11"/>
  <c r="AJ179" i="11" s="1"/>
  <c r="U172" i="11"/>
  <c r="X19" i="11"/>
  <c r="AI19" i="11" s="1"/>
  <c r="F96" i="11"/>
  <c r="M96" i="11" s="1"/>
  <c r="C29" i="11"/>
  <c r="AH248" i="12"/>
  <c r="X183" i="12"/>
  <c r="AH183" i="12" s="1"/>
  <c r="X179" i="12"/>
  <c r="AH179" i="12" s="1"/>
  <c r="X161" i="12"/>
  <c r="X156" i="12"/>
  <c r="AJ156" i="12" s="1"/>
  <c r="X131" i="12"/>
  <c r="X107" i="12"/>
  <c r="X95" i="12"/>
  <c r="C42" i="12"/>
  <c r="C81" i="13"/>
  <c r="C22" i="13"/>
  <c r="X161" i="13"/>
  <c r="AJ161" i="13" s="1"/>
  <c r="C81" i="14"/>
  <c r="C25" i="14"/>
  <c r="AH256" i="14"/>
  <c r="X218" i="14"/>
  <c r="AH218" i="14" s="1"/>
  <c r="X164" i="14"/>
  <c r="AJ164" i="14" s="1"/>
  <c r="AH135" i="14"/>
  <c r="X55" i="14"/>
  <c r="AJ55" i="14" s="1"/>
  <c r="X31" i="14"/>
  <c r="X19" i="14"/>
  <c r="AJ19" i="14" s="1"/>
  <c r="F113" i="14"/>
  <c r="C78" i="14"/>
  <c r="C35" i="15"/>
  <c r="C63" i="15"/>
  <c r="X167" i="15"/>
  <c r="AI167" i="15" s="1"/>
  <c r="X163" i="15"/>
  <c r="AI163" i="15" s="1"/>
  <c r="X152" i="15"/>
  <c r="AH152" i="15" s="1"/>
  <c r="X137" i="15"/>
  <c r="X81" i="15"/>
  <c r="AI81" i="15" s="1"/>
  <c r="U57" i="16"/>
  <c r="AJ81" i="5"/>
  <c r="N96" i="5"/>
  <c r="N93" i="5" s="1"/>
  <c r="AA35" i="5"/>
  <c r="J36" i="16"/>
  <c r="AA228" i="15"/>
  <c r="AA142" i="15"/>
  <c r="Y141" i="15"/>
  <c r="F101" i="16"/>
  <c r="N101" i="16" s="1"/>
  <c r="C99" i="16"/>
  <c r="Y104" i="12"/>
  <c r="X55" i="12"/>
  <c r="X31" i="12"/>
  <c r="AI31" i="12" s="1"/>
  <c r="X216" i="13"/>
  <c r="AH216" i="13" s="1"/>
  <c r="X152" i="13"/>
  <c r="X137" i="13"/>
  <c r="AJ137" i="13" s="1"/>
  <c r="X129" i="13"/>
  <c r="X52" i="13"/>
  <c r="X19" i="13"/>
  <c r="AJ19" i="13" s="1"/>
  <c r="C108" i="13"/>
  <c r="F62" i="13"/>
  <c r="M62" i="13" s="1"/>
  <c r="X183" i="14"/>
  <c r="X179" i="14"/>
  <c r="X161" i="14"/>
  <c r="AJ161" i="14" s="1"/>
  <c r="X156" i="14"/>
  <c r="AI156" i="14" s="1"/>
  <c r="X126" i="14"/>
  <c r="X120" i="14"/>
  <c r="AJ120" i="14" s="1"/>
  <c r="X52" i="14"/>
  <c r="AH52" i="14" s="1"/>
  <c r="X164" i="15"/>
  <c r="AH164" i="15" s="1"/>
  <c r="X153" i="15"/>
  <c r="AH153" i="15" s="1"/>
  <c r="X130" i="15"/>
  <c r="AH130" i="15" s="1"/>
  <c r="X126" i="15"/>
  <c r="BN19" i="15" s="1"/>
  <c r="X120" i="15"/>
  <c r="X31" i="15"/>
  <c r="AG194" i="5"/>
  <c r="AG193" i="5" s="1"/>
  <c r="AS28" i="5" s="1"/>
  <c r="AX28" i="5" s="1"/>
  <c r="L43" i="15"/>
  <c r="N43" i="15" s="1"/>
  <c r="J42" i="15"/>
  <c r="Y36" i="16"/>
  <c r="AA36" i="16" s="1"/>
  <c r="AH36" i="15"/>
  <c r="W106" i="16"/>
  <c r="W59" i="16"/>
  <c r="W58" i="15"/>
  <c r="W57" i="15" s="1"/>
  <c r="E55" i="16"/>
  <c r="AH47" i="10"/>
  <c r="F113" i="10"/>
  <c r="F89" i="10"/>
  <c r="AQ12" i="10" s="1"/>
  <c r="AY12" i="10" s="1"/>
  <c r="X225" i="11"/>
  <c r="X167" i="11"/>
  <c r="AI167" i="11" s="1"/>
  <c r="X164" i="11"/>
  <c r="AH164" i="11" s="1"/>
  <c r="X134" i="11"/>
  <c r="X130" i="11"/>
  <c r="AJ130" i="11" s="1"/>
  <c r="X126" i="11"/>
  <c r="X120" i="11"/>
  <c r="X95" i="11"/>
  <c r="X52" i="11"/>
  <c r="AI52" i="11" s="1"/>
  <c r="X31" i="11"/>
  <c r="AI31" i="11" s="1"/>
  <c r="C63" i="11"/>
  <c r="U203" i="12"/>
  <c r="X167" i="12"/>
  <c r="X163" i="12"/>
  <c r="AH163" i="12" s="1"/>
  <c r="X152" i="12"/>
  <c r="AH152" i="12" s="1"/>
  <c r="X143" i="12"/>
  <c r="X137" i="12"/>
  <c r="X129" i="12"/>
  <c r="X52" i="12"/>
  <c r="F113" i="12"/>
  <c r="AH202" i="13"/>
  <c r="X183" i="13"/>
  <c r="AH183" i="13" s="1"/>
  <c r="X179" i="13"/>
  <c r="AJ179" i="13" s="1"/>
  <c r="X163" i="13"/>
  <c r="AI163" i="13" s="1"/>
  <c r="X153" i="13"/>
  <c r="AH153" i="13" s="1"/>
  <c r="X134" i="13"/>
  <c r="X130" i="13"/>
  <c r="X126" i="13"/>
  <c r="X120" i="13"/>
  <c r="U105" i="13"/>
  <c r="U104" i="13" s="1"/>
  <c r="X31" i="13"/>
  <c r="U172" i="14"/>
  <c r="X216" i="14"/>
  <c r="X137" i="14"/>
  <c r="AH137" i="14" s="1"/>
  <c r="X130" i="14"/>
  <c r="AH130" i="14" s="1"/>
  <c r="M115" i="14"/>
  <c r="F111" i="14"/>
  <c r="N111" i="14" s="1"/>
  <c r="X216" i="15"/>
  <c r="X186" i="15"/>
  <c r="X161" i="15"/>
  <c r="AI161" i="15" s="1"/>
  <c r="X156" i="15"/>
  <c r="AI156" i="15" s="1"/>
  <c r="X19" i="15"/>
  <c r="AJ126" i="5"/>
  <c r="AI97" i="5"/>
  <c r="F103" i="15"/>
  <c r="N103" i="15" s="1"/>
  <c r="F74" i="15"/>
  <c r="X249" i="15"/>
  <c r="AI249" i="15" s="1"/>
  <c r="X236" i="15"/>
  <c r="X204" i="15"/>
  <c r="X179" i="15"/>
  <c r="X128" i="15"/>
  <c r="AI128" i="15" s="1"/>
  <c r="X124" i="15"/>
  <c r="AH124" i="15" s="1"/>
  <c r="X93" i="15"/>
  <c r="X86" i="15"/>
  <c r="AH86" i="15" s="1"/>
  <c r="X80" i="15"/>
  <c r="X77" i="15"/>
  <c r="AI77" i="15" s="1"/>
  <c r="X73" i="15"/>
  <c r="AH73" i="15" s="1"/>
  <c r="X27" i="15"/>
  <c r="X23" i="15"/>
  <c r="AI23" i="15" s="1"/>
  <c r="X18" i="15"/>
  <c r="AJ166" i="14"/>
  <c r="AJ134" i="5"/>
  <c r="AD185" i="5"/>
  <c r="AD149" i="5"/>
  <c r="AD147" i="5" s="1"/>
  <c r="BO18" i="5"/>
  <c r="AA69" i="5"/>
  <c r="AH55" i="5"/>
  <c r="I72" i="5"/>
  <c r="M65" i="5"/>
  <c r="X204" i="16"/>
  <c r="X203" i="16" s="1"/>
  <c r="X180" i="16"/>
  <c r="AH180" i="16" s="1"/>
  <c r="X124" i="16"/>
  <c r="AH124" i="16" s="1"/>
  <c r="X97" i="16"/>
  <c r="AH97" i="16" s="1"/>
  <c r="X85" i="16"/>
  <c r="F87" i="16"/>
  <c r="N87" i="16" s="1"/>
  <c r="C60" i="16"/>
  <c r="F37" i="16"/>
  <c r="X167" i="16"/>
  <c r="AI167" i="16" s="1"/>
  <c r="X98" i="16"/>
  <c r="X93" i="16"/>
  <c r="X86" i="16"/>
  <c r="AH86" i="16" s="1"/>
  <c r="X80" i="16"/>
  <c r="AH80" i="16" s="1"/>
  <c r="X47" i="16"/>
  <c r="AJ47" i="16" s="1"/>
  <c r="X40" i="16"/>
  <c r="AI40" i="16" s="1"/>
  <c r="X30" i="16"/>
  <c r="AI30" i="16" s="1"/>
  <c r="X26" i="16"/>
  <c r="AI26" i="16" s="1"/>
  <c r="X22" i="16"/>
  <c r="X17" i="16"/>
  <c r="AD105" i="5"/>
  <c r="AD104" i="5" s="1"/>
  <c r="AD69" i="5"/>
  <c r="N86" i="5"/>
  <c r="L14" i="6"/>
  <c r="AH177" i="5"/>
  <c r="I108" i="5"/>
  <c r="AR15" i="5" s="1"/>
  <c r="AX15" i="5" s="1"/>
  <c r="X182" i="16"/>
  <c r="AH182" i="16" s="1"/>
  <c r="X168" i="16"/>
  <c r="AH168" i="16" s="1"/>
  <c r="X164" i="16"/>
  <c r="X153" i="16"/>
  <c r="AI153" i="16" s="1"/>
  <c r="X130" i="16"/>
  <c r="AH130" i="16" s="1"/>
  <c r="X126" i="16"/>
  <c r="BN19" i="16" s="1"/>
  <c r="X77" i="16"/>
  <c r="AI77" i="16" s="1"/>
  <c r="X73" i="16"/>
  <c r="AH73" i="16" s="1"/>
  <c r="X68" i="16"/>
  <c r="AI68" i="16" s="1"/>
  <c r="F23" i="16"/>
  <c r="BC12" i="16" s="1"/>
  <c r="C12" i="20" s="1"/>
  <c r="AJ102" i="5"/>
  <c r="AJ102" i="12"/>
  <c r="AJ102" i="7"/>
  <c r="AE31" i="8"/>
  <c r="AG31" i="8" s="1"/>
  <c r="AE31" i="9" s="1"/>
  <c r="AG31" i="9" s="1"/>
  <c r="AE31" i="10" s="1"/>
  <c r="AG31" i="10" s="1"/>
  <c r="AE31" i="11" s="1"/>
  <c r="AG31" i="11" s="1"/>
  <c r="AJ31" i="7"/>
  <c r="AG20" i="5"/>
  <c r="AG16" i="5" s="1"/>
  <c r="AG14" i="5" s="1"/>
  <c r="F53" i="20"/>
  <c r="BK13" i="5"/>
  <c r="AG245" i="6"/>
  <c r="AE243" i="6"/>
  <c r="AJ245" i="5"/>
  <c r="AG243" i="5"/>
  <c r="AG234" i="5" s="1"/>
  <c r="AG232" i="5" s="1"/>
  <c r="AS30" i="5" s="1"/>
  <c r="AX30" i="5" s="1"/>
  <c r="AI245" i="6"/>
  <c r="AD243" i="10"/>
  <c r="AD243" i="13"/>
  <c r="AI245" i="5"/>
  <c r="AB243" i="6"/>
  <c r="AD243" i="7"/>
  <c r="AD234" i="7" s="1"/>
  <c r="AD232" i="7" s="1"/>
  <c r="BP29" i="7" s="1"/>
  <c r="BJ13" i="7" s="1"/>
  <c r="AD243" i="11"/>
  <c r="AD243" i="12"/>
  <c r="AB243" i="13"/>
  <c r="AB243" i="10"/>
  <c r="AB243" i="14"/>
  <c r="AD243" i="5"/>
  <c r="AD234" i="5" s="1"/>
  <c r="AD232" i="5" s="1"/>
  <c r="AB243" i="9"/>
  <c r="AB243" i="11"/>
  <c r="AB243" i="12"/>
  <c r="AA234" i="5"/>
  <c r="AA232" i="5" s="1"/>
  <c r="BO29" i="5" s="1"/>
  <c r="BI13" i="5" s="1"/>
  <c r="AI125" i="9"/>
  <c r="AH51" i="5"/>
  <c r="AH51" i="8"/>
  <c r="AH256" i="11"/>
  <c r="AI256" i="11"/>
  <c r="AJ256" i="5"/>
  <c r="AI256" i="5"/>
  <c r="AH256" i="10"/>
  <c r="AI255" i="8"/>
  <c r="AH255" i="8"/>
  <c r="X243" i="5"/>
  <c r="X234" i="5" s="1"/>
  <c r="X232" i="5" s="1"/>
  <c r="AQ30" i="5" s="1"/>
  <c r="AH255" i="5"/>
  <c r="U243" i="14"/>
  <c r="U234" i="5"/>
  <c r="U232" i="5" s="1"/>
  <c r="AI244" i="5"/>
  <c r="U243" i="8"/>
  <c r="AB205" i="11"/>
  <c r="AD205" i="11" s="1"/>
  <c r="AB205" i="12" s="1"/>
  <c r="AD205" i="12" s="1"/>
  <c r="AB205" i="13" s="1"/>
  <c r="AD205" i="13" s="1"/>
  <c r="AI205" i="7"/>
  <c r="AI205" i="5"/>
  <c r="AI205" i="9"/>
  <c r="AJ205" i="5"/>
  <c r="AH205" i="7"/>
  <c r="AB204" i="6"/>
  <c r="AC194" i="5"/>
  <c r="AC193" i="5" s="1"/>
  <c r="Y203" i="16"/>
  <c r="AA203" i="7"/>
  <c r="AA203" i="11"/>
  <c r="AA203" i="12"/>
  <c r="Y203" i="13"/>
  <c r="AA203" i="15"/>
  <c r="AH204" i="9"/>
  <c r="AH203" i="9" s="1"/>
  <c r="Y203" i="6"/>
  <c r="Y203" i="9"/>
  <c r="Y203" i="11"/>
  <c r="Y203" i="14"/>
  <c r="AH204" i="7"/>
  <c r="AH203" i="7" s="1"/>
  <c r="AA203" i="8"/>
  <c r="AA203" i="9"/>
  <c r="Y203" i="12"/>
  <c r="Y203" i="7"/>
  <c r="Y203" i="10"/>
  <c r="Y203" i="15"/>
  <c r="AJ204" i="5"/>
  <c r="AJ203" i="5" s="1"/>
  <c r="U194" i="7"/>
  <c r="U193" i="7" s="1"/>
  <c r="X204" i="14"/>
  <c r="U203" i="16"/>
  <c r="AH204" i="10"/>
  <c r="AH203" i="10" s="1"/>
  <c r="AI204" i="5"/>
  <c r="AI203" i="5" s="1"/>
  <c r="AH204" i="5"/>
  <c r="AH203" i="5" s="1"/>
  <c r="U203" i="10"/>
  <c r="AI200" i="5"/>
  <c r="AI200" i="12"/>
  <c r="AD195" i="5"/>
  <c r="AD194" i="5" s="1"/>
  <c r="AD193" i="5" s="1"/>
  <c r="AR28" i="5" s="1"/>
  <c r="AW28" i="5" s="1"/>
  <c r="AI200" i="13"/>
  <c r="AH200" i="13"/>
  <c r="AH200" i="15"/>
  <c r="AH200" i="12"/>
  <c r="AH200" i="11"/>
  <c r="AI200" i="11"/>
  <c r="AH200" i="14"/>
  <c r="AI200" i="14"/>
  <c r="AH199" i="7"/>
  <c r="AH199" i="9"/>
  <c r="AH199" i="5"/>
  <c r="X195" i="5"/>
  <c r="X194" i="5" s="1"/>
  <c r="AJ198" i="5"/>
  <c r="AE198" i="6"/>
  <c r="AB198" i="7"/>
  <c r="AD198" i="7" s="1"/>
  <c r="AB198" i="8" s="1"/>
  <c r="AD198" i="8" s="1"/>
  <c r="AB198" i="9" s="1"/>
  <c r="AD195" i="6"/>
  <c r="AH198" i="5"/>
  <c r="AH198" i="9"/>
  <c r="U195" i="8"/>
  <c r="U194" i="8" s="1"/>
  <c r="U193" i="8" s="1"/>
  <c r="U195" i="16"/>
  <c r="AI197" i="5"/>
  <c r="AB195" i="6"/>
  <c r="AH197" i="7"/>
  <c r="AH195" i="5"/>
  <c r="U194" i="5"/>
  <c r="U193" i="5" s="1"/>
  <c r="AJ197" i="5"/>
  <c r="AI197" i="6"/>
  <c r="AH197" i="6"/>
  <c r="AF193" i="5"/>
  <c r="BQ28" i="5"/>
  <c r="F52" i="20" s="1"/>
  <c r="F50" i="20"/>
  <c r="BP26" i="14"/>
  <c r="AA196" i="6"/>
  <c r="Y195" i="6"/>
  <c r="Y194" i="6" s="1"/>
  <c r="Y193" i="6" s="1"/>
  <c r="AA195" i="5"/>
  <c r="AA194" i="5" s="1"/>
  <c r="Z194" i="5"/>
  <c r="Z193" i="5" s="1"/>
  <c r="AI196" i="12"/>
  <c r="U195" i="12"/>
  <c r="U194" i="12" s="1"/>
  <c r="U193" i="12" s="1"/>
  <c r="X196" i="16"/>
  <c r="AI196" i="14"/>
  <c r="BN26" i="5"/>
  <c r="AJ196" i="5"/>
  <c r="AI196" i="5"/>
  <c r="AB191" i="6"/>
  <c r="AD191" i="6" s="1"/>
  <c r="AB191" i="7" s="1"/>
  <c r="AD191" i="7" s="1"/>
  <c r="AB191" i="8" s="1"/>
  <c r="AD191" i="8" s="1"/>
  <c r="AD185" i="8" s="1"/>
  <c r="AH191" i="12"/>
  <c r="Y185" i="10"/>
  <c r="Y185" i="6"/>
  <c r="Y185" i="8"/>
  <c r="AA185" i="7"/>
  <c r="Y185" i="7"/>
  <c r="AH191" i="13"/>
  <c r="AH191" i="5"/>
  <c r="AH185" i="5" s="1"/>
  <c r="AH191" i="14"/>
  <c r="AH191" i="9"/>
  <c r="AG183" i="6"/>
  <c r="AJ183" i="6" s="1"/>
  <c r="AE176" i="6"/>
  <c r="AJ183" i="5"/>
  <c r="AF170" i="5"/>
  <c r="BQ24" i="5" s="1"/>
  <c r="BQ22" i="5" s="1"/>
  <c r="BK11" i="5" s="1"/>
  <c r="AB183" i="7"/>
  <c r="AD183" i="7" s="1"/>
  <c r="AB183" i="8" s="1"/>
  <c r="AD183" i="8" s="1"/>
  <c r="AB183" i="9" s="1"/>
  <c r="AD183" i="9" s="1"/>
  <c r="AB183" i="10" s="1"/>
  <c r="AD183" i="10" s="1"/>
  <c r="AB183" i="11" s="1"/>
  <c r="AD183" i="11" s="1"/>
  <c r="AI183" i="6"/>
  <c r="AC170" i="5"/>
  <c r="AH183" i="14"/>
  <c r="AI180" i="8"/>
  <c r="AJ180" i="8"/>
  <c r="AH180" i="8"/>
  <c r="U176" i="15"/>
  <c r="AI180" i="7"/>
  <c r="AJ180" i="7"/>
  <c r="AI179" i="12"/>
  <c r="AI179" i="15"/>
  <c r="AI179" i="5"/>
  <c r="AJ179" i="12"/>
  <c r="U176" i="12"/>
  <c r="AG176" i="5"/>
  <c r="AG170" i="5" s="1"/>
  <c r="AS27" i="5" s="1"/>
  <c r="AX27" i="5" s="1"/>
  <c r="AJ178" i="8"/>
  <c r="AH178" i="8"/>
  <c r="AH178" i="11"/>
  <c r="AH178" i="12"/>
  <c r="AH178" i="15"/>
  <c r="AH178" i="5"/>
  <c r="AH176" i="5" s="1"/>
  <c r="U176" i="10"/>
  <c r="AJ176" i="5"/>
  <c r="AJ170" i="5" s="1"/>
  <c r="F48" i="20"/>
  <c r="BP23" i="12"/>
  <c r="AI177" i="5"/>
  <c r="AD176" i="6"/>
  <c r="AB176" i="6"/>
  <c r="BP23" i="10"/>
  <c r="BP23" i="9"/>
  <c r="BP23" i="8"/>
  <c r="BP23" i="7"/>
  <c r="BP23" i="6"/>
  <c r="BP23" i="5"/>
  <c r="AI177" i="8"/>
  <c r="Y177" i="6"/>
  <c r="AA176" i="5"/>
  <c r="AA170" i="5" s="1"/>
  <c r="BO24" i="5" s="1"/>
  <c r="BO23" i="5"/>
  <c r="AJ177" i="8"/>
  <c r="U176" i="9"/>
  <c r="BN23" i="8"/>
  <c r="X176" i="5"/>
  <c r="AD174" i="14"/>
  <c r="AD172" i="5"/>
  <c r="AD170" i="5" s="1"/>
  <c r="AD172" i="11"/>
  <c r="AB172" i="11"/>
  <c r="AD172" i="12"/>
  <c r="AI172" i="5"/>
  <c r="AD172" i="8"/>
  <c r="AD172" i="7"/>
  <c r="AB172" i="10"/>
  <c r="AI174" i="10"/>
  <c r="AA174" i="16"/>
  <c r="AA172" i="16" s="1"/>
  <c r="Z170" i="5"/>
  <c r="X173" i="11"/>
  <c r="U172" i="13"/>
  <c r="U172" i="15"/>
  <c r="BR18" i="16"/>
  <c r="BP18" i="5"/>
  <c r="BP18" i="10"/>
  <c r="AI156" i="9"/>
  <c r="BP18" i="8"/>
  <c r="BP18" i="12"/>
  <c r="BP18" i="13"/>
  <c r="BP18" i="14"/>
  <c r="BP18" i="15"/>
  <c r="BP18" i="16"/>
  <c r="BP18" i="7"/>
  <c r="BP18" i="9"/>
  <c r="AI156" i="5"/>
  <c r="BN18" i="5"/>
  <c r="AE168" i="7"/>
  <c r="AG168" i="7" s="1"/>
  <c r="AJ168" i="6"/>
  <c r="AH168" i="12"/>
  <c r="AH168" i="15"/>
  <c r="AH168" i="10"/>
  <c r="AH168" i="13"/>
  <c r="AI168" i="5"/>
  <c r="AH168" i="5"/>
  <c r="AE166" i="15"/>
  <c r="AG166" i="15" s="1"/>
  <c r="AJ166" i="15" s="1"/>
  <c r="AJ166" i="12"/>
  <c r="AG157" i="5"/>
  <c r="AG155" i="5" s="1"/>
  <c r="AG145" i="5" s="1"/>
  <c r="AJ166" i="11"/>
  <c r="AJ166" i="5"/>
  <c r="Y166" i="13"/>
  <c r="AA166" i="13" s="1"/>
  <c r="Y166" i="14" s="1"/>
  <c r="AA166" i="14" s="1"/>
  <c r="Y166" i="15" s="1"/>
  <c r="AA166" i="15" s="1"/>
  <c r="Y166" i="16" s="1"/>
  <c r="AA166" i="16" s="1"/>
  <c r="AH166" i="12"/>
  <c r="AI166" i="6"/>
  <c r="AH166" i="6"/>
  <c r="AJ166" i="6"/>
  <c r="AI166" i="15"/>
  <c r="AJ166" i="9"/>
  <c r="AI166" i="9"/>
  <c r="AH166" i="9"/>
  <c r="AJ166" i="8"/>
  <c r="AH166" i="8"/>
  <c r="AB164" i="8"/>
  <c r="AD164" i="8" s="1"/>
  <c r="AB164" i="9" s="1"/>
  <c r="AD164" i="9" s="1"/>
  <c r="AB164" i="10" s="1"/>
  <c r="AD164" i="10" s="1"/>
  <c r="AB164" i="11" s="1"/>
  <c r="AD164" i="11" s="1"/>
  <c r="AB164" i="12" s="1"/>
  <c r="AD164" i="12" s="1"/>
  <c r="AB164" i="13" s="1"/>
  <c r="AD164" i="13" s="1"/>
  <c r="AB164" i="14" s="1"/>
  <c r="AD164" i="14" s="1"/>
  <c r="AB164" i="15" s="1"/>
  <c r="AD164" i="15" s="1"/>
  <c r="AB164" i="16" s="1"/>
  <c r="AD164" i="16" s="1"/>
  <c r="AI164" i="16" s="1"/>
  <c r="AI164" i="7"/>
  <c r="AH164" i="12"/>
  <c r="AJ164" i="12"/>
  <c r="AI164" i="6"/>
  <c r="AJ164" i="6"/>
  <c r="AH164" i="6"/>
  <c r="AH164" i="9"/>
  <c r="AJ164" i="9"/>
  <c r="AH164" i="5"/>
  <c r="AJ164" i="5"/>
  <c r="AI163" i="5"/>
  <c r="AI163" i="12"/>
  <c r="AJ163" i="12"/>
  <c r="AH163" i="15"/>
  <c r="AG162" i="6"/>
  <c r="AJ162" i="6" s="1"/>
  <c r="AE157" i="6"/>
  <c r="AE155" i="6" s="1"/>
  <c r="AE145" i="6" s="1"/>
  <c r="AB162" i="7"/>
  <c r="AD162" i="7" s="1"/>
  <c r="AB162" i="8" s="1"/>
  <c r="AD162" i="8" s="1"/>
  <c r="AB162" i="9" s="1"/>
  <c r="AD162" i="9" s="1"/>
  <c r="AD157" i="6"/>
  <c r="AD155" i="6" s="1"/>
  <c r="AI162" i="5"/>
  <c r="AH162" i="15"/>
  <c r="AH162" i="16"/>
  <c r="AH162" i="9"/>
  <c r="AI162" i="6"/>
  <c r="AH162" i="6"/>
  <c r="AH162" i="12"/>
  <c r="X162" i="14"/>
  <c r="U157" i="16"/>
  <c r="U155" i="16" s="1"/>
  <c r="U157" i="9"/>
  <c r="U155" i="9" s="1"/>
  <c r="AB157" i="6"/>
  <c r="AB155" i="6" s="1"/>
  <c r="AI161" i="12"/>
  <c r="Y161" i="8"/>
  <c r="AA161" i="8" s="1"/>
  <c r="Y161" i="9" s="1"/>
  <c r="AA161" i="9" s="1"/>
  <c r="Y161" i="10" s="1"/>
  <c r="AA161" i="10" s="1"/>
  <c r="Y161" i="11" s="1"/>
  <c r="AA161" i="11" s="1"/>
  <c r="Y161" i="12" s="1"/>
  <c r="AA161" i="12" s="1"/>
  <c r="Y161" i="13" s="1"/>
  <c r="AA161" i="13" s="1"/>
  <c r="Y161" i="14" s="1"/>
  <c r="AA161" i="14" s="1"/>
  <c r="Y161" i="15" s="1"/>
  <c r="AA161" i="15" s="1"/>
  <c r="AH161" i="7"/>
  <c r="AH161" i="5"/>
  <c r="AH161" i="6"/>
  <c r="AI161" i="11"/>
  <c r="AI161" i="5"/>
  <c r="X161" i="9"/>
  <c r="AD157" i="5"/>
  <c r="AD155" i="5" s="1"/>
  <c r="AD145" i="5" s="1"/>
  <c r="AA160" i="6"/>
  <c r="AH160" i="6" s="1"/>
  <c r="Y157" i="6"/>
  <c r="AH160" i="5"/>
  <c r="AI160" i="6"/>
  <c r="AI160" i="5"/>
  <c r="AJ160" i="5"/>
  <c r="AJ157" i="5" s="1"/>
  <c r="AJ155" i="5" s="1"/>
  <c r="U157" i="12"/>
  <c r="U155" i="12" s="1"/>
  <c r="U157" i="6"/>
  <c r="U155" i="6" s="1"/>
  <c r="U157" i="10"/>
  <c r="U155" i="10" s="1"/>
  <c r="AI158" i="9"/>
  <c r="AJ158" i="9"/>
  <c r="AH158" i="9"/>
  <c r="X157" i="5"/>
  <c r="X155" i="5" s="1"/>
  <c r="BQ17" i="5"/>
  <c r="F41" i="20" s="1"/>
  <c r="F39" i="20" s="1"/>
  <c r="AF145" i="5"/>
  <c r="AC145" i="5"/>
  <c r="Y156" i="6"/>
  <c r="AA156" i="6" s="1"/>
  <c r="AH156" i="6" s="1"/>
  <c r="AH156" i="5"/>
  <c r="AA155" i="5"/>
  <c r="U145" i="5"/>
  <c r="AE78" i="16"/>
  <c r="AG78" i="16" s="1"/>
  <c r="AJ78" i="16" s="1"/>
  <c r="AJ78" i="15"/>
  <c r="AE76" i="15"/>
  <c r="AG76" i="15" s="1"/>
  <c r="AE48" i="15"/>
  <c r="AG48" i="15" s="1"/>
  <c r="AJ48" i="15" s="1"/>
  <c r="AJ48" i="14"/>
  <c r="N100" i="10"/>
  <c r="J100" i="11"/>
  <c r="L100" i="11" s="1"/>
  <c r="N100" i="11" s="1"/>
  <c r="AB256" i="16"/>
  <c r="AD256" i="16" s="1"/>
  <c r="AE80" i="16"/>
  <c r="AG80" i="16" s="1"/>
  <c r="AJ80" i="15"/>
  <c r="AJ85" i="15"/>
  <c r="AE85" i="16"/>
  <c r="AG85" i="16" s="1"/>
  <c r="AJ85" i="16" s="1"/>
  <c r="AB253" i="16"/>
  <c r="AD253" i="16" s="1"/>
  <c r="AI253" i="15"/>
  <c r="AE179" i="14"/>
  <c r="AG179" i="14" s="1"/>
  <c r="AJ179" i="14" s="1"/>
  <c r="BC5" i="6"/>
  <c r="BE3" i="6"/>
  <c r="BK3" i="6" s="1"/>
  <c r="BQ3" i="6" s="1"/>
  <c r="BN5" i="6" s="1"/>
  <c r="AI241" i="6"/>
  <c r="AH241" i="6"/>
  <c r="AJ241" i="6"/>
  <c r="AJ237" i="6"/>
  <c r="AI216" i="6"/>
  <c r="AJ216" i="6"/>
  <c r="AH216" i="6"/>
  <c r="AH199" i="6"/>
  <c r="AI199" i="6"/>
  <c r="AJ199" i="6"/>
  <c r="AH182" i="6"/>
  <c r="AJ182" i="6"/>
  <c r="AI182" i="6"/>
  <c r="AH107" i="6"/>
  <c r="AJ107" i="6"/>
  <c r="AH240" i="8"/>
  <c r="AI240" i="8"/>
  <c r="AH236" i="8"/>
  <c r="AH198" i="8"/>
  <c r="AH190" i="8"/>
  <c r="AI190" i="8"/>
  <c r="AJ80" i="8"/>
  <c r="AH80" i="8"/>
  <c r="AI80" i="8"/>
  <c r="AI27" i="8"/>
  <c r="AH27" i="8"/>
  <c r="AJ27" i="8"/>
  <c r="M119" i="8"/>
  <c r="N89" i="8"/>
  <c r="AQ12" i="8"/>
  <c r="M89" i="8"/>
  <c r="N59" i="8"/>
  <c r="M53" i="8"/>
  <c r="M43" i="8"/>
  <c r="N43" i="8"/>
  <c r="BC16" i="8"/>
  <c r="AI253" i="9"/>
  <c r="AH253" i="9"/>
  <c r="AI249" i="9"/>
  <c r="AJ249" i="9"/>
  <c r="AI239" i="9"/>
  <c r="AH239" i="9"/>
  <c r="AI230" i="9"/>
  <c r="AJ230" i="9"/>
  <c r="AH22" i="9"/>
  <c r="AJ22" i="9"/>
  <c r="N92" i="9"/>
  <c r="M92" i="9"/>
  <c r="N36" i="9"/>
  <c r="M36" i="9"/>
  <c r="M35" i="9" s="1"/>
  <c r="AI196" i="7"/>
  <c r="AH201" i="10"/>
  <c r="AI201" i="10"/>
  <c r="AH197" i="10"/>
  <c r="AI197" i="10"/>
  <c r="AH182" i="10"/>
  <c r="AI182" i="10"/>
  <c r="AH178" i="10"/>
  <c r="AJ178" i="10"/>
  <c r="N110" i="10"/>
  <c r="M110" i="10"/>
  <c r="M104" i="10"/>
  <c r="N104" i="10"/>
  <c r="BP23" i="14"/>
  <c r="AV13" i="11"/>
  <c r="M46" i="8"/>
  <c r="AJ247" i="9"/>
  <c r="AI18" i="7"/>
  <c r="AV11" i="15"/>
  <c r="AU11" i="7"/>
  <c r="AJ3" i="10"/>
  <c r="BC5" i="10"/>
  <c r="BE3" i="10"/>
  <c r="BK3" i="10" s="1"/>
  <c r="BQ3" i="10" s="1"/>
  <c r="BN5" i="10" s="1"/>
  <c r="BH5" i="10"/>
  <c r="AI224" i="6"/>
  <c r="AH224" i="6"/>
  <c r="AH150" i="6"/>
  <c r="AI150" i="6"/>
  <c r="AJ150" i="6"/>
  <c r="AH37" i="6"/>
  <c r="AJ37" i="6"/>
  <c r="AI37" i="6"/>
  <c r="AI27" i="6"/>
  <c r="AH27" i="6"/>
  <c r="AJ27" i="6"/>
  <c r="AH23" i="6"/>
  <c r="AI23" i="6"/>
  <c r="M95" i="6"/>
  <c r="N95" i="6"/>
  <c r="X235" i="8"/>
  <c r="AH241" i="8"/>
  <c r="AI241" i="8"/>
  <c r="AH237" i="8"/>
  <c r="AI237" i="8"/>
  <c r="AH199" i="8"/>
  <c r="AI199" i="8"/>
  <c r="AH152" i="8"/>
  <c r="AJ152" i="8"/>
  <c r="AH120" i="8"/>
  <c r="AI120" i="8"/>
  <c r="AJ120" i="8"/>
  <c r="M36" i="8"/>
  <c r="N36" i="8"/>
  <c r="AI246" i="9"/>
  <c r="AH246" i="9"/>
  <c r="AH236" i="9"/>
  <c r="AH178" i="9"/>
  <c r="AJ178" i="9"/>
  <c r="AI80" i="9"/>
  <c r="AH80" i="9"/>
  <c r="AJ80" i="9"/>
  <c r="AI26" i="9"/>
  <c r="AH26" i="9"/>
  <c r="AJ26" i="9"/>
  <c r="M33" i="9"/>
  <c r="N33" i="9"/>
  <c r="AI183" i="7"/>
  <c r="AH183" i="7"/>
  <c r="AH198" i="10"/>
  <c r="J34" i="16"/>
  <c r="AA172" i="15"/>
  <c r="AJ156" i="13"/>
  <c r="AI130" i="14"/>
  <c r="AI118" i="16"/>
  <c r="AI125" i="12"/>
  <c r="N46" i="8"/>
  <c r="AI247" i="9"/>
  <c r="AU11" i="10"/>
  <c r="R13" i="20"/>
  <c r="R17" i="20"/>
  <c r="BE3" i="12"/>
  <c r="BK3" i="12" s="1"/>
  <c r="BQ3" i="12" s="1"/>
  <c r="BN5" i="12" s="1"/>
  <c r="AW4" i="6"/>
  <c r="M80" i="9"/>
  <c r="N80" i="9"/>
  <c r="AJ239" i="6"/>
  <c r="AI239" i="6"/>
  <c r="AH239" i="6"/>
  <c r="AH230" i="6"/>
  <c r="AJ230" i="6"/>
  <c r="AI230" i="6"/>
  <c r="M112" i="6"/>
  <c r="N112" i="6"/>
  <c r="AH244" i="8"/>
  <c r="AI244" i="8"/>
  <c r="AI238" i="8"/>
  <c r="AH238" i="8"/>
  <c r="AH229" i="8"/>
  <c r="AI229" i="8"/>
  <c r="AI200" i="8"/>
  <c r="AH200" i="8"/>
  <c r="AI196" i="8"/>
  <c r="BN26" i="8"/>
  <c r="AI108" i="8"/>
  <c r="AJ108" i="8"/>
  <c r="AH108" i="8"/>
  <c r="N50" i="8"/>
  <c r="AH255" i="9"/>
  <c r="AI255" i="9"/>
  <c r="AH241" i="9"/>
  <c r="AI241" i="9"/>
  <c r="AH237" i="9"/>
  <c r="AI237" i="9"/>
  <c r="AH197" i="9"/>
  <c r="AI197" i="9"/>
  <c r="AH129" i="9"/>
  <c r="AI129" i="9"/>
  <c r="AH87" i="9"/>
  <c r="AJ87" i="9"/>
  <c r="AI87" i="9"/>
  <c r="AI73" i="9"/>
  <c r="AH73" i="9"/>
  <c r="AJ73" i="9"/>
  <c r="AH30" i="9"/>
  <c r="AI30" i="9"/>
  <c r="AJ30" i="9"/>
  <c r="M115" i="9"/>
  <c r="N115" i="9"/>
  <c r="AH46" i="7"/>
  <c r="AJ46" i="7"/>
  <c r="AH199" i="10"/>
  <c r="AI199" i="10"/>
  <c r="AH191" i="10"/>
  <c r="AH180" i="10"/>
  <c r="AI180" i="10"/>
  <c r="AH166" i="10"/>
  <c r="AI166" i="10"/>
  <c r="AJ166" i="10"/>
  <c r="AH162" i="10"/>
  <c r="AH158" i="10"/>
  <c r="AJ158" i="10"/>
  <c r="AI158" i="10"/>
  <c r="AI78" i="10"/>
  <c r="AJ78" i="10"/>
  <c r="M92" i="10"/>
  <c r="N92" i="10"/>
  <c r="N88" i="10"/>
  <c r="M88" i="10"/>
  <c r="AH212" i="6"/>
  <c r="AI212" i="6"/>
  <c r="AJ212" i="6"/>
  <c r="AH191" i="6"/>
  <c r="AJ191" i="6"/>
  <c r="AH78" i="6"/>
  <c r="AI78" i="6"/>
  <c r="AJ78" i="6"/>
  <c r="AI39" i="6"/>
  <c r="AH39" i="6"/>
  <c r="AJ39" i="6"/>
  <c r="AJ25" i="6"/>
  <c r="AI25" i="6"/>
  <c r="AH25" i="6"/>
  <c r="AI21" i="6"/>
  <c r="AH21" i="6"/>
  <c r="AJ21" i="6"/>
  <c r="N97" i="6"/>
  <c r="M97" i="6"/>
  <c r="M49" i="6"/>
  <c r="BC15" i="6"/>
  <c r="N49" i="6"/>
  <c r="AH201" i="8"/>
  <c r="AI201" i="8"/>
  <c r="AH197" i="8"/>
  <c r="AI197" i="8"/>
  <c r="AI201" i="9"/>
  <c r="AH201" i="9"/>
  <c r="AJ180" i="9"/>
  <c r="AI180" i="9"/>
  <c r="AH180" i="9"/>
  <c r="AI78" i="9"/>
  <c r="AH78" i="9"/>
  <c r="AJ78" i="9"/>
  <c r="AI61" i="9"/>
  <c r="AJ61" i="9"/>
  <c r="AH61" i="9"/>
  <c r="N88" i="9"/>
  <c r="M88" i="9"/>
  <c r="AQ11" i="9"/>
  <c r="AY11" i="9" s="1"/>
  <c r="M47" i="9"/>
  <c r="N47" i="9"/>
  <c r="M77" i="7"/>
  <c r="N77" i="7"/>
  <c r="AI200" i="10"/>
  <c r="AH200" i="10"/>
  <c r="AI196" i="10"/>
  <c r="AI177" i="10"/>
  <c r="BN23" i="10"/>
  <c r="AJ95" i="10"/>
  <c r="AH95" i="10"/>
  <c r="AI95" i="10"/>
  <c r="AI26" i="10"/>
  <c r="AJ26" i="10"/>
  <c r="AH26" i="10"/>
  <c r="AH22" i="10"/>
  <c r="AJ22" i="10"/>
  <c r="M97" i="10"/>
  <c r="N97" i="10"/>
  <c r="AB214" i="14"/>
  <c r="I56" i="15"/>
  <c r="AI137" i="16"/>
  <c r="X195" i="8"/>
  <c r="AV11" i="14"/>
  <c r="AZ11" i="14"/>
  <c r="AY12" i="8"/>
  <c r="AJ131" i="11"/>
  <c r="AH131" i="11"/>
  <c r="AI26" i="11"/>
  <c r="AH26" i="11"/>
  <c r="AH256" i="12"/>
  <c r="AI256" i="12"/>
  <c r="AH118" i="12"/>
  <c r="AI118" i="12"/>
  <c r="AJ118" i="12"/>
  <c r="X47" i="12"/>
  <c r="AI47" i="12" s="1"/>
  <c r="U44" i="12"/>
  <c r="AI19" i="14"/>
  <c r="AD142" i="11"/>
  <c r="AB141" i="11"/>
  <c r="AA246" i="11"/>
  <c r="Y167" i="15"/>
  <c r="AA167" i="15" s="1"/>
  <c r="AH167" i="14"/>
  <c r="W142" i="12"/>
  <c r="X142" i="12" s="1"/>
  <c r="X142" i="11"/>
  <c r="W133" i="12"/>
  <c r="X133" i="12" s="1"/>
  <c r="W123" i="11"/>
  <c r="E100" i="12"/>
  <c r="F100" i="12" s="1"/>
  <c r="V228" i="12"/>
  <c r="V177" i="12"/>
  <c r="V176" i="11"/>
  <c r="V60" i="12"/>
  <c r="V58" i="11"/>
  <c r="V57" i="11" s="1"/>
  <c r="V39" i="12"/>
  <c r="V21" i="12"/>
  <c r="X21" i="11"/>
  <c r="D102" i="14"/>
  <c r="D102" i="15" s="1"/>
  <c r="F102" i="13"/>
  <c r="N102" i="13" s="1"/>
  <c r="D92" i="12"/>
  <c r="D80" i="13"/>
  <c r="D59" i="12"/>
  <c r="D57" i="11"/>
  <c r="AZ12" i="8"/>
  <c r="AB220" i="6"/>
  <c r="AD220" i="7"/>
  <c r="AB220" i="7"/>
  <c r="C78" i="7"/>
  <c r="F78" i="7" s="1"/>
  <c r="N42" i="7"/>
  <c r="V90" i="7"/>
  <c r="C60" i="10"/>
  <c r="C54" i="11"/>
  <c r="AI237" i="11"/>
  <c r="N92" i="11"/>
  <c r="M92" i="11"/>
  <c r="AH136" i="14"/>
  <c r="AI136" i="14"/>
  <c r="Y199" i="12"/>
  <c r="Y129" i="15"/>
  <c r="AA129" i="15" s="1"/>
  <c r="Y129" i="16" s="1"/>
  <c r="AA129" i="16" s="1"/>
  <c r="AH129" i="14"/>
  <c r="W165" i="12"/>
  <c r="X165" i="12" s="1"/>
  <c r="W28" i="14"/>
  <c r="X28" i="14" s="1"/>
  <c r="W20" i="13"/>
  <c r="W16" i="13" s="1"/>
  <c r="E89" i="14"/>
  <c r="E89" i="15" s="1"/>
  <c r="E89" i="16" s="1"/>
  <c r="V237" i="12"/>
  <c r="X237" i="12" s="1"/>
  <c r="V188" i="14"/>
  <c r="V46" i="13"/>
  <c r="V25" i="15"/>
  <c r="V25" i="16" s="1"/>
  <c r="X25" i="14"/>
  <c r="AJ25" i="14" s="1"/>
  <c r="D104" i="12"/>
  <c r="D104" i="13" s="1"/>
  <c r="F104" i="11"/>
  <c r="D97" i="12"/>
  <c r="D83" i="12"/>
  <c r="F83" i="11"/>
  <c r="D81" i="11"/>
  <c r="D65" i="12"/>
  <c r="D63" i="11"/>
  <c r="J10" i="20"/>
  <c r="W145" i="6"/>
  <c r="X222" i="8"/>
  <c r="C78" i="9"/>
  <c r="V170" i="7"/>
  <c r="AI166" i="11"/>
  <c r="AH166" i="11"/>
  <c r="AI202" i="12"/>
  <c r="AH202" i="12"/>
  <c r="AH198" i="12"/>
  <c r="C60" i="12"/>
  <c r="F62" i="12"/>
  <c r="M62" i="12" s="1"/>
  <c r="AH129" i="13"/>
  <c r="AI129" i="13"/>
  <c r="AH119" i="13"/>
  <c r="AI119" i="13"/>
  <c r="AI40" i="13"/>
  <c r="AH40" i="13"/>
  <c r="M91" i="14"/>
  <c r="N91" i="14"/>
  <c r="W148" i="13"/>
  <c r="X148" i="13" s="1"/>
  <c r="AI148" i="13" s="1"/>
  <c r="W102" i="15"/>
  <c r="W102" i="16" s="1"/>
  <c r="X102" i="16" s="1"/>
  <c r="X102" i="14"/>
  <c r="AI102" i="14" s="1"/>
  <c r="V214" i="12"/>
  <c r="X214" i="11"/>
  <c r="V127" i="12"/>
  <c r="V123" i="11"/>
  <c r="V75" i="14"/>
  <c r="V51" i="12"/>
  <c r="V49" i="11"/>
  <c r="V29" i="14"/>
  <c r="V29" i="15" s="1"/>
  <c r="V29" i="16" s="1"/>
  <c r="X29" i="16" s="1"/>
  <c r="AH29" i="16" s="1"/>
  <c r="X29" i="13"/>
  <c r="D114" i="14"/>
  <c r="F114" i="13"/>
  <c r="D71" i="12"/>
  <c r="F71" i="12" s="1"/>
  <c r="AA220" i="6"/>
  <c r="BO30" i="6" s="1"/>
  <c r="BI14" i="6" s="1"/>
  <c r="N48" i="8"/>
  <c r="N32" i="8"/>
  <c r="V220" i="8"/>
  <c r="V220" i="9"/>
  <c r="W112" i="7"/>
  <c r="AH238" i="13"/>
  <c r="AH117" i="13"/>
  <c r="AI241" i="11"/>
  <c r="AH241" i="11"/>
  <c r="C57" i="12"/>
  <c r="AI48" i="13"/>
  <c r="AH48" i="13"/>
  <c r="AE53" i="12"/>
  <c r="AG53" i="12" s="1"/>
  <c r="AE53" i="13" s="1"/>
  <c r="AG53" i="13" s="1"/>
  <c r="AB52" i="15"/>
  <c r="AD52" i="15" s="1"/>
  <c r="AB52" i="16" s="1"/>
  <c r="AD52" i="16" s="1"/>
  <c r="G87" i="15"/>
  <c r="I87" i="15" s="1"/>
  <c r="G87" i="16" s="1"/>
  <c r="I87" i="16" s="1"/>
  <c r="M87" i="14"/>
  <c r="W108" i="14"/>
  <c r="W108" i="15" s="1"/>
  <c r="W108" i="16" s="1"/>
  <c r="V74" i="12"/>
  <c r="X74" i="12" s="1"/>
  <c r="AI74" i="12" s="1"/>
  <c r="V33" i="15"/>
  <c r="V33" i="16" s="1"/>
  <c r="X33" i="14"/>
  <c r="D119" i="12"/>
  <c r="D100" i="13"/>
  <c r="D77" i="12"/>
  <c r="F77" i="12" s="1"/>
  <c r="D75" i="11"/>
  <c r="D53" i="12"/>
  <c r="D51" i="11"/>
  <c r="AD234" i="6"/>
  <c r="AD232" i="6" s="1"/>
  <c r="BP29" i="6" s="1"/>
  <c r="BJ13" i="6" s="1"/>
  <c r="AA234" i="6"/>
  <c r="AA232" i="6" s="1"/>
  <c r="BO29" i="6" s="1"/>
  <c r="BI13" i="6" s="1"/>
  <c r="Y234" i="6"/>
  <c r="Y232" i="6" s="1"/>
  <c r="V43" i="6"/>
  <c r="V14" i="6" s="1"/>
  <c r="U69" i="9"/>
  <c r="U65" i="9" s="1"/>
  <c r="W220" i="9"/>
  <c r="X214" i="12"/>
  <c r="X127" i="12"/>
  <c r="X228" i="11"/>
  <c r="X188" i="11"/>
  <c r="X133" i="11"/>
  <c r="X102" i="11"/>
  <c r="AJ102" i="11" s="1"/>
  <c r="X28" i="11"/>
  <c r="F114" i="11"/>
  <c r="F65" i="11"/>
  <c r="X108" i="12"/>
  <c r="C93" i="12"/>
  <c r="F92" i="12"/>
  <c r="AJ166" i="13"/>
  <c r="U96" i="13"/>
  <c r="X61" i="13"/>
  <c r="X33" i="13"/>
  <c r="AJ33" i="13" s="1"/>
  <c r="U195" i="14"/>
  <c r="U194" i="14" s="1"/>
  <c r="U193" i="14" s="1"/>
  <c r="U49" i="14"/>
  <c r="C60" i="14"/>
  <c r="U211" i="15"/>
  <c r="U210" i="15" s="1"/>
  <c r="U209" i="15" s="1"/>
  <c r="U207" i="15" s="1"/>
  <c r="U222" i="15"/>
  <c r="F110" i="16"/>
  <c r="X218" i="13"/>
  <c r="X55" i="13"/>
  <c r="AJ55" i="13" s="1"/>
  <c r="X28" i="13"/>
  <c r="AJ28" i="13" s="1"/>
  <c r="X188" i="14"/>
  <c r="X131" i="14"/>
  <c r="U69" i="15"/>
  <c r="U65" i="15" s="1"/>
  <c r="X61" i="15"/>
  <c r="AH68" i="16"/>
  <c r="X148" i="11"/>
  <c r="AH148" i="11" s="1"/>
  <c r="X74" i="11"/>
  <c r="X39" i="11"/>
  <c r="X33" i="11"/>
  <c r="F77" i="11"/>
  <c r="F71" i="11"/>
  <c r="M71" i="11" s="1"/>
  <c r="X177" i="12"/>
  <c r="AJ177" i="12" s="1"/>
  <c r="X139" i="12"/>
  <c r="AI139" i="12" s="1"/>
  <c r="X60" i="12"/>
  <c r="X29" i="12"/>
  <c r="X21" i="12"/>
  <c r="AI21" i="12" s="1"/>
  <c r="C78" i="12"/>
  <c r="U203" i="13"/>
  <c r="C45" i="13"/>
  <c r="AI216" i="13"/>
  <c r="C78" i="13"/>
  <c r="U141" i="14"/>
  <c r="AH36" i="14"/>
  <c r="C48" i="15"/>
  <c r="M49" i="15"/>
  <c r="X55" i="15"/>
  <c r="AJ55" i="15" s="1"/>
  <c r="BN11" i="15"/>
  <c r="X253" i="16"/>
  <c r="AH253" i="16" s="1"/>
  <c r="U222" i="16"/>
  <c r="U220" i="16" s="1"/>
  <c r="X201" i="16"/>
  <c r="AI201" i="16" s="1"/>
  <c r="U105" i="16"/>
  <c r="U104" i="16" s="1"/>
  <c r="U44" i="16"/>
  <c r="C108" i="16"/>
  <c r="C72" i="16"/>
  <c r="C22" i="16"/>
  <c r="X165" i="11"/>
  <c r="AI165" i="11" s="1"/>
  <c r="AI71" i="11"/>
  <c r="X60" i="11"/>
  <c r="AH60" i="11" s="1"/>
  <c r="F59" i="11"/>
  <c r="U141" i="12"/>
  <c r="X61" i="12"/>
  <c r="C57" i="13"/>
  <c r="AI253" i="13"/>
  <c r="N110" i="13"/>
  <c r="M112" i="13"/>
  <c r="X139" i="13"/>
  <c r="AJ139" i="13" s="1"/>
  <c r="X131" i="13"/>
  <c r="AJ131" i="13" s="1"/>
  <c r="AI68" i="13"/>
  <c r="AI249" i="14"/>
  <c r="U187" i="14"/>
  <c r="U185" i="14" s="1"/>
  <c r="X139" i="14"/>
  <c r="X108" i="14"/>
  <c r="X61" i="14"/>
  <c r="U227" i="15"/>
  <c r="X218" i="15"/>
  <c r="X139" i="15"/>
  <c r="AH139" i="15" s="1"/>
  <c r="X131" i="15"/>
  <c r="AH131" i="15" s="1"/>
  <c r="X55" i="16"/>
  <c r="AJ55" i="16" s="1"/>
  <c r="X33" i="16"/>
  <c r="AJ33" i="16" s="1"/>
  <c r="X25" i="16"/>
  <c r="AH25" i="16" s="1"/>
  <c r="AI153" i="12"/>
  <c r="AJ153" i="12"/>
  <c r="AH153" i="12"/>
  <c r="AJ153" i="15"/>
  <c r="AJ153" i="5"/>
  <c r="AB152" i="6"/>
  <c r="AH152" i="9"/>
  <c r="AH152" i="7"/>
  <c r="AH152" i="14"/>
  <c r="U149" i="15"/>
  <c r="U147" i="15" s="1"/>
  <c r="AI149" i="5"/>
  <c r="AI147" i="5" s="1"/>
  <c r="AA151" i="6"/>
  <c r="AH151" i="6" s="1"/>
  <c r="Y149" i="6"/>
  <c r="Y147" i="6" s="1"/>
  <c r="AH151" i="5"/>
  <c r="AH149" i="5" s="1"/>
  <c r="AH147" i="5" s="1"/>
  <c r="AA149" i="5"/>
  <c r="AA147" i="5" s="1"/>
  <c r="AJ151" i="8"/>
  <c r="AI151" i="8"/>
  <c r="U149" i="16"/>
  <c r="U147" i="16" s="1"/>
  <c r="X149" i="5"/>
  <c r="X147" i="5" s="1"/>
  <c r="AJ151" i="7"/>
  <c r="U149" i="7"/>
  <c r="U147" i="7" s="1"/>
  <c r="AJ149" i="5"/>
  <c r="U149" i="8"/>
  <c r="U147" i="8" s="1"/>
  <c r="U147" i="9"/>
  <c r="U149" i="12"/>
  <c r="U147" i="12" s="1"/>
  <c r="Z145" i="5"/>
  <c r="AI148" i="12"/>
  <c r="AJ148" i="8"/>
  <c r="AI148" i="8"/>
  <c r="AH148" i="8"/>
  <c r="X148" i="9"/>
  <c r="AI148" i="9" s="1"/>
  <c r="AH148" i="12"/>
  <c r="AJ148" i="12"/>
  <c r="AI139" i="8"/>
  <c r="AI139" i="5"/>
  <c r="AJ139" i="9"/>
  <c r="AJ139" i="8"/>
  <c r="AH139" i="8"/>
  <c r="AH139" i="9"/>
  <c r="AE134" i="6"/>
  <c r="AG134" i="6" s="1"/>
  <c r="AE134" i="7" s="1"/>
  <c r="AG134" i="7" s="1"/>
  <c r="AJ134" i="7" s="1"/>
  <c r="AB134" i="8"/>
  <c r="AD134" i="8" s="1"/>
  <c r="AI134" i="7"/>
  <c r="AD123" i="5"/>
  <c r="Y134" i="8"/>
  <c r="AA134" i="8" s="1"/>
  <c r="AH134" i="7"/>
  <c r="AH134" i="5"/>
  <c r="AI132" i="8"/>
  <c r="AH132" i="8"/>
  <c r="AH132" i="12"/>
  <c r="AI132" i="12"/>
  <c r="AH132" i="9"/>
  <c r="AH132" i="16"/>
  <c r="AH131" i="8"/>
  <c r="AI131" i="8"/>
  <c r="AJ131" i="8"/>
  <c r="AH131" i="14"/>
  <c r="AI131" i="14"/>
  <c r="AJ131" i="14"/>
  <c r="AH131" i="9"/>
  <c r="AJ131" i="9"/>
  <c r="AI131" i="9"/>
  <c r="AI131" i="7"/>
  <c r="AE128" i="9"/>
  <c r="AG128" i="9" s="1"/>
  <c r="AE128" i="10" s="1"/>
  <c r="AG128" i="10" s="1"/>
  <c r="AE128" i="11" s="1"/>
  <c r="AG128" i="11" s="1"/>
  <c r="AE128" i="12" s="1"/>
  <c r="AG128" i="12" s="1"/>
  <c r="AE128" i="13" s="1"/>
  <c r="AG128" i="13" s="1"/>
  <c r="AE128" i="14" s="1"/>
  <c r="AG128" i="14" s="1"/>
  <c r="AJ128" i="8"/>
  <c r="AH128" i="15"/>
  <c r="AH128" i="14"/>
  <c r="AH128" i="9"/>
  <c r="AI128" i="9"/>
  <c r="AH128" i="10"/>
  <c r="AI128" i="10"/>
  <c r="AH128" i="12"/>
  <c r="AJ128" i="5"/>
  <c r="AH128" i="5"/>
  <c r="AH128" i="8"/>
  <c r="AJ127" i="8"/>
  <c r="AH127" i="8"/>
  <c r="AJ127" i="9"/>
  <c r="AJ127" i="7"/>
  <c r="U123" i="12"/>
  <c r="AE126" i="6"/>
  <c r="AG126" i="6" s="1"/>
  <c r="AE126" i="7" s="1"/>
  <c r="AG126" i="7" s="1"/>
  <c r="AG123" i="5"/>
  <c r="AB126" i="7"/>
  <c r="AD126" i="7" s="1"/>
  <c r="BP19" i="6"/>
  <c r="AA126" i="6"/>
  <c r="AH126" i="6" s="1"/>
  <c r="Y123" i="6"/>
  <c r="AA123" i="5"/>
  <c r="BN19" i="9"/>
  <c r="BN19" i="13"/>
  <c r="BN19" i="8"/>
  <c r="BN19" i="14"/>
  <c r="U123" i="16"/>
  <c r="U112" i="16" s="1"/>
  <c r="AI125" i="14"/>
  <c r="AH125" i="14"/>
  <c r="AH125" i="8"/>
  <c r="AJ125" i="8"/>
  <c r="X123" i="8"/>
  <c r="AI125" i="8"/>
  <c r="U123" i="8"/>
  <c r="AI125" i="13"/>
  <c r="AH125" i="12"/>
  <c r="AJ125" i="9"/>
  <c r="AE124" i="6"/>
  <c r="AG124" i="6" s="1"/>
  <c r="AE124" i="7" s="1"/>
  <c r="AG124" i="7" s="1"/>
  <c r="AE124" i="8" s="1"/>
  <c r="AG124" i="8" s="1"/>
  <c r="AF112" i="5"/>
  <c r="AJ124" i="5"/>
  <c r="AG112" i="5"/>
  <c r="AD124" i="6"/>
  <c r="AB123" i="6"/>
  <c r="AI124" i="5"/>
  <c r="Z112" i="5"/>
  <c r="AH124" i="9"/>
  <c r="AH124" i="13"/>
  <c r="U112" i="5"/>
  <c r="X123" i="5"/>
  <c r="AH124" i="5"/>
  <c r="U123" i="6"/>
  <c r="X123" i="6"/>
  <c r="AD114" i="5"/>
  <c r="BP16" i="5" s="1"/>
  <c r="AH121" i="7"/>
  <c r="AH121" i="6"/>
  <c r="AJ121" i="13"/>
  <c r="AH121" i="13"/>
  <c r="U114" i="13"/>
  <c r="AJ121" i="9"/>
  <c r="Y116" i="8"/>
  <c r="AA116" i="8" s="1"/>
  <c r="AA114" i="7"/>
  <c r="AH116" i="7"/>
  <c r="AA114" i="5"/>
  <c r="AJ114" i="5"/>
  <c r="AC112" i="5"/>
  <c r="AH115" i="5"/>
  <c r="AA114" i="6"/>
  <c r="Y114" i="7"/>
  <c r="Y114" i="6"/>
  <c r="AJ115" i="6"/>
  <c r="AH115" i="6"/>
  <c r="AI115" i="6"/>
  <c r="U114" i="12"/>
  <c r="AI115" i="5"/>
  <c r="AI114" i="5" s="1"/>
  <c r="AH114" i="5"/>
  <c r="U114" i="6"/>
  <c r="AI107" i="12"/>
  <c r="AH105" i="5"/>
  <c r="AH104" i="5" s="1"/>
  <c r="AH107" i="12"/>
  <c r="AJ107" i="12"/>
  <c r="AJ107" i="8"/>
  <c r="U105" i="12"/>
  <c r="U104" i="12" s="1"/>
  <c r="AI107" i="6"/>
  <c r="U105" i="15"/>
  <c r="U104" i="15" s="1"/>
  <c r="AB106" i="6"/>
  <c r="Y105" i="9"/>
  <c r="Y104" i="9" s="1"/>
  <c r="AH106" i="7"/>
  <c r="AA105" i="10"/>
  <c r="AA104" i="10" s="1"/>
  <c r="AA105" i="13"/>
  <c r="AA104" i="13" s="1"/>
  <c r="Y105" i="14"/>
  <c r="Y104" i="14" s="1"/>
  <c r="Y105" i="16"/>
  <c r="Y104" i="16" s="1"/>
  <c r="AA105" i="5"/>
  <c r="AA104" i="5" s="1"/>
  <c r="AA105" i="6"/>
  <c r="AA104" i="6" s="1"/>
  <c r="Y105" i="10"/>
  <c r="Y104" i="10" s="1"/>
  <c r="Y105" i="11"/>
  <c r="Y104" i="11" s="1"/>
  <c r="AA105" i="12"/>
  <c r="AA104" i="12" s="1"/>
  <c r="Y105" i="13"/>
  <c r="Y104" i="13" s="1"/>
  <c r="AA105" i="15"/>
  <c r="AA104" i="15" s="1"/>
  <c r="Y105" i="15"/>
  <c r="Y104" i="15" s="1"/>
  <c r="AI106" i="5"/>
  <c r="AI105" i="5" s="1"/>
  <c r="AI104" i="5" s="1"/>
  <c r="AJ106" i="7"/>
  <c r="AJ106" i="5"/>
  <c r="AJ105" i="5" s="1"/>
  <c r="AJ104" i="5" s="1"/>
  <c r="U105" i="7"/>
  <c r="U104" i="7" s="1"/>
  <c r="AB102" i="16"/>
  <c r="AD102" i="16" s="1"/>
  <c r="AI102" i="12"/>
  <c r="AI102" i="9"/>
  <c r="AI102" i="5"/>
  <c r="AH102" i="12"/>
  <c r="AH102" i="9"/>
  <c r="AH102" i="5"/>
  <c r="AH102" i="8"/>
  <c r="AH102" i="14"/>
  <c r="AH102" i="6"/>
  <c r="AH102" i="7"/>
  <c r="AB101" i="13"/>
  <c r="AD101" i="13" s="1"/>
  <c r="AB101" i="14" s="1"/>
  <c r="AD101" i="14" s="1"/>
  <c r="AI101" i="12"/>
  <c r="AI101" i="7"/>
  <c r="AI101" i="9"/>
  <c r="AJ101" i="9"/>
  <c r="AH101" i="9"/>
  <c r="AJ101" i="5"/>
  <c r="AJ96" i="5" s="1"/>
  <c r="AJ101" i="8"/>
  <c r="X101" i="13"/>
  <c r="AJ101" i="13" s="1"/>
  <c r="AI101" i="8"/>
  <c r="AB100" i="8"/>
  <c r="AD100" i="8" s="1"/>
  <c r="AI100" i="7"/>
  <c r="AI100" i="5"/>
  <c r="AA96" i="5"/>
  <c r="AA96" i="6"/>
  <c r="Y96" i="8"/>
  <c r="AA96" i="7"/>
  <c r="X96" i="5"/>
  <c r="AJ100" i="7"/>
  <c r="AH99" i="8"/>
  <c r="AI99" i="8"/>
  <c r="AB98" i="9"/>
  <c r="AD98" i="9" s="1"/>
  <c r="AI98" i="8"/>
  <c r="AI98" i="5"/>
  <c r="AI98" i="6"/>
  <c r="AJ98" i="13"/>
  <c r="AH98" i="13"/>
  <c r="AH98" i="11"/>
  <c r="AJ98" i="11"/>
  <c r="AJ98" i="10"/>
  <c r="AH98" i="10"/>
  <c r="AI98" i="7"/>
  <c r="AJ98" i="7"/>
  <c r="AH98" i="7"/>
  <c r="AH96" i="5"/>
  <c r="U96" i="7"/>
  <c r="AD96" i="5"/>
  <c r="AB97" i="6"/>
  <c r="AC90" i="5"/>
  <c r="AC63" i="5" s="1"/>
  <c r="AA96" i="8"/>
  <c r="Y96" i="9"/>
  <c r="Y96" i="7"/>
  <c r="Y96" i="6"/>
  <c r="AA96" i="10"/>
  <c r="AH97" i="13"/>
  <c r="AH97" i="8"/>
  <c r="U90" i="5"/>
  <c r="AH97" i="14"/>
  <c r="U96" i="16"/>
  <c r="U96" i="10"/>
  <c r="U96" i="6"/>
  <c r="AI95" i="9"/>
  <c r="AJ95" i="9"/>
  <c r="AH95" i="9"/>
  <c r="AI95" i="11"/>
  <c r="AJ95" i="11"/>
  <c r="AH95" i="11"/>
  <c r="AI95" i="12"/>
  <c r="AJ95" i="8"/>
  <c r="AH94" i="8"/>
  <c r="AJ93" i="13"/>
  <c r="AJ93" i="9"/>
  <c r="AJ93" i="10"/>
  <c r="AH93" i="10"/>
  <c r="AI93" i="10"/>
  <c r="AH93" i="9"/>
  <c r="AA91" i="12"/>
  <c r="Y91" i="13"/>
  <c r="AA91" i="5"/>
  <c r="Z90" i="5"/>
  <c r="Z63" i="5" s="1"/>
  <c r="Y91" i="9"/>
  <c r="AH92" i="9"/>
  <c r="Y91" i="7"/>
  <c r="Y91" i="12"/>
  <c r="AJ92" i="5"/>
  <c r="U91" i="7"/>
  <c r="X91" i="5"/>
  <c r="AE92" i="6"/>
  <c r="AG91" i="5"/>
  <c r="AG90" i="5" s="1"/>
  <c r="AS25" i="5" s="1"/>
  <c r="AX25" i="5" s="1"/>
  <c r="AD91" i="5"/>
  <c r="AD90" i="5" s="1"/>
  <c r="AD91" i="6"/>
  <c r="AI92" i="5"/>
  <c r="AI91" i="5" s="1"/>
  <c r="AA91" i="8"/>
  <c r="AA91" i="10"/>
  <c r="Y91" i="11"/>
  <c r="AH92" i="12"/>
  <c r="AH92" i="6"/>
  <c r="AH92" i="5"/>
  <c r="AH91" i="5" s="1"/>
  <c r="AA91" i="7"/>
  <c r="Y91" i="14"/>
  <c r="AA91" i="11"/>
  <c r="AA91" i="13"/>
  <c r="AA91" i="6"/>
  <c r="Y91" i="6"/>
  <c r="Y91" i="8"/>
  <c r="AA91" i="9"/>
  <c r="Y91" i="10"/>
  <c r="AH92" i="14"/>
  <c r="AH92" i="8"/>
  <c r="AH92" i="10"/>
  <c r="AH92" i="7"/>
  <c r="AH92" i="13"/>
  <c r="AH92" i="11"/>
  <c r="AH92" i="15"/>
  <c r="U91" i="10"/>
  <c r="AJ91" i="5"/>
  <c r="AF63" i="5"/>
  <c r="AS24" i="5"/>
  <c r="AX24" i="5" s="1"/>
  <c r="AB88" i="13"/>
  <c r="AD88" i="13" s="1"/>
  <c r="AB88" i="14" s="1"/>
  <c r="AD88" i="14" s="1"/>
  <c r="AB88" i="15" s="1"/>
  <c r="AD88" i="15" s="1"/>
  <c r="AB88" i="16" s="1"/>
  <c r="AD88" i="16" s="1"/>
  <c r="AI88" i="12"/>
  <c r="AD83" i="5"/>
  <c r="AR24" i="5" s="1"/>
  <c r="AW24" i="5" s="1"/>
  <c r="AJ88" i="5"/>
  <c r="AI88" i="5"/>
  <c r="AH88" i="15"/>
  <c r="BN31" i="5"/>
  <c r="BH15" i="5" s="1"/>
  <c r="U83" i="15"/>
  <c r="AB86" i="9"/>
  <c r="AD86" i="9" s="1"/>
  <c r="AB86" i="10" s="1"/>
  <c r="AD86" i="10" s="1"/>
  <c r="AI86" i="8"/>
  <c r="AH86" i="5"/>
  <c r="AH83" i="5" s="1"/>
  <c r="AA83" i="9"/>
  <c r="AA83" i="10"/>
  <c r="Y83" i="10"/>
  <c r="AA83" i="6"/>
  <c r="AH86" i="11"/>
  <c r="AJ86" i="5"/>
  <c r="AI86" i="5"/>
  <c r="AI85" i="9"/>
  <c r="AJ85" i="9"/>
  <c r="AH85" i="9"/>
  <c r="AH85" i="13"/>
  <c r="AI85" i="13"/>
  <c r="AJ85" i="13"/>
  <c r="AH85" i="12"/>
  <c r="AJ85" i="5"/>
  <c r="X83" i="5"/>
  <c r="AH85" i="10"/>
  <c r="AB84" i="6"/>
  <c r="BP14" i="5"/>
  <c r="BJ9" i="5" s="1"/>
  <c r="Y83" i="6"/>
  <c r="AA83" i="7"/>
  <c r="Y83" i="7"/>
  <c r="AA83" i="5"/>
  <c r="AA83" i="8"/>
  <c r="Y83" i="8"/>
  <c r="AJ84" i="5"/>
  <c r="AI84" i="5"/>
  <c r="AI83" i="5" s="1"/>
  <c r="AJ84" i="8"/>
  <c r="U83" i="16"/>
  <c r="AE81" i="6"/>
  <c r="AG81" i="6" s="1"/>
  <c r="AE81" i="7" s="1"/>
  <c r="AG81" i="7" s="1"/>
  <c r="AE81" i="8" s="1"/>
  <c r="AG81" i="8" s="1"/>
  <c r="BK15" i="5"/>
  <c r="AB81" i="16"/>
  <c r="AD81" i="16" s="1"/>
  <c r="AI81" i="16" s="1"/>
  <c r="Y81" i="9"/>
  <c r="AA81" i="9" s="1"/>
  <c r="U65" i="12"/>
  <c r="AE79" i="8"/>
  <c r="AG79" i="8" s="1"/>
  <c r="AE79" i="9" s="1"/>
  <c r="AG79" i="9" s="1"/>
  <c r="AE79" i="10" s="1"/>
  <c r="AG79" i="10" s="1"/>
  <c r="AE79" i="11" s="1"/>
  <c r="AG79" i="11" s="1"/>
  <c r="AE79" i="12" s="1"/>
  <c r="AG79" i="12" s="1"/>
  <c r="AE79" i="13" s="1"/>
  <c r="AG79" i="13" s="1"/>
  <c r="AE79" i="14" s="1"/>
  <c r="AG79" i="14" s="1"/>
  <c r="AJ79" i="14" s="1"/>
  <c r="AJ79" i="7"/>
  <c r="AG69" i="5"/>
  <c r="AG65" i="5" s="1"/>
  <c r="AI79" i="5"/>
  <c r="AB79" i="6"/>
  <c r="AH79" i="5"/>
  <c r="Y79" i="6"/>
  <c r="AA79" i="6" s="1"/>
  <c r="Y79" i="7" s="1"/>
  <c r="AA79" i="7" s="1"/>
  <c r="Y79" i="8" s="1"/>
  <c r="AA79" i="8" s="1"/>
  <c r="Y79" i="9" s="1"/>
  <c r="AA79" i="9" s="1"/>
  <c r="Y79" i="10" s="1"/>
  <c r="AA79" i="10" s="1"/>
  <c r="Y79" i="11" s="1"/>
  <c r="AA79" i="11" s="1"/>
  <c r="Y79" i="12" s="1"/>
  <c r="AA79" i="12" s="1"/>
  <c r="Y79" i="13" s="1"/>
  <c r="AA79" i="13" s="1"/>
  <c r="Y79" i="14" s="1"/>
  <c r="AA79" i="14" s="1"/>
  <c r="Y79" i="15" s="1"/>
  <c r="AA79" i="15" s="1"/>
  <c r="AG77" i="6"/>
  <c r="Y77" i="13"/>
  <c r="AA77" i="13" s="1"/>
  <c r="AH77" i="12"/>
  <c r="AH77" i="11"/>
  <c r="AH77" i="9"/>
  <c r="AI77" i="11"/>
  <c r="AI74" i="8"/>
  <c r="AJ74" i="8"/>
  <c r="AH74" i="8"/>
  <c r="AI74" i="6"/>
  <c r="AJ74" i="6"/>
  <c r="AH74" i="6"/>
  <c r="AJ74" i="5"/>
  <c r="AJ69" i="5" s="1"/>
  <c r="AJ74" i="9"/>
  <c r="AJ74" i="7"/>
  <c r="AH74" i="10"/>
  <c r="X69" i="5"/>
  <c r="X65" i="5" s="1"/>
  <c r="U69" i="14"/>
  <c r="U65" i="14" s="1"/>
  <c r="AI74" i="5"/>
  <c r="AI74" i="9"/>
  <c r="AH72" i="5"/>
  <c r="AH72" i="6"/>
  <c r="AH72" i="7"/>
  <c r="AH72" i="11"/>
  <c r="AI72" i="10"/>
  <c r="AH72" i="10"/>
  <c r="AH72" i="8"/>
  <c r="AI72" i="8"/>
  <c r="X72" i="9"/>
  <c r="AA70" i="6"/>
  <c r="AI70" i="10"/>
  <c r="AJ70" i="10"/>
  <c r="AI70" i="6"/>
  <c r="AJ70" i="6"/>
  <c r="U69" i="10"/>
  <c r="U65" i="10" s="1"/>
  <c r="U69" i="6"/>
  <c r="AE67" i="7"/>
  <c r="AG67" i="7" s="1"/>
  <c r="AJ67" i="6"/>
  <c r="AB67" i="7"/>
  <c r="AD67" i="7" s="1"/>
  <c r="AI67" i="7" s="1"/>
  <c r="BP11" i="6"/>
  <c r="AI67" i="6"/>
  <c r="BN11" i="11"/>
  <c r="BN11" i="9"/>
  <c r="BN11" i="7"/>
  <c r="BN11" i="8"/>
  <c r="AI67" i="5"/>
  <c r="BN11" i="10"/>
  <c r="AJ67" i="5"/>
  <c r="AJ66" i="13"/>
  <c r="BQ12" i="5"/>
  <c r="F36" i="20" s="1"/>
  <c r="AJ66" i="8"/>
  <c r="AB66" i="6"/>
  <c r="AD66" i="6" s="1"/>
  <c r="AB66" i="7" s="1"/>
  <c r="AD65" i="5"/>
  <c r="AH66" i="5"/>
  <c r="AH66" i="13"/>
  <c r="AA65" i="5"/>
  <c r="AH66" i="7"/>
  <c r="U63" i="5"/>
  <c r="AI66" i="5"/>
  <c r="BN10" i="9"/>
  <c r="AQ22" i="5"/>
  <c r="AU22" i="5" s="1"/>
  <c r="BN10" i="5"/>
  <c r="AH66" i="6"/>
  <c r="BN10" i="7"/>
  <c r="AJ66" i="6"/>
  <c r="U58" i="6"/>
  <c r="U57" i="6" s="1"/>
  <c r="AJ60" i="10"/>
  <c r="U58" i="13"/>
  <c r="U57" i="13" s="1"/>
  <c r="U58" i="10"/>
  <c r="AB58" i="6"/>
  <c r="AB57" i="6" s="1"/>
  <c r="AD59" i="6"/>
  <c r="AI59" i="5"/>
  <c r="AI58" i="5" s="1"/>
  <c r="AI57" i="5" s="1"/>
  <c r="AH59" i="11"/>
  <c r="AJ59" i="11"/>
  <c r="AH59" i="8"/>
  <c r="AJ59" i="8"/>
  <c r="X59" i="6"/>
  <c r="U58" i="11"/>
  <c r="U57" i="11" s="1"/>
  <c r="AI55" i="9"/>
  <c r="AI55" i="5"/>
  <c r="BP31" i="5"/>
  <c r="BJ15" i="5" s="1"/>
  <c r="Y55" i="6"/>
  <c r="AA55" i="6" s="1"/>
  <c r="Y55" i="7" s="1"/>
  <c r="AA55" i="7" s="1"/>
  <c r="AB54" i="8"/>
  <c r="AD54" i="8" s="1"/>
  <c r="AB54" i="9" s="1"/>
  <c r="AD54" i="9" s="1"/>
  <c r="AB54" i="10" s="1"/>
  <c r="AD54" i="10" s="1"/>
  <c r="AB54" i="11" s="1"/>
  <c r="AD54" i="11" s="1"/>
  <c r="AB54" i="12" s="1"/>
  <c r="AD54" i="12" s="1"/>
  <c r="AB54" i="13" s="1"/>
  <c r="AD54" i="13" s="1"/>
  <c r="AB54" i="14" s="1"/>
  <c r="AD54" i="14" s="1"/>
  <c r="AB54" i="15" s="1"/>
  <c r="AD54" i="15" s="1"/>
  <c r="AB54" i="16" s="1"/>
  <c r="AD54" i="16" s="1"/>
  <c r="AI54" i="7"/>
  <c r="AH54" i="7"/>
  <c r="AH54" i="6"/>
  <c r="AJ54" i="6"/>
  <c r="AI54" i="6"/>
  <c r="AH54" i="12"/>
  <c r="AJ54" i="8"/>
  <c r="AH54" i="8"/>
  <c r="AH54" i="11"/>
  <c r="AH54" i="15"/>
  <c r="AH53" i="5"/>
  <c r="AH53" i="9"/>
  <c r="AJ53" i="9"/>
  <c r="AI53" i="9"/>
  <c r="AH52" i="8"/>
  <c r="AI52" i="8"/>
  <c r="AH52" i="5"/>
  <c r="U43" i="5"/>
  <c r="U14" i="5" s="1"/>
  <c r="U12" i="5" s="1"/>
  <c r="AJ52" i="5"/>
  <c r="AJ49" i="5" s="1"/>
  <c r="AI52" i="7"/>
  <c r="U49" i="10"/>
  <c r="AD43" i="5"/>
  <c r="AC43" i="5"/>
  <c r="AC14" i="5" s="1"/>
  <c r="AI51" i="8"/>
  <c r="AJ51" i="8"/>
  <c r="U49" i="7"/>
  <c r="U43" i="7" s="1"/>
  <c r="U49" i="16"/>
  <c r="AB49" i="6"/>
  <c r="AB43" i="6" s="1"/>
  <c r="AD50" i="6"/>
  <c r="Y49" i="6"/>
  <c r="AA50" i="6"/>
  <c r="AH50" i="5"/>
  <c r="AA49" i="5"/>
  <c r="AA43" i="5" s="1"/>
  <c r="AJ50" i="8"/>
  <c r="X50" i="10"/>
  <c r="AI50" i="5"/>
  <c r="X49" i="5"/>
  <c r="U49" i="12"/>
  <c r="U43" i="12" s="1"/>
  <c r="AJ47" i="12"/>
  <c r="AI47" i="13"/>
  <c r="AJ47" i="13"/>
  <c r="AH47" i="13"/>
  <c r="AH47" i="8"/>
  <c r="AJ47" i="8"/>
  <c r="AI47" i="8"/>
  <c r="AI47" i="7"/>
  <c r="AH47" i="7"/>
  <c r="AJ47" i="7"/>
  <c r="AJ47" i="5"/>
  <c r="AJ44" i="5" s="1"/>
  <c r="AB44" i="8"/>
  <c r="AD44" i="7"/>
  <c r="AB44" i="10"/>
  <c r="AD44" i="6"/>
  <c r="AI46" i="9"/>
  <c r="AB44" i="7"/>
  <c r="AB44" i="11"/>
  <c r="AB44" i="12"/>
  <c r="AD44" i="9"/>
  <c r="AI46" i="7"/>
  <c r="AI46" i="10"/>
  <c r="AI46" i="8"/>
  <c r="AD44" i="13"/>
  <c r="AB44" i="13"/>
  <c r="Z43" i="5"/>
  <c r="Z14" i="5" s="1"/>
  <c r="AH46" i="8"/>
  <c r="AI46" i="6"/>
  <c r="AH46" i="6"/>
  <c r="U44" i="8"/>
  <c r="U44" i="13"/>
  <c r="AE44" i="6"/>
  <c r="AG45" i="6"/>
  <c r="AF43" i="5"/>
  <c r="BQ13" i="5" s="1"/>
  <c r="F37" i="20" s="1"/>
  <c r="Y44" i="6"/>
  <c r="AA45" i="6"/>
  <c r="AI45" i="5"/>
  <c r="AI44" i="5" s="1"/>
  <c r="AH45" i="5"/>
  <c r="AH44" i="5" s="1"/>
  <c r="U44" i="11"/>
  <c r="U43" i="11" s="1"/>
  <c r="X44" i="5"/>
  <c r="BO31" i="5"/>
  <c r="BI15" i="5" s="1"/>
  <c r="Y41" i="6"/>
  <c r="AH41" i="5"/>
  <c r="AH35" i="5" s="1"/>
  <c r="AI41" i="6"/>
  <c r="AH39" i="7"/>
  <c r="AJ39" i="7"/>
  <c r="AJ39" i="5"/>
  <c r="AG38" i="6"/>
  <c r="AE35" i="6"/>
  <c r="BK9" i="5"/>
  <c r="AH38" i="12"/>
  <c r="AI38" i="12"/>
  <c r="AH38" i="15"/>
  <c r="AI38" i="14"/>
  <c r="AJ38" i="5"/>
  <c r="U35" i="12"/>
  <c r="AH37" i="12"/>
  <c r="AJ37" i="5"/>
  <c r="AI37" i="7"/>
  <c r="AJ37" i="12"/>
  <c r="U35" i="7"/>
  <c r="U35" i="14"/>
  <c r="X35" i="5"/>
  <c r="AI36" i="5"/>
  <c r="AI35" i="5" s="1"/>
  <c r="AJ36" i="11"/>
  <c r="AH36" i="11"/>
  <c r="AB33" i="7"/>
  <c r="AD33" i="7" s="1"/>
  <c r="AI33" i="6"/>
  <c r="AH33" i="12"/>
  <c r="AH33" i="8"/>
  <c r="AH33" i="6"/>
  <c r="AH33" i="10"/>
  <c r="Y20" i="9"/>
  <c r="AA20" i="7"/>
  <c r="AH31" i="12"/>
  <c r="Y20" i="6"/>
  <c r="AH31" i="6"/>
  <c r="AH31" i="11"/>
  <c r="AH31" i="7"/>
  <c r="AA20" i="5"/>
  <c r="AA20" i="6"/>
  <c r="AA16" i="6" s="1"/>
  <c r="Y20" i="8"/>
  <c r="Y20" i="7"/>
  <c r="Y20" i="10"/>
  <c r="AI31" i="14"/>
  <c r="AH31" i="14"/>
  <c r="AH31" i="8"/>
  <c r="AI31" i="8"/>
  <c r="AH31" i="13"/>
  <c r="AI31" i="13"/>
  <c r="U20" i="16"/>
  <c r="U16" i="16" s="1"/>
  <c r="AJ31" i="6"/>
  <c r="AI31" i="6"/>
  <c r="AI28" i="8"/>
  <c r="AI28" i="9"/>
  <c r="AJ28" i="12"/>
  <c r="AI28" i="12"/>
  <c r="AH28" i="12"/>
  <c r="AH28" i="10"/>
  <c r="AJ28" i="10"/>
  <c r="AI28" i="10"/>
  <c r="U20" i="6"/>
  <c r="U16" i="6" s="1"/>
  <c r="AE23" i="6"/>
  <c r="AI23" i="7"/>
  <c r="AD20" i="6"/>
  <c r="AD16" i="6" s="1"/>
  <c r="AB20" i="6"/>
  <c r="AB16" i="6" s="1"/>
  <c r="AD20" i="5"/>
  <c r="AD16" i="5" s="1"/>
  <c r="AI23" i="5"/>
  <c r="AB20" i="7"/>
  <c r="AI23" i="12"/>
  <c r="AI23" i="13"/>
  <c r="AH23" i="7"/>
  <c r="X20" i="6"/>
  <c r="X16" i="6" s="1"/>
  <c r="AH23" i="8"/>
  <c r="AI23" i="8"/>
  <c r="U20" i="13"/>
  <c r="U16" i="13" s="1"/>
  <c r="AH21" i="8"/>
  <c r="AI21" i="8"/>
  <c r="AJ21" i="8"/>
  <c r="AJ21" i="11"/>
  <c r="AI21" i="5"/>
  <c r="U20" i="8"/>
  <c r="U16" i="8" s="1"/>
  <c r="AI21" i="7"/>
  <c r="U20" i="14"/>
  <c r="U16" i="14" s="1"/>
  <c r="AH21" i="7"/>
  <c r="AJ21" i="5"/>
  <c r="AJ20" i="5" s="1"/>
  <c r="X20" i="5"/>
  <c r="X16" i="5" s="1"/>
  <c r="BO11" i="12"/>
  <c r="BO11" i="6"/>
  <c r="AH18" i="5"/>
  <c r="BO11" i="15"/>
  <c r="BO11" i="13"/>
  <c r="AH18" i="8"/>
  <c r="AH18" i="12"/>
  <c r="AH18" i="13"/>
  <c r="AJ18" i="13"/>
  <c r="AI18" i="13"/>
  <c r="BN11" i="13"/>
  <c r="BN11" i="6"/>
  <c r="BN11" i="12"/>
  <c r="AI18" i="12"/>
  <c r="AH18" i="7"/>
  <c r="AI18" i="6"/>
  <c r="AJ18" i="8"/>
  <c r="AI18" i="8"/>
  <c r="AJ18" i="6"/>
  <c r="AE17" i="7"/>
  <c r="AG17" i="7" s="1"/>
  <c r="AS22" i="6"/>
  <c r="AX22" i="6" s="1"/>
  <c r="AJ17" i="5"/>
  <c r="AB17" i="7"/>
  <c r="AD17" i="7" s="1"/>
  <c r="Y17" i="7"/>
  <c r="AA17" i="7" s="1"/>
  <c r="BO10" i="6"/>
  <c r="BO10" i="5"/>
  <c r="AH17" i="5"/>
  <c r="AA16" i="5"/>
  <c r="Y16" i="6"/>
  <c r="BN10" i="13"/>
  <c r="AQ22" i="13"/>
  <c r="BN10" i="6"/>
  <c r="AJ17" i="6"/>
  <c r="AQ22" i="11"/>
  <c r="BN10" i="11"/>
  <c r="BN10" i="14"/>
  <c r="AQ22" i="14"/>
  <c r="G25" i="13"/>
  <c r="AW8" i="14"/>
  <c r="I25" i="6"/>
  <c r="AR8" i="6" s="1"/>
  <c r="G25" i="14"/>
  <c r="J113" i="8"/>
  <c r="L113" i="8" s="1"/>
  <c r="J113" i="9" s="1"/>
  <c r="L113" i="9" s="1"/>
  <c r="J113" i="10" s="1"/>
  <c r="L113" i="10" s="1"/>
  <c r="J113" i="11" s="1"/>
  <c r="L113" i="11" s="1"/>
  <c r="J113" i="12" s="1"/>
  <c r="L113" i="12" s="1"/>
  <c r="N113" i="7"/>
  <c r="R23" i="20"/>
  <c r="M113" i="5"/>
  <c r="BD20" i="5"/>
  <c r="G113" i="6"/>
  <c r="N113" i="5"/>
  <c r="BC20" i="5"/>
  <c r="J116" i="7"/>
  <c r="L116" i="7" s="1"/>
  <c r="N116" i="6"/>
  <c r="N116" i="5"/>
  <c r="L108" i="5"/>
  <c r="AS15" i="5" s="1"/>
  <c r="L108" i="6"/>
  <c r="AS15" i="6" s="1"/>
  <c r="J108" i="6"/>
  <c r="M116" i="6"/>
  <c r="M116" i="14"/>
  <c r="M116" i="15"/>
  <c r="M116" i="13"/>
  <c r="M116" i="8"/>
  <c r="M116" i="7"/>
  <c r="N116" i="7"/>
  <c r="J96" i="6"/>
  <c r="M93" i="5"/>
  <c r="M94" i="8"/>
  <c r="N94" i="8"/>
  <c r="F93" i="5"/>
  <c r="BC19" i="5" s="1"/>
  <c r="C93" i="14"/>
  <c r="C85" i="14" s="1"/>
  <c r="J86" i="6"/>
  <c r="L85" i="5"/>
  <c r="M86" i="5"/>
  <c r="G85" i="6"/>
  <c r="I85" i="5"/>
  <c r="M86" i="6"/>
  <c r="C85" i="16"/>
  <c r="F86" i="10"/>
  <c r="C85" i="12"/>
  <c r="L79" i="6"/>
  <c r="J79" i="7" s="1"/>
  <c r="J78" i="6"/>
  <c r="L78" i="6" s="1"/>
  <c r="I79" i="6"/>
  <c r="G79" i="7" s="1"/>
  <c r="G78" i="6"/>
  <c r="I78" i="6" s="1"/>
  <c r="M78" i="5"/>
  <c r="C78" i="8"/>
  <c r="F78" i="8" s="1"/>
  <c r="C78" i="11"/>
  <c r="M79" i="5"/>
  <c r="N76" i="7"/>
  <c r="J75" i="9"/>
  <c r="AX9" i="7"/>
  <c r="L75" i="5"/>
  <c r="AS9" i="5" s="1"/>
  <c r="L75" i="6"/>
  <c r="J75" i="6"/>
  <c r="L75" i="12"/>
  <c r="L75" i="7"/>
  <c r="J75" i="10"/>
  <c r="L75" i="11"/>
  <c r="L75" i="13"/>
  <c r="AX9" i="6"/>
  <c r="J75" i="8"/>
  <c r="L75" i="10"/>
  <c r="I76" i="6"/>
  <c r="G75" i="6"/>
  <c r="I75" i="5"/>
  <c r="AR9" i="5" s="1"/>
  <c r="AW9" i="5"/>
  <c r="M76" i="5"/>
  <c r="M75" i="5" s="1"/>
  <c r="N76" i="8"/>
  <c r="N75" i="8" s="1"/>
  <c r="C75" i="11"/>
  <c r="BC17" i="5"/>
  <c r="C75" i="15"/>
  <c r="L72" i="14"/>
  <c r="N74" i="14"/>
  <c r="J74" i="15"/>
  <c r="L72" i="9"/>
  <c r="J72" i="11"/>
  <c r="N72" i="5"/>
  <c r="L72" i="6"/>
  <c r="J72" i="8"/>
  <c r="J72" i="12"/>
  <c r="J72" i="9"/>
  <c r="L72" i="11"/>
  <c r="N74" i="13"/>
  <c r="L72" i="5"/>
  <c r="J72" i="6"/>
  <c r="L72" i="8"/>
  <c r="L72" i="7"/>
  <c r="L72" i="10"/>
  <c r="L72" i="12"/>
  <c r="M74" i="5"/>
  <c r="M72" i="5" s="1"/>
  <c r="G74" i="6"/>
  <c r="N74" i="7"/>
  <c r="N72" i="7" s="1"/>
  <c r="N74" i="12"/>
  <c r="N74" i="6"/>
  <c r="C72" i="7"/>
  <c r="M73" i="7"/>
  <c r="C72" i="14"/>
  <c r="M69" i="5"/>
  <c r="N71" i="6"/>
  <c r="M71" i="7"/>
  <c r="N71" i="7"/>
  <c r="M71" i="8"/>
  <c r="C69" i="11"/>
  <c r="N71" i="11"/>
  <c r="C69" i="12"/>
  <c r="I70" i="6"/>
  <c r="G69" i="6"/>
  <c r="F69" i="7"/>
  <c r="F69" i="5"/>
  <c r="C69" i="7"/>
  <c r="N70" i="5"/>
  <c r="N69" i="5" s="1"/>
  <c r="C69" i="13"/>
  <c r="C69" i="14"/>
  <c r="L123" i="5"/>
  <c r="N65" i="5"/>
  <c r="J63" i="9"/>
  <c r="J63" i="7"/>
  <c r="J63" i="10"/>
  <c r="J63" i="11"/>
  <c r="J63" i="12"/>
  <c r="L63" i="10"/>
  <c r="N65" i="8"/>
  <c r="L63" i="5"/>
  <c r="J63" i="6"/>
  <c r="L63" i="8"/>
  <c r="J63" i="8"/>
  <c r="L63" i="9"/>
  <c r="N65" i="7"/>
  <c r="N63" i="7" s="1"/>
  <c r="L63" i="11"/>
  <c r="J63" i="14"/>
  <c r="I63" i="5"/>
  <c r="G65" i="6"/>
  <c r="N65" i="6"/>
  <c r="N65" i="11"/>
  <c r="BC14" i="9"/>
  <c r="N64" i="9"/>
  <c r="N64" i="8"/>
  <c r="BC14" i="8"/>
  <c r="N64" i="5"/>
  <c r="N63" i="5" s="1"/>
  <c r="BC14" i="5"/>
  <c r="M64" i="5"/>
  <c r="M63" i="5" s="1"/>
  <c r="L62" i="6"/>
  <c r="L123" i="6" s="1"/>
  <c r="J60" i="6"/>
  <c r="L60" i="5"/>
  <c r="M62" i="6"/>
  <c r="M62" i="8"/>
  <c r="N60" i="5"/>
  <c r="F60" i="5"/>
  <c r="F62" i="10"/>
  <c r="C60" i="11"/>
  <c r="BC22" i="5"/>
  <c r="I61" i="6"/>
  <c r="G60" i="6"/>
  <c r="M61" i="5"/>
  <c r="M60" i="5" s="1"/>
  <c r="BD17" i="5"/>
  <c r="I60" i="5"/>
  <c r="AU10" i="5"/>
  <c r="AY10" i="5"/>
  <c r="AZ10" i="5"/>
  <c r="AV10" i="5"/>
  <c r="M43" i="13"/>
  <c r="BC16" i="13"/>
  <c r="BC16" i="10"/>
  <c r="BC16" i="5"/>
  <c r="N43" i="5"/>
  <c r="C42" i="7"/>
  <c r="C42" i="10"/>
  <c r="N42" i="5"/>
  <c r="BC16" i="7"/>
  <c r="C42" i="15"/>
  <c r="N30" i="10"/>
  <c r="N29" i="10" s="1"/>
  <c r="F29" i="10"/>
  <c r="F29" i="8"/>
  <c r="BC13" i="8"/>
  <c r="N30" i="8"/>
  <c r="N29" i="8" s="1"/>
  <c r="F29" i="7"/>
  <c r="N30" i="7"/>
  <c r="N29" i="7" s="1"/>
  <c r="F30" i="11"/>
  <c r="N30" i="5"/>
  <c r="N29" i="5" s="1"/>
  <c r="C29" i="8"/>
  <c r="C29" i="10"/>
  <c r="C28" i="10" s="1"/>
  <c r="C29" i="6"/>
  <c r="AW8" i="11"/>
  <c r="AW8" i="10"/>
  <c r="G25" i="6"/>
  <c r="I25" i="8"/>
  <c r="AR8" i="8" s="1"/>
  <c r="M27" i="7"/>
  <c r="AW8" i="9"/>
  <c r="M27" i="9"/>
  <c r="I25" i="7"/>
  <c r="AR8" i="7" s="1"/>
  <c r="I25" i="10"/>
  <c r="AR8" i="10" s="1"/>
  <c r="G25" i="10"/>
  <c r="I25" i="11"/>
  <c r="AR8" i="11" s="1"/>
  <c r="G25" i="11"/>
  <c r="I25" i="12"/>
  <c r="AR8" i="12" s="1"/>
  <c r="AW8" i="12"/>
  <c r="I25" i="9"/>
  <c r="AR8" i="9" s="1"/>
  <c r="G25" i="9"/>
  <c r="I25" i="14"/>
  <c r="AR8" i="14" s="1"/>
  <c r="AW8" i="8"/>
  <c r="AW8" i="6"/>
  <c r="M27" i="10"/>
  <c r="M27" i="5"/>
  <c r="L25" i="14"/>
  <c r="AS8" i="14" s="1"/>
  <c r="BD11" i="10"/>
  <c r="AW8" i="5"/>
  <c r="G25" i="8"/>
  <c r="AW8" i="13"/>
  <c r="AW8" i="7"/>
  <c r="BD11" i="11"/>
  <c r="BD11" i="8"/>
  <c r="M26" i="5"/>
  <c r="I25" i="5"/>
  <c r="AR8" i="5" s="1"/>
  <c r="H21" i="5"/>
  <c r="H19" i="5" s="1"/>
  <c r="H17" i="5" s="1"/>
  <c r="H8" i="5" s="1"/>
  <c r="H121" i="5" s="1"/>
  <c r="H125" i="5" s="1"/>
  <c r="G25" i="7"/>
  <c r="G25" i="12"/>
  <c r="I25" i="13"/>
  <c r="AR8" i="13" s="1"/>
  <c r="M26" i="7"/>
  <c r="N25" i="5"/>
  <c r="F25" i="7"/>
  <c r="AQ8" i="7" s="1"/>
  <c r="BC11" i="7"/>
  <c r="F25" i="5"/>
  <c r="AQ8" i="5" s="1"/>
  <c r="C25" i="7"/>
  <c r="M24" i="11"/>
  <c r="I123" i="5"/>
  <c r="M24" i="9"/>
  <c r="N24" i="9"/>
  <c r="F22" i="5"/>
  <c r="AQ7" i="5" s="1"/>
  <c r="C22" i="7"/>
  <c r="N24" i="6"/>
  <c r="N24" i="5"/>
  <c r="F22" i="6"/>
  <c r="AQ7" i="6" s="1"/>
  <c r="AZ7" i="6" s="1"/>
  <c r="G23" i="6"/>
  <c r="AW7" i="5"/>
  <c r="AY7" i="5" s="1"/>
  <c r="I22" i="5"/>
  <c r="AR7" i="5" s="1"/>
  <c r="AU7" i="5" s="1"/>
  <c r="AV7" i="5"/>
  <c r="N23" i="11"/>
  <c r="M23" i="5"/>
  <c r="M22" i="5" s="1"/>
  <c r="C22" i="15"/>
  <c r="F22" i="11"/>
  <c r="AQ7" i="11" s="1"/>
  <c r="C21" i="5"/>
  <c r="C19" i="5" s="1"/>
  <c r="C17" i="5" s="1"/>
  <c r="C8" i="5" s="1"/>
  <c r="C121" i="5" s="1"/>
  <c r="C125" i="5" s="1"/>
  <c r="N23" i="5"/>
  <c r="C22" i="11"/>
  <c r="M15" i="12"/>
  <c r="M15" i="9"/>
  <c r="M15" i="7"/>
  <c r="M15" i="14"/>
  <c r="M15" i="8"/>
  <c r="C10" i="8"/>
  <c r="C10" i="10"/>
  <c r="C10" i="14"/>
  <c r="C10" i="9"/>
  <c r="F10" i="5"/>
  <c r="X212" i="14"/>
  <c r="W212" i="15"/>
  <c r="AE156" i="15"/>
  <c r="AG156" i="15" s="1"/>
  <c r="AV10" i="6"/>
  <c r="AU10" i="6"/>
  <c r="AJ200" i="6"/>
  <c r="AH200" i="6"/>
  <c r="AI200" i="6"/>
  <c r="U187" i="6"/>
  <c r="U185" i="6" s="1"/>
  <c r="X188" i="6"/>
  <c r="N105" i="6"/>
  <c r="J105" i="7"/>
  <c r="AB177" i="16"/>
  <c r="BP23" i="15"/>
  <c r="AH162" i="13"/>
  <c r="X132" i="15"/>
  <c r="AB229" i="14"/>
  <c r="AJ167" i="14"/>
  <c r="AE167" i="15"/>
  <c r="AG167" i="15" s="1"/>
  <c r="BN26" i="12"/>
  <c r="AI212" i="12"/>
  <c r="Y159" i="16"/>
  <c r="AA159" i="16" s="1"/>
  <c r="AH204" i="16"/>
  <c r="AH203" i="16" s="1"/>
  <c r="AJ18" i="14"/>
  <c r="AE18" i="15"/>
  <c r="AG18" i="15" s="1"/>
  <c r="AJ136" i="14"/>
  <c r="AE136" i="15"/>
  <c r="AG136" i="15" s="1"/>
  <c r="AE177" i="13"/>
  <c r="AG177" i="13" s="1"/>
  <c r="AV11" i="11"/>
  <c r="AU11" i="11"/>
  <c r="AI138" i="6"/>
  <c r="AJ138" i="6"/>
  <c r="AI134" i="6"/>
  <c r="AH134" i="6"/>
  <c r="AI130" i="6"/>
  <c r="AJ130" i="6"/>
  <c r="AH130" i="6"/>
  <c r="AI126" i="6"/>
  <c r="BN19" i="6"/>
  <c r="AH99" i="6"/>
  <c r="AI99" i="6"/>
  <c r="AJ94" i="6"/>
  <c r="AH94" i="6"/>
  <c r="AI94" i="6"/>
  <c r="AH87" i="6"/>
  <c r="AI87" i="6"/>
  <c r="AJ87" i="6"/>
  <c r="AJ79" i="6"/>
  <c r="AI77" i="6"/>
  <c r="AH77" i="6"/>
  <c r="AH75" i="6"/>
  <c r="AJ75" i="6"/>
  <c r="AI75" i="6"/>
  <c r="AI73" i="6"/>
  <c r="AH73" i="6"/>
  <c r="AJ73" i="6"/>
  <c r="AH71" i="6"/>
  <c r="AJ71" i="6"/>
  <c r="AI71" i="6"/>
  <c r="AI68" i="6"/>
  <c r="AH68" i="6"/>
  <c r="AJ68" i="6"/>
  <c r="AJ50" i="6"/>
  <c r="AH40" i="6"/>
  <c r="AI40" i="6"/>
  <c r="AJ40" i="6"/>
  <c r="AH38" i="6"/>
  <c r="AI38" i="6"/>
  <c r="X35" i="6"/>
  <c r="AH36" i="6"/>
  <c r="AI36" i="6"/>
  <c r="AJ36" i="6"/>
  <c r="M114" i="6"/>
  <c r="N114" i="6"/>
  <c r="F76" i="6"/>
  <c r="C75" i="6"/>
  <c r="F64" i="6"/>
  <c r="C63" i="6"/>
  <c r="C45" i="6"/>
  <c r="F47" i="6"/>
  <c r="C123" i="6"/>
  <c r="C32" i="6"/>
  <c r="F33" i="6"/>
  <c r="M26" i="6"/>
  <c r="N26" i="6"/>
  <c r="BC11" i="6"/>
  <c r="AB244" i="16"/>
  <c r="AJ108" i="14"/>
  <c r="AE165" i="16"/>
  <c r="AG165" i="16" s="1"/>
  <c r="AH223" i="16"/>
  <c r="AE88" i="15"/>
  <c r="AG88" i="15" s="1"/>
  <c r="AJ32" i="14"/>
  <c r="AE32" i="15"/>
  <c r="AG32" i="15" s="1"/>
  <c r="AB151" i="15"/>
  <c r="AA251" i="15"/>
  <c r="N80" i="7"/>
  <c r="M80" i="7"/>
  <c r="AJ225" i="6"/>
  <c r="AH225" i="6"/>
  <c r="AI225" i="6"/>
  <c r="AJ179" i="6"/>
  <c r="AH179" i="6"/>
  <c r="AI179" i="6"/>
  <c r="AE132" i="9"/>
  <c r="AG132" i="9" s="1"/>
  <c r="AJ132" i="8"/>
  <c r="AB158" i="16"/>
  <c r="BD15" i="14"/>
  <c r="G46" i="15"/>
  <c r="AE101" i="14"/>
  <c r="AE142" i="15"/>
  <c r="AB196" i="16"/>
  <c r="AD196" i="16" s="1"/>
  <c r="AH238" i="16"/>
  <c r="AI238" i="16"/>
  <c r="AB212" i="15"/>
  <c r="X132" i="14"/>
  <c r="AH138" i="15"/>
  <c r="AI138" i="15"/>
  <c r="AH186" i="12"/>
  <c r="AI186" i="12"/>
  <c r="AJ164" i="15"/>
  <c r="AE164" i="16"/>
  <c r="AG164" i="16" s="1"/>
  <c r="AJ164" i="16" s="1"/>
  <c r="AJ125" i="14"/>
  <c r="AE125" i="15"/>
  <c r="AG125" i="15" s="1"/>
  <c r="AJ36" i="13"/>
  <c r="AE137" i="15"/>
  <c r="AG137" i="15" s="1"/>
  <c r="AV11" i="12"/>
  <c r="AY11" i="12"/>
  <c r="AU11" i="12"/>
  <c r="BR5" i="16"/>
  <c r="BN5" i="16"/>
  <c r="F44" i="8"/>
  <c r="C42" i="8"/>
  <c r="F37" i="8"/>
  <c r="C35" i="8"/>
  <c r="F24" i="8"/>
  <c r="C22" i="8"/>
  <c r="M14" i="8"/>
  <c r="F10" i="8"/>
  <c r="AB76" i="15"/>
  <c r="AJ161" i="15"/>
  <c r="AA93" i="14"/>
  <c r="AD38" i="15"/>
  <c r="X190" i="15"/>
  <c r="W190" i="16"/>
  <c r="AH59" i="12"/>
  <c r="AJ59" i="12"/>
  <c r="Y72" i="15"/>
  <c r="AH72" i="14"/>
  <c r="AE119" i="15"/>
  <c r="AG119" i="15" s="1"/>
  <c r="AJ119" i="15" s="1"/>
  <c r="X213" i="6"/>
  <c r="U211" i="6"/>
  <c r="U210" i="6" s="1"/>
  <c r="U209" i="6" s="1"/>
  <c r="U207" i="6" s="1"/>
  <c r="AG129" i="6"/>
  <c r="BD18" i="6"/>
  <c r="G105" i="7"/>
  <c r="I105" i="7" s="1"/>
  <c r="G105" i="8" s="1"/>
  <c r="I105" i="8" s="1"/>
  <c r="AD243" i="14"/>
  <c r="AB251" i="15"/>
  <c r="AI131" i="16"/>
  <c r="AH131" i="16"/>
  <c r="AE98" i="15"/>
  <c r="AG98" i="15" s="1"/>
  <c r="AE98" i="16" s="1"/>
  <c r="AG98" i="16" s="1"/>
  <c r="AJ98" i="16" s="1"/>
  <c r="L22" i="14"/>
  <c r="AS7" i="14" s="1"/>
  <c r="J23" i="15"/>
  <c r="AX7" i="14"/>
  <c r="J30" i="16"/>
  <c r="AJ36" i="14"/>
  <c r="AE36" i="15"/>
  <c r="AG36" i="15" s="1"/>
  <c r="AJ130" i="14"/>
  <c r="AE130" i="15"/>
  <c r="AG130" i="15" s="1"/>
  <c r="W174" i="14"/>
  <c r="X174" i="13"/>
  <c r="X212" i="13"/>
  <c r="AH244" i="13"/>
  <c r="AI244" i="13"/>
  <c r="N101" i="12"/>
  <c r="AE148" i="15"/>
  <c r="AG148" i="15" s="1"/>
  <c r="AE148" i="16" s="1"/>
  <c r="M79" i="6"/>
  <c r="B12" i="8"/>
  <c r="B12" i="9" s="1"/>
  <c r="B12" i="10" s="1"/>
  <c r="B12" i="11" s="1"/>
  <c r="B12" i="12" s="1"/>
  <c r="B12" i="13" s="1"/>
  <c r="B12" i="14" s="1"/>
  <c r="B12" i="15" s="1"/>
  <c r="B12" i="16" s="1"/>
  <c r="AJ3" i="8"/>
  <c r="BE3" i="8"/>
  <c r="BK3" i="8" s="1"/>
  <c r="BQ3" i="8" s="1"/>
  <c r="BN5" i="8" s="1"/>
  <c r="BH5" i="8"/>
  <c r="AW4" i="8"/>
  <c r="BC5" i="8"/>
  <c r="AW19" i="8"/>
  <c r="B72" i="7"/>
  <c r="B72" i="8" s="1"/>
  <c r="B72" i="9" s="1"/>
  <c r="B72" i="10" s="1"/>
  <c r="B72" i="11" s="1"/>
  <c r="B72" i="12" s="1"/>
  <c r="B72" i="13" s="1"/>
  <c r="B72" i="14" s="1"/>
  <c r="B72" i="15" s="1"/>
  <c r="B72" i="16" s="1"/>
  <c r="Q123" i="6"/>
  <c r="K123" i="6"/>
  <c r="AA207" i="6"/>
  <c r="BO27" i="6"/>
  <c r="AH202" i="7"/>
  <c r="AI202" i="7"/>
  <c r="AH188" i="7"/>
  <c r="X187" i="7"/>
  <c r="X185" i="7" s="1"/>
  <c r="AI188" i="7"/>
  <c r="AH166" i="7"/>
  <c r="AJ166" i="7"/>
  <c r="AI166" i="7"/>
  <c r="AI163" i="7"/>
  <c r="AJ163" i="7"/>
  <c r="AH163" i="7"/>
  <c r="AZ10" i="6"/>
  <c r="AH138" i="6"/>
  <c r="AH250" i="16"/>
  <c r="AI250" i="16"/>
  <c r="D3" i="5"/>
  <c r="V3" i="5"/>
  <c r="BE3" i="13"/>
  <c r="BK3" i="13" s="1"/>
  <c r="BQ3" i="13" s="1"/>
  <c r="BN5" i="13" s="1"/>
  <c r="AW4" i="13"/>
  <c r="B8" i="8"/>
  <c r="X223" i="6"/>
  <c r="X222" i="6" s="1"/>
  <c r="U222" i="6"/>
  <c r="AI205" i="6"/>
  <c r="AJ205" i="6"/>
  <c r="AH198" i="6"/>
  <c r="AI198" i="6"/>
  <c r="AJ139" i="6"/>
  <c r="AH139" i="6"/>
  <c r="AJ135" i="6"/>
  <c r="AH135" i="6"/>
  <c r="AJ131" i="6"/>
  <c r="AH131" i="6"/>
  <c r="AJ127" i="6"/>
  <c r="AH127" i="6"/>
  <c r="AH100" i="6"/>
  <c r="AI100" i="6"/>
  <c r="AH95" i="6"/>
  <c r="AI95" i="6"/>
  <c r="U49" i="6"/>
  <c r="X51" i="6"/>
  <c r="AH32" i="6"/>
  <c r="AI32" i="6"/>
  <c r="AJ32" i="6"/>
  <c r="AH30" i="6"/>
  <c r="AI30" i="6"/>
  <c r="AH28" i="6"/>
  <c r="AI28" i="6"/>
  <c r="AJ28" i="6"/>
  <c r="AH26" i="6"/>
  <c r="AI26" i="6"/>
  <c r="AH24" i="6"/>
  <c r="AI24" i="6"/>
  <c r="AJ24" i="6"/>
  <c r="AH22" i="6"/>
  <c r="AI22" i="6"/>
  <c r="AH19" i="6"/>
  <c r="AI19" i="6"/>
  <c r="AJ19" i="6"/>
  <c r="AH17" i="6"/>
  <c r="AI17" i="6"/>
  <c r="AQ22" i="6"/>
  <c r="C72" i="6"/>
  <c r="F73" i="6"/>
  <c r="C60" i="6"/>
  <c r="F61" i="6"/>
  <c r="F60" i="6" s="1"/>
  <c r="F43" i="6"/>
  <c r="C42" i="6"/>
  <c r="F27" i="6"/>
  <c r="C25" i="6"/>
  <c r="AI216" i="9"/>
  <c r="AH216" i="9"/>
  <c r="AI190" i="9"/>
  <c r="AH190" i="9"/>
  <c r="AH173" i="9"/>
  <c r="AH172" i="9" s="1"/>
  <c r="X172" i="9"/>
  <c r="AI173" i="9"/>
  <c r="AJ173" i="9"/>
  <c r="X107" i="9"/>
  <c r="U105" i="9"/>
  <c r="U104" i="9" s="1"/>
  <c r="AH86" i="9"/>
  <c r="X52" i="9"/>
  <c r="U49" i="9"/>
  <c r="AI31" i="9"/>
  <c r="AH31" i="9"/>
  <c r="AI23" i="9"/>
  <c r="AH23" i="9"/>
  <c r="M116" i="9"/>
  <c r="C99" i="9"/>
  <c r="F106" i="9"/>
  <c r="C72" i="9"/>
  <c r="F74" i="9"/>
  <c r="C60" i="9"/>
  <c r="F62" i="9"/>
  <c r="W244" i="14"/>
  <c r="AE19" i="15"/>
  <c r="AG19" i="15" s="1"/>
  <c r="AJ139" i="14"/>
  <c r="AZ11" i="10"/>
  <c r="AY11" i="10"/>
  <c r="F10" i="20"/>
  <c r="F9" i="20" s="1"/>
  <c r="F26" i="20" s="1"/>
  <c r="V112" i="6"/>
  <c r="G123" i="5"/>
  <c r="P123" i="5"/>
  <c r="F123" i="5"/>
  <c r="AJ256" i="6"/>
  <c r="AI256" i="6"/>
  <c r="AI254" i="6"/>
  <c r="AH254" i="6"/>
  <c r="AJ252" i="6"/>
  <c r="AI252" i="6"/>
  <c r="AI250" i="6"/>
  <c r="AH250" i="6"/>
  <c r="AJ248" i="6"/>
  <c r="AI248" i="6"/>
  <c r="AI246" i="6"/>
  <c r="AH246" i="6"/>
  <c r="X244" i="6"/>
  <c r="X243" i="6" s="1"/>
  <c r="U243" i="6"/>
  <c r="U234" i="6" s="1"/>
  <c r="U232" i="6" s="1"/>
  <c r="AH217" i="6"/>
  <c r="AI217" i="6"/>
  <c r="X196" i="6"/>
  <c r="U195" i="6"/>
  <c r="U194" i="6" s="1"/>
  <c r="U193" i="6" s="1"/>
  <c r="AH183" i="6"/>
  <c r="U176" i="6"/>
  <c r="X177" i="6"/>
  <c r="AJ167" i="6"/>
  <c r="AH167" i="6"/>
  <c r="AI167" i="6"/>
  <c r="X157" i="6"/>
  <c r="X155" i="6" s="1"/>
  <c r="AI165" i="6"/>
  <c r="AJ165" i="6"/>
  <c r="AJ163" i="6"/>
  <c r="AH163" i="6"/>
  <c r="AI163" i="6"/>
  <c r="AI161" i="6"/>
  <c r="AJ161" i="6"/>
  <c r="AJ159" i="6"/>
  <c r="AH159" i="6"/>
  <c r="AI159" i="6"/>
  <c r="AI156" i="6"/>
  <c r="AJ156" i="6"/>
  <c r="X152" i="6"/>
  <c r="AJ152" i="6" s="1"/>
  <c r="U149" i="6"/>
  <c r="U147" i="6" s="1"/>
  <c r="X148" i="6"/>
  <c r="AH148" i="6" s="1"/>
  <c r="AJ136" i="6"/>
  <c r="AH136" i="6"/>
  <c r="AI136" i="6"/>
  <c r="AJ132" i="6"/>
  <c r="AH132" i="6"/>
  <c r="AI132" i="6"/>
  <c r="AJ128" i="6"/>
  <c r="AH128" i="6"/>
  <c r="AI128" i="6"/>
  <c r="AH124" i="6"/>
  <c r="X96" i="6"/>
  <c r="AI101" i="6"/>
  <c r="AJ101" i="6"/>
  <c r="AJ97" i="6"/>
  <c r="AI92" i="6"/>
  <c r="AJ85" i="6"/>
  <c r="AH85" i="6"/>
  <c r="AI60" i="6"/>
  <c r="AH60" i="6"/>
  <c r="AJ60" i="6"/>
  <c r="AI52" i="6"/>
  <c r="AH52" i="6"/>
  <c r="F109" i="6"/>
  <c r="N104" i="6"/>
  <c r="M104" i="6"/>
  <c r="F93" i="6"/>
  <c r="F85" i="6" s="1"/>
  <c r="M94" i="6"/>
  <c r="N94" i="6"/>
  <c r="M89" i="6"/>
  <c r="N89" i="6"/>
  <c r="AQ12" i="6"/>
  <c r="M83" i="6"/>
  <c r="M81" i="6" s="1"/>
  <c r="N83" i="6"/>
  <c r="N81" i="6" s="1"/>
  <c r="F81" i="6"/>
  <c r="C69" i="6"/>
  <c r="F70" i="6"/>
  <c r="N23" i="6"/>
  <c r="AH241" i="13"/>
  <c r="AI241" i="13"/>
  <c r="U235" i="13"/>
  <c r="X223" i="13"/>
  <c r="U222" i="13"/>
  <c r="AH215" i="13"/>
  <c r="AH201" i="13"/>
  <c r="AI201" i="13"/>
  <c r="AI199" i="13"/>
  <c r="X196" i="13"/>
  <c r="U195" i="13"/>
  <c r="X188" i="13"/>
  <c r="U187" i="13"/>
  <c r="U185" i="13" s="1"/>
  <c r="X178" i="13"/>
  <c r="U176" i="13"/>
  <c r="U91" i="13"/>
  <c r="X88" i="13"/>
  <c r="AI88" i="13" s="1"/>
  <c r="U83" i="13"/>
  <c r="AI73" i="13"/>
  <c r="AH73" i="13"/>
  <c r="X70" i="13"/>
  <c r="U69" i="13"/>
  <c r="U65" i="13" s="1"/>
  <c r="AH54" i="13"/>
  <c r="AI30" i="13"/>
  <c r="AH30" i="13"/>
  <c r="AH28" i="13"/>
  <c r="AI28" i="13"/>
  <c r="AI26" i="13"/>
  <c r="AH26" i="13"/>
  <c r="AH22" i="13"/>
  <c r="AH19" i="13"/>
  <c r="AI19" i="13"/>
  <c r="M115" i="13"/>
  <c r="N115" i="13"/>
  <c r="M88" i="13"/>
  <c r="N88" i="13"/>
  <c r="AZ11" i="12"/>
  <c r="AY12" i="7"/>
  <c r="Y220" i="6"/>
  <c r="C78" i="6"/>
  <c r="F78" i="6" s="1"/>
  <c r="BC5" i="5"/>
  <c r="BE3" i="5"/>
  <c r="BK3" i="5" s="1"/>
  <c r="BQ3" i="5" s="1"/>
  <c r="BN5" i="5" s="1"/>
  <c r="BH5" i="5"/>
  <c r="AW19" i="5"/>
  <c r="AW4" i="16"/>
  <c r="AJ3" i="16"/>
  <c r="BH5" i="16"/>
  <c r="AW19" i="11"/>
  <c r="BH5" i="11"/>
  <c r="AW4" i="11"/>
  <c r="B14" i="7"/>
  <c r="P123" i="7" s="1"/>
  <c r="P121" i="7" s="1"/>
  <c r="P125" i="7" s="1"/>
  <c r="J123" i="6"/>
  <c r="BE22" i="6"/>
  <c r="E123" i="6"/>
  <c r="P123" i="6"/>
  <c r="AH240" i="6"/>
  <c r="AI240" i="6"/>
  <c r="AJ240" i="6"/>
  <c r="AJ238" i="6"/>
  <c r="AH238" i="6"/>
  <c r="AI238" i="6"/>
  <c r="AH236" i="6"/>
  <c r="AI236" i="6"/>
  <c r="AJ236" i="6"/>
  <c r="X229" i="6"/>
  <c r="U227" i="6"/>
  <c r="AI215" i="6"/>
  <c r="AJ215" i="6"/>
  <c r="AH202" i="6"/>
  <c r="AI202" i="6"/>
  <c r="AJ202" i="6"/>
  <c r="AH190" i="6"/>
  <c r="AI190" i="6"/>
  <c r="AJ190" i="6"/>
  <c r="AH181" i="6"/>
  <c r="AI181" i="6"/>
  <c r="AI178" i="6"/>
  <c r="AJ178" i="6"/>
  <c r="AH137" i="6"/>
  <c r="AI137" i="6"/>
  <c r="AH133" i="6"/>
  <c r="AI133" i="6"/>
  <c r="AH129" i="6"/>
  <c r="AI129" i="6"/>
  <c r="AH125" i="6"/>
  <c r="AI125" i="6"/>
  <c r="AH120" i="6"/>
  <c r="AI120" i="6"/>
  <c r="AJ118" i="6"/>
  <c r="AH118" i="6"/>
  <c r="AH116" i="6"/>
  <c r="AI116" i="6"/>
  <c r="X108" i="6"/>
  <c r="U104" i="6"/>
  <c r="AJ102" i="6"/>
  <c r="AI102" i="6"/>
  <c r="AJ98" i="6"/>
  <c r="AH98" i="6"/>
  <c r="U91" i="6"/>
  <c r="X93" i="6"/>
  <c r="X91" i="6" s="1"/>
  <c r="U83" i="6"/>
  <c r="X86" i="6"/>
  <c r="X49" i="6"/>
  <c r="AH53" i="6"/>
  <c r="AJ53" i="6"/>
  <c r="X45" i="6"/>
  <c r="U44" i="6"/>
  <c r="M80" i="6"/>
  <c r="N80" i="6"/>
  <c r="F67" i="6"/>
  <c r="C66" i="6"/>
  <c r="C48" i="6"/>
  <c r="F50" i="6"/>
  <c r="F48" i="6" s="1"/>
  <c r="C10" i="6"/>
  <c r="F13" i="6"/>
  <c r="AH256" i="8"/>
  <c r="AI256" i="8"/>
  <c r="AH254" i="8"/>
  <c r="AI254" i="8"/>
  <c r="AH250" i="8"/>
  <c r="AI250" i="8"/>
  <c r="AI248" i="8"/>
  <c r="AH248" i="8"/>
  <c r="AI188" i="8"/>
  <c r="AH188" i="8"/>
  <c r="X119" i="8"/>
  <c r="U114" i="8"/>
  <c r="X93" i="8"/>
  <c r="U91" i="8"/>
  <c r="X77" i="8"/>
  <c r="U69" i="8"/>
  <c r="U65" i="8" s="1"/>
  <c r="AH68" i="8"/>
  <c r="AJ68" i="8"/>
  <c r="X53" i="8"/>
  <c r="U49" i="8"/>
  <c r="X41" i="8"/>
  <c r="X35" i="8" s="1"/>
  <c r="U35" i="8"/>
  <c r="AI38" i="8"/>
  <c r="AH38" i="8"/>
  <c r="AH30" i="8"/>
  <c r="AJ30" i="8"/>
  <c r="X20" i="8"/>
  <c r="AH22" i="8"/>
  <c r="AJ22" i="8"/>
  <c r="F115" i="8"/>
  <c r="C108" i="8"/>
  <c r="N112" i="8"/>
  <c r="M112" i="8"/>
  <c r="F101" i="8"/>
  <c r="C99" i="8"/>
  <c r="F90" i="8"/>
  <c r="C85" i="8"/>
  <c r="M87" i="8"/>
  <c r="N87" i="8"/>
  <c r="AH250" i="7"/>
  <c r="AI250" i="7"/>
  <c r="X244" i="7"/>
  <c r="U243" i="7"/>
  <c r="AI215" i="7"/>
  <c r="AH215" i="7"/>
  <c r="X212" i="7"/>
  <c r="U211" i="7"/>
  <c r="U210" i="7" s="1"/>
  <c r="U209" i="7" s="1"/>
  <c r="U207" i="7" s="1"/>
  <c r="W224" i="16"/>
  <c r="W222" i="16" s="1"/>
  <c r="AI248" i="16"/>
  <c r="AJ177" i="10"/>
  <c r="X195" i="7"/>
  <c r="X194" i="7" s="1"/>
  <c r="AH239" i="8"/>
  <c r="AI239" i="8"/>
  <c r="AI230" i="8"/>
  <c r="X189" i="8"/>
  <c r="X187" i="8" s="1"/>
  <c r="X185" i="8" s="1"/>
  <c r="U187" i="8"/>
  <c r="U185" i="8" s="1"/>
  <c r="X161" i="8"/>
  <c r="U157" i="8"/>
  <c r="U155" i="8" s="1"/>
  <c r="M97" i="8"/>
  <c r="N97" i="8"/>
  <c r="AH254" i="9"/>
  <c r="AI254" i="9"/>
  <c r="AI252" i="9"/>
  <c r="AH252" i="9"/>
  <c r="AH250" i="9"/>
  <c r="AI250" i="9"/>
  <c r="AI248" i="9"/>
  <c r="AH248" i="9"/>
  <c r="AH244" i="9"/>
  <c r="AI244" i="9"/>
  <c r="X235" i="9"/>
  <c r="AI240" i="9"/>
  <c r="AH238" i="9"/>
  <c r="AI238" i="9"/>
  <c r="AH229" i="9"/>
  <c r="AI229" i="9"/>
  <c r="AI200" i="9"/>
  <c r="AH200" i="9"/>
  <c r="U187" i="9"/>
  <c r="U185" i="9" s="1"/>
  <c r="X188" i="9"/>
  <c r="AI174" i="9"/>
  <c r="AJ174" i="9"/>
  <c r="X84" i="9"/>
  <c r="U83" i="9"/>
  <c r="AJ79" i="9"/>
  <c r="AI71" i="9"/>
  <c r="AH71" i="9"/>
  <c r="AJ71" i="9"/>
  <c r="AH66" i="9"/>
  <c r="AJ66" i="9"/>
  <c r="AJ29" i="9"/>
  <c r="AI29" i="9"/>
  <c r="X21" i="9"/>
  <c r="U20" i="9"/>
  <c r="U16" i="9" s="1"/>
  <c r="M114" i="9"/>
  <c r="N114" i="9"/>
  <c r="F89" i="9"/>
  <c r="F71" i="9"/>
  <c r="C69" i="9"/>
  <c r="F59" i="9"/>
  <c r="C57" i="9"/>
  <c r="AH254" i="7"/>
  <c r="AI254" i="7"/>
  <c r="AH239" i="7"/>
  <c r="AI239" i="7"/>
  <c r="AJ177" i="7"/>
  <c r="AI177" i="7"/>
  <c r="AJ160" i="7"/>
  <c r="X247" i="10"/>
  <c r="U243" i="10"/>
  <c r="U234" i="10" s="1"/>
  <c r="U232" i="10" s="1"/>
  <c r="AH241" i="10"/>
  <c r="AI241" i="10"/>
  <c r="AH237" i="10"/>
  <c r="AI237" i="10"/>
  <c r="AI230" i="10"/>
  <c r="X228" i="10"/>
  <c r="U227" i="10"/>
  <c r="AH218" i="10"/>
  <c r="AI218" i="10"/>
  <c r="AH214" i="10"/>
  <c r="AI214" i="10"/>
  <c r="X148" i="10"/>
  <c r="U147" i="10"/>
  <c r="AI138" i="10"/>
  <c r="AJ138" i="10"/>
  <c r="AH138" i="10"/>
  <c r="X134" i="10"/>
  <c r="U123" i="10"/>
  <c r="X244" i="12"/>
  <c r="U243" i="12"/>
  <c r="U234" i="12" s="1"/>
  <c r="U232" i="12" s="1"/>
  <c r="AH215" i="12"/>
  <c r="AI201" i="12"/>
  <c r="AH201" i="12"/>
  <c r="AH127" i="12"/>
  <c r="AJ127" i="12"/>
  <c r="AH98" i="12"/>
  <c r="AJ98" i="12"/>
  <c r="X93" i="12"/>
  <c r="U91" i="12"/>
  <c r="AJ32" i="12"/>
  <c r="AH32" i="12"/>
  <c r="AI32" i="12"/>
  <c r="F24" i="12"/>
  <c r="C22" i="12"/>
  <c r="C10" i="12"/>
  <c r="C66" i="13"/>
  <c r="C60" i="13"/>
  <c r="F55" i="13"/>
  <c r="C54" i="13"/>
  <c r="F49" i="13"/>
  <c r="C48" i="13"/>
  <c r="AV11" i="6"/>
  <c r="AZ11" i="15"/>
  <c r="AU11" i="8"/>
  <c r="AZ12" i="10"/>
  <c r="U65" i="6"/>
  <c r="J28" i="6"/>
  <c r="W234" i="6"/>
  <c r="W232" i="6" s="1"/>
  <c r="W112" i="6"/>
  <c r="V220" i="6"/>
  <c r="U220" i="8"/>
  <c r="AH115" i="8"/>
  <c r="X60" i="8"/>
  <c r="U58" i="8"/>
  <c r="U57" i="8" s="1"/>
  <c r="AI48" i="8"/>
  <c r="AJ48" i="8"/>
  <c r="X17" i="8"/>
  <c r="F93" i="8"/>
  <c r="F85" i="8" s="1"/>
  <c r="N74" i="8"/>
  <c r="AH225" i="9"/>
  <c r="AI225" i="9"/>
  <c r="AI167" i="9"/>
  <c r="AH167" i="9"/>
  <c r="AH165" i="9"/>
  <c r="AJ165" i="9"/>
  <c r="AI165" i="9"/>
  <c r="AI163" i="9"/>
  <c r="AH163" i="9"/>
  <c r="AJ161" i="9"/>
  <c r="AI161" i="9"/>
  <c r="AJ138" i="9"/>
  <c r="AJ136" i="9"/>
  <c r="AI136" i="9"/>
  <c r="AH120" i="9"/>
  <c r="AI120" i="9"/>
  <c r="AJ120" i="9"/>
  <c r="U96" i="9"/>
  <c r="AH97" i="9"/>
  <c r="U91" i="9"/>
  <c r="U58" i="9"/>
  <c r="U57" i="9" s="1"/>
  <c r="X60" i="9"/>
  <c r="X58" i="9" s="1"/>
  <c r="X57" i="9" s="1"/>
  <c r="U44" i="9"/>
  <c r="X47" i="9"/>
  <c r="AI27" i="9"/>
  <c r="AH27" i="9"/>
  <c r="AJ27" i="9"/>
  <c r="AI18" i="9"/>
  <c r="AH18" i="9"/>
  <c r="AJ18" i="9"/>
  <c r="N112" i="9"/>
  <c r="M112" i="9"/>
  <c r="M96" i="9"/>
  <c r="F81" i="9"/>
  <c r="N82" i="9"/>
  <c r="N81" i="9" s="1"/>
  <c r="F51" i="9"/>
  <c r="M52" i="9"/>
  <c r="M51" i="9" s="1"/>
  <c r="F49" i="9"/>
  <c r="C48" i="9"/>
  <c r="M44" i="9"/>
  <c r="N44" i="9"/>
  <c r="F35" i="9"/>
  <c r="F32" i="9"/>
  <c r="M34" i="9"/>
  <c r="F31" i="9"/>
  <c r="C29" i="9"/>
  <c r="C28" i="9" s="1"/>
  <c r="AH255" i="7"/>
  <c r="AI255" i="7"/>
  <c r="U235" i="7"/>
  <c r="X237" i="7"/>
  <c r="X235" i="7" s="1"/>
  <c r="X229" i="7"/>
  <c r="U227" i="7"/>
  <c r="U220" i="7" s="1"/>
  <c r="AH190" i="7"/>
  <c r="AI190" i="7"/>
  <c r="AH181" i="7"/>
  <c r="AI181" i="7"/>
  <c r="AH178" i="7"/>
  <c r="AJ178" i="7"/>
  <c r="AI178" i="7"/>
  <c r="U157" i="7"/>
  <c r="U155" i="7" s="1"/>
  <c r="X158" i="7"/>
  <c r="X142" i="7"/>
  <c r="U141" i="7"/>
  <c r="AH136" i="7"/>
  <c r="AJ136" i="7"/>
  <c r="AI136" i="7"/>
  <c r="AH132" i="7"/>
  <c r="AJ132" i="7"/>
  <c r="AI132" i="7"/>
  <c r="AH128" i="7"/>
  <c r="AJ128" i="7"/>
  <c r="AI128" i="7"/>
  <c r="X124" i="7"/>
  <c r="U123" i="7"/>
  <c r="X118" i="7"/>
  <c r="U114" i="7"/>
  <c r="AH101" i="7"/>
  <c r="AJ101" i="7"/>
  <c r="AI99" i="7"/>
  <c r="X96" i="7"/>
  <c r="AH97" i="7"/>
  <c r="AH87" i="7"/>
  <c r="AJ87" i="7"/>
  <c r="AI87" i="7"/>
  <c r="X81" i="7"/>
  <c r="AH77" i="7"/>
  <c r="AI77" i="7"/>
  <c r="X73" i="7"/>
  <c r="U69" i="7"/>
  <c r="U65" i="7" s="1"/>
  <c r="AH68" i="7"/>
  <c r="AJ68" i="7"/>
  <c r="AI68" i="7"/>
  <c r="AH60" i="7"/>
  <c r="AJ60" i="7"/>
  <c r="AJ58" i="7" s="1"/>
  <c r="AI60" i="7"/>
  <c r="AJ41" i="7"/>
  <c r="X26" i="7"/>
  <c r="U20" i="7"/>
  <c r="U16" i="7" s="1"/>
  <c r="F111" i="7"/>
  <c r="N95" i="7"/>
  <c r="N88" i="7"/>
  <c r="F46" i="7"/>
  <c r="N46" i="7" s="1"/>
  <c r="N45" i="7" s="1"/>
  <c r="C45" i="7"/>
  <c r="F12" i="7"/>
  <c r="F10" i="7" s="1"/>
  <c r="C10" i="7"/>
  <c r="AJ119" i="10"/>
  <c r="AI119" i="10"/>
  <c r="U114" i="10"/>
  <c r="AH253" i="11"/>
  <c r="AI253" i="11"/>
  <c r="X246" i="11"/>
  <c r="U243" i="11"/>
  <c r="U227" i="11"/>
  <c r="X196" i="15"/>
  <c r="U195" i="15"/>
  <c r="U194" i="15" s="1"/>
  <c r="U193" i="15" s="1"/>
  <c r="U187" i="15"/>
  <c r="AH180" i="15"/>
  <c r="AI180" i="15"/>
  <c r="X98" i="15"/>
  <c r="U96" i="15"/>
  <c r="U58" i="15"/>
  <c r="U57" i="15" s="1"/>
  <c r="X22" i="15"/>
  <c r="U20" i="15"/>
  <c r="U16" i="15" s="1"/>
  <c r="AD220" i="6"/>
  <c r="X69" i="6"/>
  <c r="V194" i="6"/>
  <c r="V193" i="6" s="1"/>
  <c r="M32" i="8"/>
  <c r="F69" i="8"/>
  <c r="U234" i="9"/>
  <c r="U232" i="9" s="1"/>
  <c r="C108" i="9"/>
  <c r="U123" i="15"/>
  <c r="M92" i="8"/>
  <c r="N92" i="8"/>
  <c r="N27" i="8"/>
  <c r="M27" i="8"/>
  <c r="AH223" i="9"/>
  <c r="AI223" i="9"/>
  <c r="U211" i="9"/>
  <c r="U210" i="9" s="1"/>
  <c r="U209" i="9" s="1"/>
  <c r="U207" i="9" s="1"/>
  <c r="X212" i="9"/>
  <c r="X196" i="9"/>
  <c r="X195" i="9" s="1"/>
  <c r="X194" i="9" s="1"/>
  <c r="U195" i="9"/>
  <c r="U194" i="9" s="1"/>
  <c r="U193" i="9" s="1"/>
  <c r="AH183" i="9"/>
  <c r="AI179" i="9"/>
  <c r="AI177" i="9"/>
  <c r="U114" i="9"/>
  <c r="U112" i="9" s="1"/>
  <c r="X118" i="9"/>
  <c r="AH88" i="9"/>
  <c r="AH54" i="9"/>
  <c r="U35" i="9"/>
  <c r="AI38" i="9"/>
  <c r="AH38" i="9"/>
  <c r="AJ25" i="9"/>
  <c r="AI25" i="9"/>
  <c r="M119" i="9"/>
  <c r="M110" i="9"/>
  <c r="N110" i="9"/>
  <c r="C93" i="9"/>
  <c r="C85" i="9" s="1"/>
  <c r="C75" i="9"/>
  <c r="F77" i="9"/>
  <c r="C63" i="9"/>
  <c r="F65" i="9"/>
  <c r="F23" i="9"/>
  <c r="C22" i="9"/>
  <c r="AH241" i="7"/>
  <c r="AI241" i="7"/>
  <c r="AH224" i="7"/>
  <c r="AI224" i="7"/>
  <c r="AH217" i="7"/>
  <c r="AI217" i="7"/>
  <c r="AH198" i="7"/>
  <c r="AH191" i="7"/>
  <c r="AH162" i="7"/>
  <c r="X84" i="10"/>
  <c r="U83" i="10"/>
  <c r="AH77" i="10"/>
  <c r="AH73" i="10"/>
  <c r="AJ73" i="10"/>
  <c r="AI73" i="10"/>
  <c r="AH71" i="10"/>
  <c r="AJ71" i="10"/>
  <c r="AI71" i="10"/>
  <c r="X68" i="10"/>
  <c r="AH68" i="10" s="1"/>
  <c r="AH54" i="10"/>
  <c r="AJ54" i="10"/>
  <c r="AI52" i="10"/>
  <c r="AH52" i="10"/>
  <c r="AJ50" i="10"/>
  <c r="AI47" i="10"/>
  <c r="AJ47" i="10"/>
  <c r="U44" i="10"/>
  <c r="U43" i="10" s="1"/>
  <c r="AI38" i="10"/>
  <c r="AH38" i="10"/>
  <c r="M116" i="10"/>
  <c r="M112" i="10"/>
  <c r="N112" i="10"/>
  <c r="C108" i="10"/>
  <c r="M96" i="10"/>
  <c r="N91" i="10"/>
  <c r="M91" i="10"/>
  <c r="M89" i="10"/>
  <c r="N89" i="10"/>
  <c r="M87" i="10"/>
  <c r="N87" i="10"/>
  <c r="M77" i="10"/>
  <c r="N77" i="10"/>
  <c r="F74" i="10"/>
  <c r="C72" i="10"/>
  <c r="F64" i="10"/>
  <c r="F63" i="10" s="1"/>
  <c r="C63" i="10"/>
  <c r="U222" i="11"/>
  <c r="X224" i="11"/>
  <c r="AJ167" i="11"/>
  <c r="AJ164" i="11"/>
  <c r="X153" i="11"/>
  <c r="AJ127" i="11"/>
  <c r="X124" i="11"/>
  <c r="U123" i="11"/>
  <c r="U105" i="11"/>
  <c r="U104" i="11" s="1"/>
  <c r="X107" i="11"/>
  <c r="U83" i="11"/>
  <c r="X79" i="11"/>
  <c r="U69" i="11"/>
  <c r="U65" i="11" s="1"/>
  <c r="AH47" i="11"/>
  <c r="AJ47" i="11"/>
  <c r="AI47" i="11"/>
  <c r="X40" i="11"/>
  <c r="U35" i="11"/>
  <c r="F119" i="11"/>
  <c r="C117" i="11"/>
  <c r="C108" i="11" s="1"/>
  <c r="F110" i="11"/>
  <c r="F97" i="11"/>
  <c r="C93" i="11"/>
  <c r="C85" i="11" s="1"/>
  <c r="F74" i="11"/>
  <c r="C72" i="11"/>
  <c r="F58" i="11"/>
  <c r="C57" i="11"/>
  <c r="F53" i="11"/>
  <c r="C51" i="11"/>
  <c r="F43" i="11"/>
  <c r="C42" i="11"/>
  <c r="F34" i="11"/>
  <c r="C32" i="11"/>
  <c r="C63" i="14"/>
  <c r="F55" i="14"/>
  <c r="C54" i="14"/>
  <c r="F36" i="14"/>
  <c r="C35" i="14"/>
  <c r="C117" i="15"/>
  <c r="C108" i="15" s="1"/>
  <c r="F106" i="15"/>
  <c r="C99" i="15"/>
  <c r="AY11" i="14"/>
  <c r="AY10" i="6"/>
  <c r="AB234" i="6"/>
  <c r="AB232" i="6" s="1"/>
  <c r="I28" i="6"/>
  <c r="X211" i="6"/>
  <c r="X210" i="6" s="1"/>
  <c r="X209" i="6" s="1"/>
  <c r="F51" i="6"/>
  <c r="N32" i="9"/>
  <c r="AH244" i="10"/>
  <c r="AI244" i="10"/>
  <c r="X223" i="10"/>
  <c r="X222" i="10" s="1"/>
  <c r="U222" i="10"/>
  <c r="X188" i="10"/>
  <c r="X187" i="10" s="1"/>
  <c r="X185" i="10" s="1"/>
  <c r="U187" i="10"/>
  <c r="U185" i="10" s="1"/>
  <c r="AH167" i="10"/>
  <c r="AI167" i="10"/>
  <c r="AJ167" i="10"/>
  <c r="AJ165" i="10"/>
  <c r="AH165" i="10"/>
  <c r="AI165" i="10"/>
  <c r="AH163" i="10"/>
  <c r="AI163" i="10"/>
  <c r="AJ163" i="10"/>
  <c r="AJ161" i="10"/>
  <c r="AH161" i="10"/>
  <c r="AI161" i="10"/>
  <c r="U105" i="10"/>
  <c r="U104" i="10" s="1"/>
  <c r="AH36" i="10"/>
  <c r="AJ36" i="10"/>
  <c r="AI31" i="10"/>
  <c r="AH31" i="10"/>
  <c r="AH29" i="10"/>
  <c r="AJ29" i="10"/>
  <c r="AI29" i="10"/>
  <c r="AI27" i="10"/>
  <c r="AH27" i="10"/>
  <c r="AJ27" i="10"/>
  <c r="AH25" i="10"/>
  <c r="AJ25" i="10"/>
  <c r="AI25" i="10"/>
  <c r="AI23" i="10"/>
  <c r="AH23" i="10"/>
  <c r="AH21" i="10"/>
  <c r="AJ21" i="10"/>
  <c r="AI21" i="10"/>
  <c r="AI18" i="10"/>
  <c r="AH18" i="10"/>
  <c r="AJ18" i="10"/>
  <c r="N65" i="10"/>
  <c r="F58" i="10"/>
  <c r="C57" i="10"/>
  <c r="F48" i="10"/>
  <c r="N49" i="10"/>
  <c r="M34" i="10"/>
  <c r="N34" i="10"/>
  <c r="AH238" i="11"/>
  <c r="AI238" i="11"/>
  <c r="AH201" i="11"/>
  <c r="AI201" i="11"/>
  <c r="X199" i="11"/>
  <c r="U195" i="11"/>
  <c r="U194" i="11" s="1"/>
  <c r="U193" i="11" s="1"/>
  <c r="AI196" i="11"/>
  <c r="U176" i="11"/>
  <c r="X177" i="11"/>
  <c r="AH162" i="11"/>
  <c r="AH139" i="11"/>
  <c r="AI139" i="11"/>
  <c r="AJ139" i="11"/>
  <c r="AH137" i="11"/>
  <c r="AI137" i="11"/>
  <c r="AJ137" i="11"/>
  <c r="AH128" i="11"/>
  <c r="AJ85" i="11"/>
  <c r="AI85" i="11"/>
  <c r="AH85" i="11"/>
  <c r="AH53" i="11"/>
  <c r="AI53" i="11"/>
  <c r="AJ53" i="11"/>
  <c r="AI37" i="11"/>
  <c r="AH37" i="11"/>
  <c r="AJ37" i="11"/>
  <c r="AI23" i="11"/>
  <c r="M116" i="11"/>
  <c r="F86" i="11"/>
  <c r="F55" i="12"/>
  <c r="C54" i="12"/>
  <c r="U235" i="14"/>
  <c r="U234" i="14" s="1"/>
  <c r="U232" i="14" s="1"/>
  <c r="U211" i="14"/>
  <c r="U210" i="14" s="1"/>
  <c r="U209" i="14" s="1"/>
  <c r="U207" i="14" s="1"/>
  <c r="AH198" i="14"/>
  <c r="AI179" i="14"/>
  <c r="AH179" i="14"/>
  <c r="X153" i="14"/>
  <c r="U149" i="14"/>
  <c r="U147" i="14" s="1"/>
  <c r="AI120" i="14"/>
  <c r="AH120" i="14"/>
  <c r="U105" i="14"/>
  <c r="U104" i="14" s="1"/>
  <c r="X81" i="14"/>
  <c r="AH78" i="14"/>
  <c r="AI78" i="14"/>
  <c r="U58" i="14"/>
  <c r="U57" i="14" s="1"/>
  <c r="AH54" i="14"/>
  <c r="F86" i="14"/>
  <c r="C45" i="15"/>
  <c r="AB178" i="8"/>
  <c r="AD176" i="7"/>
  <c r="AD168" i="12"/>
  <c r="AB135" i="12"/>
  <c r="AD135" i="12" s="1"/>
  <c r="AI135" i="11"/>
  <c r="AB129" i="15"/>
  <c r="AD129" i="15" s="1"/>
  <c r="AB129" i="16" s="1"/>
  <c r="AD129" i="16" s="1"/>
  <c r="AI129" i="14"/>
  <c r="AB127" i="8"/>
  <c r="AD116" i="7"/>
  <c r="AD92" i="7"/>
  <c r="AB91" i="7"/>
  <c r="Y28" i="15"/>
  <c r="AA28" i="15" s="1"/>
  <c r="Y28" i="16" s="1"/>
  <c r="AA28" i="16" s="1"/>
  <c r="Y23" i="11"/>
  <c r="AA20" i="10"/>
  <c r="I111" i="10"/>
  <c r="I52" i="13"/>
  <c r="G51" i="13"/>
  <c r="G47" i="11"/>
  <c r="I45" i="10"/>
  <c r="AB220" i="8"/>
  <c r="E28" i="9"/>
  <c r="U176" i="7"/>
  <c r="U170" i="7" s="1"/>
  <c r="AJ164" i="7"/>
  <c r="AJ66" i="7"/>
  <c r="AI248" i="7"/>
  <c r="F72" i="7"/>
  <c r="U35" i="10"/>
  <c r="AJ74" i="10"/>
  <c r="AI133" i="10"/>
  <c r="AH238" i="10"/>
  <c r="AH78" i="10"/>
  <c r="AH32" i="10"/>
  <c r="C78" i="10"/>
  <c r="W220" i="10"/>
  <c r="U114" i="11"/>
  <c r="AH247" i="11"/>
  <c r="U20" i="12"/>
  <c r="U16" i="12" s="1"/>
  <c r="AH229" i="10"/>
  <c r="AI229" i="10"/>
  <c r="AH224" i="10"/>
  <c r="AI224" i="10"/>
  <c r="AH216" i="10"/>
  <c r="AI212" i="10"/>
  <c r="X142" i="10"/>
  <c r="U141" i="10"/>
  <c r="AJ136" i="10"/>
  <c r="AI136" i="10"/>
  <c r="AH107" i="10"/>
  <c r="AI107" i="10"/>
  <c r="AJ107" i="10"/>
  <c r="AH86" i="10"/>
  <c r="AI80" i="10"/>
  <c r="AH66" i="10"/>
  <c r="AJ66" i="10"/>
  <c r="AH59" i="10"/>
  <c r="AJ59" i="10"/>
  <c r="AH53" i="10"/>
  <c r="AJ53" i="10"/>
  <c r="AH48" i="10"/>
  <c r="AJ48" i="10"/>
  <c r="AH46" i="10"/>
  <c r="AJ46" i="10"/>
  <c r="AH40" i="10"/>
  <c r="AJ40" i="10"/>
  <c r="M119" i="10"/>
  <c r="M114" i="10"/>
  <c r="N114" i="10"/>
  <c r="M103" i="10"/>
  <c r="N103" i="10"/>
  <c r="F71" i="10"/>
  <c r="C69" i="10"/>
  <c r="F42" i="10"/>
  <c r="AQ10" i="10" s="1"/>
  <c r="M44" i="10"/>
  <c r="F24" i="10"/>
  <c r="C22" i="10"/>
  <c r="X236" i="11"/>
  <c r="U235" i="11"/>
  <c r="AH182" i="11"/>
  <c r="AI182" i="11"/>
  <c r="X158" i="11"/>
  <c r="U157" i="11"/>
  <c r="U155" i="11" s="1"/>
  <c r="AH132" i="11"/>
  <c r="AH125" i="11"/>
  <c r="AI125" i="11"/>
  <c r="AJ125" i="11"/>
  <c r="AH99" i="11"/>
  <c r="AI99" i="11"/>
  <c r="X81" i="11"/>
  <c r="AI73" i="11"/>
  <c r="AH73" i="11"/>
  <c r="AJ73" i="11"/>
  <c r="AH66" i="11"/>
  <c r="AH46" i="11"/>
  <c r="AI46" i="11"/>
  <c r="C66" i="11"/>
  <c r="N55" i="11"/>
  <c r="M36" i="11"/>
  <c r="N36" i="11"/>
  <c r="C25" i="11"/>
  <c r="C10" i="11"/>
  <c r="AH138" i="12"/>
  <c r="AJ138" i="12"/>
  <c r="U83" i="12"/>
  <c r="AH78" i="12"/>
  <c r="AJ78" i="12"/>
  <c r="C25" i="12"/>
  <c r="AH256" i="13"/>
  <c r="AI256" i="13"/>
  <c r="U243" i="13"/>
  <c r="AI240" i="13"/>
  <c r="AH240" i="13"/>
  <c r="U211" i="13"/>
  <c r="U210" i="13" s="1"/>
  <c r="U209" i="13" s="1"/>
  <c r="U207" i="13" s="1"/>
  <c r="AI179" i="13"/>
  <c r="AH179" i="13"/>
  <c r="AJ163" i="13"/>
  <c r="AH163" i="13"/>
  <c r="U149" i="13"/>
  <c r="U147" i="13" s="1"/>
  <c r="X81" i="13"/>
  <c r="AH71" i="13"/>
  <c r="AI71" i="13"/>
  <c r="X37" i="13"/>
  <c r="U35" i="13"/>
  <c r="N87" i="13"/>
  <c r="M87" i="13"/>
  <c r="C75" i="13"/>
  <c r="C63" i="13"/>
  <c r="C51" i="13"/>
  <c r="C75" i="14"/>
  <c r="F43" i="14"/>
  <c r="C42" i="14"/>
  <c r="X118" i="15"/>
  <c r="U114" i="15"/>
  <c r="X52" i="15"/>
  <c r="U49" i="15"/>
  <c r="AH47" i="15"/>
  <c r="AI47" i="15"/>
  <c r="X33" i="15"/>
  <c r="AH30" i="15"/>
  <c r="AI30" i="15"/>
  <c r="AI19" i="15"/>
  <c r="AH19" i="15"/>
  <c r="F75" i="8"/>
  <c r="F48" i="8"/>
  <c r="V170" i="8"/>
  <c r="V112" i="8"/>
  <c r="X227" i="9"/>
  <c r="E28" i="7"/>
  <c r="V112" i="7"/>
  <c r="F54" i="7"/>
  <c r="M56" i="7"/>
  <c r="F42" i="7"/>
  <c r="AQ10" i="7" s="1"/>
  <c r="M44" i="7"/>
  <c r="X195" i="10"/>
  <c r="AH202" i="10"/>
  <c r="AI202" i="10"/>
  <c r="X173" i="10"/>
  <c r="U172" i="10"/>
  <c r="AH129" i="10"/>
  <c r="AI129" i="10"/>
  <c r="AJ127" i="10"/>
  <c r="AJ125" i="10"/>
  <c r="AI125" i="10"/>
  <c r="AI101" i="10"/>
  <c r="AH99" i="10"/>
  <c r="AI99" i="10"/>
  <c r="AH97" i="10"/>
  <c r="X58" i="10"/>
  <c r="AI60" i="10"/>
  <c r="X17" i="10"/>
  <c r="U16" i="10"/>
  <c r="F106" i="10"/>
  <c r="C99" i="10"/>
  <c r="F52" i="10"/>
  <c r="C51" i="10"/>
  <c r="C45" i="10"/>
  <c r="AI240" i="11"/>
  <c r="AH240" i="11"/>
  <c r="AH216" i="11"/>
  <c r="AI216" i="11"/>
  <c r="AH204" i="11"/>
  <c r="AH203" i="11" s="1"/>
  <c r="AI173" i="11"/>
  <c r="X152" i="11"/>
  <c r="U149" i="11"/>
  <c r="U147" i="11" s="1"/>
  <c r="AI130" i="11"/>
  <c r="AH78" i="11"/>
  <c r="AJ78" i="11"/>
  <c r="AI78" i="11"/>
  <c r="AH74" i="11"/>
  <c r="AJ74" i="11"/>
  <c r="AI74" i="11"/>
  <c r="AI60" i="11"/>
  <c r="AH30" i="11"/>
  <c r="AJ30" i="11"/>
  <c r="AH27" i="11"/>
  <c r="AI27" i="11"/>
  <c r="AJ27" i="11"/>
  <c r="X25" i="11"/>
  <c r="U20" i="11"/>
  <c r="U16" i="11" s="1"/>
  <c r="AH18" i="11"/>
  <c r="AI18" i="11"/>
  <c r="F47" i="11"/>
  <c r="C45" i="11"/>
  <c r="F65" i="12"/>
  <c r="C63" i="12"/>
  <c r="U114" i="14"/>
  <c r="X85" i="14"/>
  <c r="AH85" i="14" s="1"/>
  <c r="U83" i="14"/>
  <c r="AI73" i="14"/>
  <c r="AH73" i="14"/>
  <c r="AH48" i="14"/>
  <c r="AI48" i="14"/>
  <c r="U44" i="14"/>
  <c r="U43" i="14" s="1"/>
  <c r="C60" i="15"/>
  <c r="C51" i="15"/>
  <c r="C32" i="15"/>
  <c r="C25" i="15"/>
  <c r="C10" i="15"/>
  <c r="F42" i="8"/>
  <c r="AQ10" i="8" s="1"/>
  <c r="F35" i="8"/>
  <c r="F32" i="8"/>
  <c r="F78" i="9"/>
  <c r="X105" i="7"/>
  <c r="X104" i="7" s="1"/>
  <c r="U57" i="10"/>
  <c r="AI27" i="13"/>
  <c r="M106" i="13"/>
  <c r="C108" i="14"/>
  <c r="C32" i="14"/>
  <c r="AH71" i="14"/>
  <c r="U35" i="15"/>
  <c r="L95" i="11"/>
  <c r="N95" i="11" s="1"/>
  <c r="L76" i="14"/>
  <c r="J75" i="14"/>
  <c r="L71" i="14"/>
  <c r="L59" i="14"/>
  <c r="J57" i="14"/>
  <c r="J55" i="12"/>
  <c r="L54" i="11"/>
  <c r="D82" i="15"/>
  <c r="D31" i="15"/>
  <c r="F31" i="15" s="1"/>
  <c r="D29" i="14"/>
  <c r="D24" i="15"/>
  <c r="F24" i="15" s="1"/>
  <c r="D22" i="14"/>
  <c r="D13" i="12"/>
  <c r="F13" i="12" s="1"/>
  <c r="X97" i="12"/>
  <c r="U96" i="12"/>
  <c r="C66" i="12"/>
  <c r="AI167" i="13"/>
  <c r="AH167" i="13"/>
  <c r="AI131" i="13"/>
  <c r="N44" i="13"/>
  <c r="M44" i="13"/>
  <c r="F12" i="13"/>
  <c r="C10" i="13"/>
  <c r="AH247" i="14"/>
  <c r="AI247" i="14"/>
  <c r="AH182" i="14"/>
  <c r="AI182" i="14"/>
  <c r="X124" i="14"/>
  <c r="U123" i="14"/>
  <c r="AH66" i="14"/>
  <c r="AI32" i="14"/>
  <c r="AH32" i="14"/>
  <c r="AH30" i="14"/>
  <c r="AI30" i="14"/>
  <c r="AH26" i="14"/>
  <c r="AI26" i="14"/>
  <c r="AH22" i="14"/>
  <c r="C29" i="14"/>
  <c r="F31" i="14"/>
  <c r="M88" i="15"/>
  <c r="N88" i="15"/>
  <c r="C66" i="15"/>
  <c r="AG160" i="11"/>
  <c r="AG84" i="12"/>
  <c r="AE74" i="12"/>
  <c r="AB234" i="7"/>
  <c r="AB232" i="7" s="1"/>
  <c r="W43" i="7"/>
  <c r="W14" i="7" s="1"/>
  <c r="J54" i="10"/>
  <c r="E28" i="10"/>
  <c r="U91" i="11"/>
  <c r="AI131" i="11"/>
  <c r="AI108" i="11"/>
  <c r="L57" i="11"/>
  <c r="J54" i="11"/>
  <c r="F31" i="11"/>
  <c r="F31" i="12"/>
  <c r="E28" i="12"/>
  <c r="U90" i="13"/>
  <c r="U49" i="13"/>
  <c r="AH128" i="13"/>
  <c r="AH68" i="13"/>
  <c r="N43" i="13"/>
  <c r="M36" i="13"/>
  <c r="J75" i="13"/>
  <c r="J57" i="13"/>
  <c r="AI121" i="13"/>
  <c r="C85" i="13"/>
  <c r="D29" i="13"/>
  <c r="AI23" i="14"/>
  <c r="C72" i="15"/>
  <c r="AH118" i="11"/>
  <c r="AI118" i="11"/>
  <c r="AJ118" i="11"/>
  <c r="AH67" i="11"/>
  <c r="AH38" i="11"/>
  <c r="U187" i="12"/>
  <c r="U185" i="12" s="1"/>
  <c r="X188" i="12"/>
  <c r="U172" i="12"/>
  <c r="F30" i="12"/>
  <c r="C29" i="12"/>
  <c r="C28" i="12" s="1"/>
  <c r="U227" i="13"/>
  <c r="U220" i="13" s="1"/>
  <c r="U157" i="13"/>
  <c r="U155" i="13" s="1"/>
  <c r="U123" i="13"/>
  <c r="C32" i="13"/>
  <c r="C28" i="13" s="1"/>
  <c r="C25" i="13"/>
  <c r="U227" i="14"/>
  <c r="U220" i="14" s="1"/>
  <c r="X186" i="14"/>
  <c r="U176" i="14"/>
  <c r="U157" i="14"/>
  <c r="U155" i="14" s="1"/>
  <c r="U91" i="14"/>
  <c r="AH68" i="14"/>
  <c r="AI68" i="14"/>
  <c r="F102" i="14"/>
  <c r="C99" i="14"/>
  <c r="C51" i="14"/>
  <c r="M49" i="14"/>
  <c r="F23" i="14"/>
  <c r="C22" i="14"/>
  <c r="F87" i="15"/>
  <c r="U243" i="15"/>
  <c r="AH204" i="15"/>
  <c r="AH203" i="15" s="1"/>
  <c r="X203" i="15"/>
  <c r="AG54" i="12"/>
  <c r="AE46" i="12"/>
  <c r="AE22" i="13"/>
  <c r="F35" i="7"/>
  <c r="W220" i="7"/>
  <c r="W194" i="7"/>
  <c r="W193" i="7" s="1"/>
  <c r="V194" i="7"/>
  <c r="V193" i="7" s="1"/>
  <c r="L54" i="10"/>
  <c r="V220" i="10"/>
  <c r="J75" i="11"/>
  <c r="X187" i="11"/>
  <c r="X185" i="11" s="1"/>
  <c r="J75" i="12"/>
  <c r="J57" i="12"/>
  <c r="D22" i="13"/>
  <c r="C57" i="15"/>
  <c r="AD46" i="14"/>
  <c r="AB44" i="14"/>
  <c r="L111" i="15"/>
  <c r="Y158" i="15"/>
  <c r="Y33" i="15"/>
  <c r="AA33" i="15" s="1"/>
  <c r="G34" i="15"/>
  <c r="I32" i="14"/>
  <c r="U235" i="16"/>
  <c r="U234" i="16" s="1"/>
  <c r="U232" i="16" s="1"/>
  <c r="U187" i="16"/>
  <c r="U185" i="16" s="1"/>
  <c r="U69" i="16"/>
  <c r="U65" i="16" s="1"/>
  <c r="F31" i="13"/>
  <c r="F24" i="13"/>
  <c r="X216" i="16"/>
  <c r="AH216" i="16" s="1"/>
  <c r="U211" i="16"/>
  <c r="U210" i="16" s="1"/>
  <c r="U209" i="16" s="1"/>
  <c r="U207" i="16" s="1"/>
  <c r="U176" i="16"/>
  <c r="AH164" i="16"/>
  <c r="X134" i="16"/>
  <c r="I36" i="15"/>
  <c r="C93" i="15"/>
  <c r="C85" i="15" s="1"/>
  <c r="C69" i="15"/>
  <c r="C29" i="15"/>
  <c r="AA87" i="14"/>
  <c r="AA39" i="14"/>
  <c r="G49" i="16"/>
  <c r="C66" i="16"/>
  <c r="W127" i="16"/>
  <c r="E30" i="16"/>
  <c r="E29" i="16" s="1"/>
  <c r="E29" i="15"/>
  <c r="V241" i="16"/>
  <c r="X241" i="16" s="1"/>
  <c r="V230" i="16"/>
  <c r="V129" i="15"/>
  <c r="V129" i="16" s="1"/>
  <c r="X129" i="16" s="1"/>
  <c r="V70" i="16"/>
  <c r="V50" i="15"/>
  <c r="V38" i="16"/>
  <c r="X38" i="16" s="1"/>
  <c r="D113" i="15"/>
  <c r="D113" i="16" s="1"/>
  <c r="F113" i="16" s="1"/>
  <c r="D103" i="16"/>
  <c r="D96" i="15"/>
  <c r="D96" i="16" s="1"/>
  <c r="D88" i="16"/>
  <c r="F88" i="16" s="1"/>
  <c r="C72" i="13"/>
  <c r="C57" i="14"/>
  <c r="M106" i="14"/>
  <c r="F24" i="14"/>
  <c r="M24" i="14" s="1"/>
  <c r="C78" i="15"/>
  <c r="I118" i="15"/>
  <c r="G117" i="15"/>
  <c r="G43" i="16"/>
  <c r="I42" i="15"/>
  <c r="AR10" i="15" s="1"/>
  <c r="U91" i="16"/>
  <c r="X92" i="16"/>
  <c r="W87" i="16"/>
  <c r="E94" i="16"/>
  <c r="E74" i="16"/>
  <c r="E72" i="16" s="1"/>
  <c r="E72" i="15"/>
  <c r="E61" i="16"/>
  <c r="V66" i="16"/>
  <c r="X66" i="16" s="1"/>
  <c r="U185" i="15"/>
  <c r="U170" i="15" s="1"/>
  <c r="U157" i="15"/>
  <c r="U155" i="15" s="1"/>
  <c r="U91" i="15"/>
  <c r="U44" i="15"/>
  <c r="AI32" i="15"/>
  <c r="X246" i="15"/>
  <c r="X134" i="15"/>
  <c r="X72" i="15"/>
  <c r="F90" i="16"/>
  <c r="AQ13" i="16" s="1"/>
  <c r="AU13" i="16" s="1"/>
  <c r="F106" i="16"/>
  <c r="M106" i="16" s="1"/>
  <c r="AA125" i="15"/>
  <c r="AA98" i="15"/>
  <c r="X36" i="16"/>
  <c r="U35" i="16"/>
  <c r="E49" i="16"/>
  <c r="E48" i="15"/>
  <c r="X59" i="15"/>
  <c r="X72" i="16"/>
  <c r="AH47" i="16"/>
  <c r="AH30" i="16"/>
  <c r="AH26" i="16"/>
  <c r="AH22" i="16"/>
  <c r="G67" i="16"/>
  <c r="C42" i="16"/>
  <c r="W116" i="16"/>
  <c r="E12" i="16"/>
  <c r="V158" i="16"/>
  <c r="D74" i="16"/>
  <c r="D62" i="16"/>
  <c r="F115" i="16"/>
  <c r="F30" i="16"/>
  <c r="X246" i="16"/>
  <c r="X178" i="16"/>
  <c r="AH178" i="16" s="1"/>
  <c r="F116" i="16"/>
  <c r="M116" i="16" s="1"/>
  <c r="AH88" i="16"/>
  <c r="X254" i="16"/>
  <c r="AH254" i="16" s="1"/>
  <c r="X240" i="16"/>
  <c r="AH240" i="16" s="1"/>
  <c r="X202" i="16"/>
  <c r="X179" i="16"/>
  <c r="X161" i="16"/>
  <c r="AJ161" i="16" s="1"/>
  <c r="X117" i="16"/>
  <c r="X79" i="16"/>
  <c r="X67" i="16"/>
  <c r="X52" i="16"/>
  <c r="X37" i="16"/>
  <c r="X31" i="16"/>
  <c r="X27" i="16"/>
  <c r="X23" i="16"/>
  <c r="X18" i="16"/>
  <c r="F112" i="16"/>
  <c r="M112" i="16" s="1"/>
  <c r="F91" i="16"/>
  <c r="X247" i="16"/>
  <c r="AH247" i="16" s="1"/>
  <c r="AH117" i="16"/>
  <c r="X218" i="16"/>
  <c r="AH218" i="16" s="1"/>
  <c r="X191" i="16"/>
  <c r="X186" i="16"/>
  <c r="X166" i="16"/>
  <c r="X151" i="16"/>
  <c r="X136" i="16"/>
  <c r="AH136" i="16" s="1"/>
  <c r="X101" i="16"/>
  <c r="X48" i="16"/>
  <c r="X32" i="16"/>
  <c r="AH32" i="16" s="1"/>
  <c r="X19" i="16"/>
  <c r="F55" i="16"/>
  <c r="F50" i="16"/>
  <c r="F30" i="15"/>
  <c r="X108" i="15"/>
  <c r="X66" i="15"/>
  <c r="AJ66" i="15" s="1"/>
  <c r="X163" i="16"/>
  <c r="X61" i="16"/>
  <c r="AH61" i="16" s="1"/>
  <c r="X54" i="16"/>
  <c r="C78" i="16"/>
  <c r="X128" i="16"/>
  <c r="AH128" i="16" s="1"/>
  <c r="I12" i="6"/>
  <c r="G10" i="6"/>
  <c r="N10" i="20"/>
  <c r="N9" i="20" s="1"/>
  <c r="P10" i="20"/>
  <c r="P9" i="20" s="1"/>
  <c r="K10" i="20"/>
  <c r="R14" i="20"/>
  <c r="R34" i="20"/>
  <c r="J9" i="20"/>
  <c r="G10" i="20"/>
  <c r="R18" i="20"/>
  <c r="R20" i="20"/>
  <c r="R19" i="20"/>
  <c r="R21" i="20"/>
  <c r="M41" i="15"/>
  <c r="N41" i="15"/>
  <c r="BD18" i="7"/>
  <c r="M100" i="11"/>
  <c r="G100" i="12"/>
  <c r="J100" i="12"/>
  <c r="AE130" i="16"/>
  <c r="AG130" i="16" s="1"/>
  <c r="AE21" i="15"/>
  <c r="AE158" i="16"/>
  <c r="AE68" i="16"/>
  <c r="AG68" i="16" s="1"/>
  <c r="AJ68" i="16" s="1"/>
  <c r="AJ68" i="15"/>
  <c r="AJ37" i="15"/>
  <c r="AE37" i="16"/>
  <c r="AJ120" i="15"/>
  <c r="AE120" i="16"/>
  <c r="AG120" i="16" s="1"/>
  <c r="AI200" i="15"/>
  <c r="AB200" i="16"/>
  <c r="AE28" i="15"/>
  <c r="AG28" i="15" s="1"/>
  <c r="AE70" i="16"/>
  <c r="AE121" i="15"/>
  <c r="AG121" i="15" s="1"/>
  <c r="AE159" i="15"/>
  <c r="AE40" i="15"/>
  <c r="AJ40" i="14"/>
  <c r="AE93" i="15"/>
  <c r="AJ93" i="14"/>
  <c r="AE27" i="15"/>
  <c r="AG27" i="15" s="1"/>
  <c r="AJ27" i="14"/>
  <c r="AE41" i="15"/>
  <c r="AG41" i="15" s="1"/>
  <c r="AE133" i="15"/>
  <c r="AE73" i="15"/>
  <c r="AG73" i="15" s="1"/>
  <c r="AJ73" i="14"/>
  <c r="AE115" i="15"/>
  <c r="B13" i="15"/>
  <c r="AJ131" i="15"/>
  <c r="AE131" i="16"/>
  <c r="AG131" i="16" s="1"/>
  <c r="AJ131" i="16" s="1"/>
  <c r="AH252" i="16"/>
  <c r="AI252" i="16"/>
  <c r="AH138" i="16"/>
  <c r="AI138" i="16"/>
  <c r="AJ26" i="14"/>
  <c r="AE26" i="15"/>
  <c r="AG26" i="15" s="1"/>
  <c r="AG127" i="16"/>
  <c r="AJ30" i="14"/>
  <c r="AE30" i="15"/>
  <c r="AG30" i="15" s="1"/>
  <c r="Y53" i="14"/>
  <c r="AE102" i="15"/>
  <c r="AG102" i="15" s="1"/>
  <c r="AJ71" i="14"/>
  <c r="AE71" i="15"/>
  <c r="AE95" i="15"/>
  <c r="AG95" i="15" s="1"/>
  <c r="AB130" i="16"/>
  <c r="AE24" i="16"/>
  <c r="AG24" i="16" s="1"/>
  <c r="AE100" i="15"/>
  <c r="AG100" i="15" s="1"/>
  <c r="AJ163" i="15"/>
  <c r="AE163" i="16"/>
  <c r="AG163" i="16" s="1"/>
  <c r="AE138" i="15"/>
  <c r="AG138" i="15" s="1"/>
  <c r="AJ138" i="14"/>
  <c r="AB217" i="16"/>
  <c r="AE66" i="16"/>
  <c r="AE25" i="15"/>
  <c r="AG25" i="15" s="1"/>
  <c r="AE107" i="15"/>
  <c r="AE51" i="15"/>
  <c r="B116" i="12"/>
  <c r="AC14" i="14"/>
  <c r="R15" i="20"/>
  <c r="Z14" i="14"/>
  <c r="AM12" i="7"/>
  <c r="AL14" i="9"/>
  <c r="Y63" i="5"/>
  <c r="Y12" i="5" s="1"/>
  <c r="Y10" i="5" s="1"/>
  <c r="Y8" i="5" s="1"/>
  <c r="BQ28" i="16"/>
  <c r="Q52" i="20" s="1"/>
  <c r="AF193" i="16"/>
  <c r="AC63" i="10"/>
  <c r="AC170" i="14"/>
  <c r="BQ27" i="16"/>
  <c r="Q51" i="20" s="1"/>
  <c r="AF207" i="16"/>
  <c r="AF207" i="13"/>
  <c r="BQ27" i="13"/>
  <c r="AM110" i="6"/>
  <c r="AL110" i="12"/>
  <c r="AL10" i="12" s="1"/>
  <c r="AL8" i="12" s="1"/>
  <c r="AL14" i="10"/>
  <c r="AL63" i="9"/>
  <c r="AL63" i="6"/>
  <c r="AB63" i="5"/>
  <c r="N78" i="5"/>
  <c r="AX14" i="5"/>
  <c r="AX17" i="5" s="1"/>
  <c r="AF193" i="15"/>
  <c r="AF170" i="10"/>
  <c r="BQ24" i="10" s="1"/>
  <c r="Z14" i="15"/>
  <c r="Z63" i="9"/>
  <c r="Z110" i="9"/>
  <c r="Z170" i="13"/>
  <c r="AM12" i="8"/>
  <c r="AM10" i="8" s="1"/>
  <c r="AM8" i="8" s="1"/>
  <c r="AM63" i="6"/>
  <c r="AM170" i="5"/>
  <c r="AL14" i="13"/>
  <c r="AL12" i="13" s="1"/>
  <c r="AL10" i="13" s="1"/>
  <c r="AL8" i="13" s="1"/>
  <c r="AL14" i="5"/>
  <c r="AL12" i="5" s="1"/>
  <c r="AL10" i="5" s="1"/>
  <c r="AL8" i="5" s="1"/>
  <c r="AB14" i="5"/>
  <c r="AW14" i="5"/>
  <c r="AC14" i="13"/>
  <c r="AM12" i="11"/>
  <c r="AM12" i="5"/>
  <c r="AM10" i="5" s="1"/>
  <c r="AM8" i="5" s="1"/>
  <c r="AE14" i="5"/>
  <c r="AE12" i="5" s="1"/>
  <c r="AE10" i="5" s="1"/>
  <c r="AE8" i="5" s="1"/>
  <c r="AF207" i="15"/>
  <c r="BQ27" i="8"/>
  <c r="AU11" i="15"/>
  <c r="N80" i="10"/>
  <c r="AY11" i="11"/>
  <c r="BE10" i="15"/>
  <c r="BE9" i="15" s="1"/>
  <c r="BE8" i="15" s="1"/>
  <c r="BF13" i="7"/>
  <c r="BF13" i="10" s="1"/>
  <c r="BF13" i="13" s="1"/>
  <c r="BF13" i="16" s="1"/>
  <c r="BF15" i="7"/>
  <c r="BF15" i="10" s="1"/>
  <c r="BF15" i="13" s="1"/>
  <c r="BF15" i="16" s="1"/>
  <c r="AF112" i="10"/>
  <c r="AF112" i="9"/>
  <c r="BF17" i="7"/>
  <c r="BF17" i="10" s="1"/>
  <c r="BF17" i="13" s="1"/>
  <c r="BF17" i="16" s="1"/>
  <c r="AZ13" i="5"/>
  <c r="AZ12" i="5"/>
  <c r="J28" i="5"/>
  <c r="J21" i="5" s="1"/>
  <c r="J19" i="5" s="1"/>
  <c r="J17" i="5" s="1"/>
  <c r="AF145" i="6"/>
  <c r="BQ16" i="6"/>
  <c r="G40" i="20" s="1"/>
  <c r="AJ106" i="6"/>
  <c r="X105" i="6"/>
  <c r="X104" i="6" s="1"/>
  <c r="AH106" i="6"/>
  <c r="AH84" i="6"/>
  <c r="AJ84" i="6"/>
  <c r="N113" i="6"/>
  <c r="N110" i="6"/>
  <c r="M110" i="6"/>
  <c r="M58" i="6"/>
  <c r="N58" i="6"/>
  <c r="M37" i="6"/>
  <c r="N37" i="6"/>
  <c r="W110" i="6"/>
  <c r="AH164" i="8"/>
  <c r="AI164" i="8"/>
  <c r="AJ164" i="8"/>
  <c r="AI160" i="8"/>
  <c r="AJ160" i="8"/>
  <c r="AH85" i="8"/>
  <c r="AI85" i="8"/>
  <c r="AJ85" i="8"/>
  <c r="N109" i="8"/>
  <c r="BR31" i="16"/>
  <c r="AU12" i="10"/>
  <c r="AV12" i="10"/>
  <c r="AV11" i="9"/>
  <c r="AU11" i="9"/>
  <c r="AU13" i="9"/>
  <c r="AV13" i="9"/>
  <c r="AY11" i="6"/>
  <c r="AZ8" i="5"/>
  <c r="AU12" i="5"/>
  <c r="AV12" i="5"/>
  <c r="AV13" i="5"/>
  <c r="AU13" i="5"/>
  <c r="BE10" i="7"/>
  <c r="BE9" i="7" s="1"/>
  <c r="BE10" i="12"/>
  <c r="BE9" i="12" s="1"/>
  <c r="BE8" i="12" s="1"/>
  <c r="BE10" i="16"/>
  <c r="AW22" i="5"/>
  <c r="AY22" i="5" s="1"/>
  <c r="BE10" i="5"/>
  <c r="AY11" i="5"/>
  <c r="AM14" i="16"/>
  <c r="AM12" i="16" s="1"/>
  <c r="AM10" i="16" s="1"/>
  <c r="AM8" i="16" s="1"/>
  <c r="BQ12" i="16"/>
  <c r="Q36" i="20" s="1"/>
  <c r="Q33" i="20" s="1"/>
  <c r="BQ12" i="8"/>
  <c r="I36" i="20" s="1"/>
  <c r="I33" i="20" s="1"/>
  <c r="V145" i="5"/>
  <c r="V110" i="5" s="1"/>
  <c r="AI185" i="5"/>
  <c r="M28" i="5"/>
  <c r="AH244" i="6"/>
  <c r="AI148" i="6"/>
  <c r="AJ148" i="6"/>
  <c r="AI55" i="6"/>
  <c r="AJ55" i="6"/>
  <c r="M115" i="6"/>
  <c r="N115" i="6"/>
  <c r="N109" i="6"/>
  <c r="M109" i="6"/>
  <c r="F35" i="6"/>
  <c r="N36" i="6"/>
  <c r="M36" i="6"/>
  <c r="AI247" i="8"/>
  <c r="AJ247" i="8"/>
  <c r="AH247" i="8"/>
  <c r="AH163" i="8"/>
  <c r="AI163" i="8"/>
  <c r="AJ163" i="8"/>
  <c r="AH159" i="8"/>
  <c r="AI159" i="8"/>
  <c r="AJ159" i="8"/>
  <c r="AH37" i="8"/>
  <c r="AI37" i="8"/>
  <c r="AJ37" i="8"/>
  <c r="M106" i="8"/>
  <c r="N106" i="8"/>
  <c r="AZ7" i="5"/>
  <c r="AV13" i="15"/>
  <c r="AU13" i="15"/>
  <c r="AZ11" i="11"/>
  <c r="BE10" i="9"/>
  <c r="BE9" i="9" s="1"/>
  <c r="BE8" i="9" s="1"/>
  <c r="BE10" i="13"/>
  <c r="BE10" i="6"/>
  <c r="BE9" i="6" s="1"/>
  <c r="AF112" i="15"/>
  <c r="AF110" i="15" s="1"/>
  <c r="AZ11" i="5"/>
  <c r="BF21" i="7"/>
  <c r="BF21" i="10" s="1"/>
  <c r="BF21" i="13" s="1"/>
  <c r="BF21" i="16" s="1"/>
  <c r="AY13" i="5"/>
  <c r="AY12" i="5"/>
  <c r="G28" i="5"/>
  <c r="G21" i="5" s="1"/>
  <c r="G19" i="5" s="1"/>
  <c r="G17" i="5" s="1"/>
  <c r="V14" i="5"/>
  <c r="V12" i="5" s="1"/>
  <c r="AJ147" i="5"/>
  <c r="AJ204" i="6"/>
  <c r="AJ203" i="6" s="1"/>
  <c r="AH204" i="6"/>
  <c r="AH203" i="6" s="1"/>
  <c r="X203" i="6"/>
  <c r="AJ174" i="6"/>
  <c r="AH174" i="6"/>
  <c r="AI174" i="6"/>
  <c r="AI151" i="6"/>
  <c r="AJ151" i="6"/>
  <c r="M106" i="6"/>
  <c r="N106" i="6"/>
  <c r="F45" i="6"/>
  <c r="M46" i="6"/>
  <c r="N46" i="6"/>
  <c r="N31" i="6"/>
  <c r="M31" i="6"/>
  <c r="AH186" i="8"/>
  <c r="AI186" i="8"/>
  <c r="AH162" i="8"/>
  <c r="X157" i="8"/>
  <c r="X155" i="8" s="1"/>
  <c r="AH158" i="8"/>
  <c r="AI158" i="8"/>
  <c r="AJ158" i="8"/>
  <c r="AH39" i="8"/>
  <c r="AJ39" i="8"/>
  <c r="M56" i="8"/>
  <c r="N56" i="8"/>
  <c r="M52" i="8"/>
  <c r="M51" i="8" s="1"/>
  <c r="N52" i="8"/>
  <c r="F51" i="8"/>
  <c r="M41" i="8"/>
  <c r="N41" i="8"/>
  <c r="AV13" i="10"/>
  <c r="AU13" i="10"/>
  <c r="C16" i="20"/>
  <c r="BQ12" i="11"/>
  <c r="L36" i="20" s="1"/>
  <c r="L33" i="20" s="1"/>
  <c r="W145" i="5"/>
  <c r="X172" i="6"/>
  <c r="AH173" i="6"/>
  <c r="AI173" i="6"/>
  <c r="AJ173" i="6"/>
  <c r="M111" i="6"/>
  <c r="M77" i="6"/>
  <c r="N77" i="6"/>
  <c r="N55" i="6"/>
  <c r="N54" i="6" s="1"/>
  <c r="M55" i="6"/>
  <c r="M54" i="6" s="1"/>
  <c r="F54" i="6"/>
  <c r="M44" i="6"/>
  <c r="N44" i="6"/>
  <c r="BC13" i="6"/>
  <c r="M30" i="6"/>
  <c r="F29" i="6"/>
  <c r="N30" i="6"/>
  <c r="N29" i="6" s="1"/>
  <c r="AH189" i="8"/>
  <c r="AH161" i="8"/>
  <c r="AI161" i="8"/>
  <c r="AJ161" i="8"/>
  <c r="AI156" i="8"/>
  <c r="AJ156" i="8"/>
  <c r="BN18" i="8"/>
  <c r="F54" i="8"/>
  <c r="N55" i="8"/>
  <c r="M37" i="8"/>
  <c r="Q28" i="16"/>
  <c r="Q21" i="16" s="1"/>
  <c r="Q19" i="16" s="1"/>
  <c r="Q17" i="16" s="1"/>
  <c r="K28" i="5"/>
  <c r="K21" i="5" s="1"/>
  <c r="K19" i="5" s="1"/>
  <c r="K17" i="5" s="1"/>
  <c r="L28" i="6"/>
  <c r="K28" i="6"/>
  <c r="K21" i="6" s="1"/>
  <c r="K19" i="6" s="1"/>
  <c r="K17" i="6" s="1"/>
  <c r="D28" i="6"/>
  <c r="F10" i="9"/>
  <c r="AC145" i="7"/>
  <c r="AH148" i="7"/>
  <c r="AI148" i="7"/>
  <c r="AJ148" i="7"/>
  <c r="AH138" i="7"/>
  <c r="AI138" i="7"/>
  <c r="AJ138" i="7"/>
  <c r="AJ88" i="7"/>
  <c r="AJ85" i="7"/>
  <c r="AJ51" i="7"/>
  <c r="AH51" i="7"/>
  <c r="AI51" i="7"/>
  <c r="AH32" i="7"/>
  <c r="AI32" i="7"/>
  <c r="AJ32" i="7"/>
  <c r="AJ26" i="7"/>
  <c r="M97" i="7"/>
  <c r="N97" i="7"/>
  <c r="F93" i="7"/>
  <c r="M62" i="7"/>
  <c r="M14" i="7"/>
  <c r="AH188" i="10"/>
  <c r="AH131" i="10"/>
  <c r="AI131" i="10"/>
  <c r="AJ131" i="10"/>
  <c r="AI68" i="10"/>
  <c r="AI61" i="10"/>
  <c r="F51" i="10"/>
  <c r="M52" i="10"/>
  <c r="M51" i="10" s="1"/>
  <c r="N52" i="10"/>
  <c r="F35" i="10"/>
  <c r="M15" i="10"/>
  <c r="AH254" i="11"/>
  <c r="AI254" i="11"/>
  <c r="AH198" i="11"/>
  <c r="AI180" i="11"/>
  <c r="AH180" i="11"/>
  <c r="AI119" i="11"/>
  <c r="AH119" i="11"/>
  <c r="AJ119" i="11"/>
  <c r="AH68" i="11"/>
  <c r="AI68" i="11"/>
  <c r="AJ68" i="11"/>
  <c r="AI28" i="11"/>
  <c r="AJ28" i="11"/>
  <c r="AH28" i="11"/>
  <c r="F42" i="11"/>
  <c r="AH238" i="12"/>
  <c r="AI238" i="12"/>
  <c r="AH164" i="13"/>
  <c r="AJ164" i="13"/>
  <c r="AI161" i="13"/>
  <c r="AH164" i="14"/>
  <c r="M44" i="14"/>
  <c r="N44" i="14"/>
  <c r="AH27" i="15"/>
  <c r="AI27" i="15"/>
  <c r="AH18" i="15"/>
  <c r="AI18" i="15"/>
  <c r="AE253" i="8"/>
  <c r="AG253" i="8" s="1"/>
  <c r="AJ253" i="7"/>
  <c r="AE250" i="8"/>
  <c r="AG250" i="8" s="1"/>
  <c r="AJ250" i="7"/>
  <c r="AE236" i="8"/>
  <c r="AJ236" i="7"/>
  <c r="AE230" i="11"/>
  <c r="AG230" i="11" s="1"/>
  <c r="AJ230" i="10"/>
  <c r="AE214" i="8"/>
  <c r="AG214" i="8" s="1"/>
  <c r="AJ214" i="7"/>
  <c r="AE203" i="7"/>
  <c r="AG204" i="7"/>
  <c r="AG196" i="7"/>
  <c r="AJ188" i="7"/>
  <c r="AE188" i="8"/>
  <c r="AG186" i="7"/>
  <c r="P28" i="8"/>
  <c r="P21" i="8" s="1"/>
  <c r="P19" i="8" s="1"/>
  <c r="P17" i="8" s="1"/>
  <c r="P28" i="9"/>
  <c r="P21" i="9" s="1"/>
  <c r="P19" i="9" s="1"/>
  <c r="P17" i="9" s="1"/>
  <c r="P28" i="12"/>
  <c r="P21" i="12" s="1"/>
  <c r="P19" i="12" s="1"/>
  <c r="P17" i="12" s="1"/>
  <c r="Q28" i="12"/>
  <c r="Q21" i="12" s="1"/>
  <c r="Q19" i="12" s="1"/>
  <c r="Q17" i="12" s="1"/>
  <c r="Q28" i="13"/>
  <c r="Q21" i="13" s="1"/>
  <c r="Q19" i="13" s="1"/>
  <c r="Q17" i="13" s="1"/>
  <c r="Q28" i="14"/>
  <c r="Q21" i="14" s="1"/>
  <c r="Q19" i="14" s="1"/>
  <c r="Q17" i="14" s="1"/>
  <c r="H28" i="15"/>
  <c r="H21" i="15" s="1"/>
  <c r="H19" i="15" s="1"/>
  <c r="H17" i="15" s="1"/>
  <c r="AV13" i="13"/>
  <c r="AU13" i="13"/>
  <c r="P28" i="6"/>
  <c r="P21" i="6" s="1"/>
  <c r="P19" i="6" s="1"/>
  <c r="P17" i="6" s="1"/>
  <c r="H28" i="6"/>
  <c r="H21" i="6" s="1"/>
  <c r="H19" i="6" s="1"/>
  <c r="H17" i="6" s="1"/>
  <c r="E28" i="6"/>
  <c r="E21" i="6" s="1"/>
  <c r="E19" i="6" s="1"/>
  <c r="E17" i="6" s="1"/>
  <c r="AC63" i="7"/>
  <c r="AH173" i="7"/>
  <c r="AI173" i="7"/>
  <c r="AJ173" i="7"/>
  <c r="AH93" i="7"/>
  <c r="AI93" i="7"/>
  <c r="X91" i="7"/>
  <c r="AJ93" i="7"/>
  <c r="AH53" i="7"/>
  <c r="AI53" i="7"/>
  <c r="AJ53" i="7"/>
  <c r="X49" i="7"/>
  <c r="AJ50" i="7"/>
  <c r="X35" i="7"/>
  <c r="AH36" i="7"/>
  <c r="AI36" i="7"/>
  <c r="AJ36" i="7"/>
  <c r="AJ28" i="7"/>
  <c r="AH28" i="7"/>
  <c r="AI28" i="7"/>
  <c r="AJ19" i="7"/>
  <c r="AH19" i="7"/>
  <c r="AI19" i="7"/>
  <c r="C19" i="20"/>
  <c r="M96" i="7"/>
  <c r="N58" i="7"/>
  <c r="N57" i="7" s="1"/>
  <c r="M58" i="7"/>
  <c r="N23" i="7"/>
  <c r="N22" i="7" s="1"/>
  <c r="F22" i="7"/>
  <c r="AH130" i="10"/>
  <c r="AI130" i="10"/>
  <c r="AJ130" i="10"/>
  <c r="AH67" i="10"/>
  <c r="AI55" i="10"/>
  <c r="M47" i="10"/>
  <c r="N47" i="10"/>
  <c r="AI249" i="11"/>
  <c r="AI230" i="11"/>
  <c r="AI189" i="11"/>
  <c r="AH189" i="11"/>
  <c r="AH136" i="11"/>
  <c r="AI101" i="11"/>
  <c r="AJ101" i="11"/>
  <c r="AH93" i="11"/>
  <c r="AJ93" i="11"/>
  <c r="AI93" i="11"/>
  <c r="AH80" i="11"/>
  <c r="AI80" i="11"/>
  <c r="AJ80" i="11"/>
  <c r="AH32" i="11"/>
  <c r="AJ32" i="11"/>
  <c r="AI32" i="11"/>
  <c r="AJ25" i="11"/>
  <c r="AH25" i="11"/>
  <c r="N47" i="11"/>
  <c r="M103" i="12"/>
  <c r="N103" i="12"/>
  <c r="AH152" i="13"/>
  <c r="AI136" i="13"/>
  <c r="AH136" i="13"/>
  <c r="AH36" i="13"/>
  <c r="AI36" i="13"/>
  <c r="AH254" i="14"/>
  <c r="AI254" i="14"/>
  <c r="AI240" i="14"/>
  <c r="AH240" i="14"/>
  <c r="AI166" i="14"/>
  <c r="AI163" i="14"/>
  <c r="AH163" i="14"/>
  <c r="F35" i="14"/>
  <c r="M36" i="14"/>
  <c r="N36" i="14"/>
  <c r="AI85" i="15"/>
  <c r="AH85" i="15"/>
  <c r="AE256" i="8"/>
  <c r="AG256" i="8" s="1"/>
  <c r="AE255" i="8"/>
  <c r="AG255" i="8" s="1"/>
  <c r="AJ255" i="7"/>
  <c r="AJ248" i="7"/>
  <c r="AE248" i="8"/>
  <c r="AG248" i="8" s="1"/>
  <c r="AE247" i="11"/>
  <c r="AG247" i="11" s="1"/>
  <c r="AJ239" i="7"/>
  <c r="AE239" i="8"/>
  <c r="AG239" i="8" s="1"/>
  <c r="AJ238" i="7"/>
  <c r="AE238" i="8"/>
  <c r="AG238" i="8" s="1"/>
  <c r="AG229" i="7"/>
  <c r="AG227" i="7" s="1"/>
  <c r="AE227" i="7"/>
  <c r="AJ217" i="7"/>
  <c r="AE217" i="8"/>
  <c r="AG217" i="8" s="1"/>
  <c r="AE216" i="8"/>
  <c r="AG216" i="8" s="1"/>
  <c r="AJ216" i="7"/>
  <c r="AE205" i="8"/>
  <c r="AG205" i="8" s="1"/>
  <c r="AE205" i="9" s="1"/>
  <c r="AG205" i="9" s="1"/>
  <c r="AJ205" i="7"/>
  <c r="AE202" i="8"/>
  <c r="AG202" i="8" s="1"/>
  <c r="AJ202" i="7"/>
  <c r="AE197" i="8"/>
  <c r="AG197" i="8" s="1"/>
  <c r="AJ197" i="7"/>
  <c r="AJ191" i="7"/>
  <c r="AE191" i="8"/>
  <c r="AG191" i="8" s="1"/>
  <c r="AE190" i="8"/>
  <c r="AG190" i="8" s="1"/>
  <c r="AJ190" i="7"/>
  <c r="AE182" i="8"/>
  <c r="AG182" i="8" s="1"/>
  <c r="AJ182" i="7"/>
  <c r="AG181" i="7"/>
  <c r="Q28" i="8"/>
  <c r="Q21" i="8" s="1"/>
  <c r="Q19" i="8" s="1"/>
  <c r="Q17" i="8" s="1"/>
  <c r="Q28" i="9"/>
  <c r="Q21" i="9" s="1"/>
  <c r="Q19" i="9" s="1"/>
  <c r="Q17" i="9" s="1"/>
  <c r="Q28" i="10"/>
  <c r="Q21" i="10" s="1"/>
  <c r="Q19" i="10" s="1"/>
  <c r="Q17" i="10" s="1"/>
  <c r="K85" i="13"/>
  <c r="K28" i="14"/>
  <c r="K21" i="14" s="1"/>
  <c r="K28" i="16"/>
  <c r="K21" i="16" s="1"/>
  <c r="AU13" i="12"/>
  <c r="AV13" i="12"/>
  <c r="AV13" i="14"/>
  <c r="AU13" i="14"/>
  <c r="G28" i="6"/>
  <c r="AV13" i="6"/>
  <c r="AU13" i="6"/>
  <c r="AH247" i="7"/>
  <c r="AI247" i="7"/>
  <c r="AJ247" i="7"/>
  <c r="AI95" i="7"/>
  <c r="AJ95" i="7"/>
  <c r="AH95" i="7"/>
  <c r="AH38" i="7"/>
  <c r="AI38" i="7"/>
  <c r="AJ22" i="7"/>
  <c r="AH22" i="7"/>
  <c r="AI22" i="7"/>
  <c r="N50" i="7"/>
  <c r="F48" i="7"/>
  <c r="AI190" i="10"/>
  <c r="AH190" i="10"/>
  <c r="AH152" i="10"/>
  <c r="AJ152" i="10"/>
  <c r="AJ37" i="10"/>
  <c r="AH37" i="10"/>
  <c r="AI37" i="10"/>
  <c r="N83" i="10"/>
  <c r="N81" i="10" s="1"/>
  <c r="F81" i="10"/>
  <c r="M13" i="10"/>
  <c r="AI225" i="11"/>
  <c r="AH225" i="11"/>
  <c r="X222" i="11"/>
  <c r="AH205" i="11"/>
  <c r="AH202" i="11"/>
  <c r="AI202" i="11"/>
  <c r="AI163" i="11"/>
  <c r="AH163" i="11"/>
  <c r="AJ163" i="11"/>
  <c r="AH133" i="11"/>
  <c r="AJ133" i="11"/>
  <c r="AI133" i="11"/>
  <c r="AH48" i="11"/>
  <c r="AI48" i="11"/>
  <c r="AJ48" i="11"/>
  <c r="AH22" i="11"/>
  <c r="AJ22" i="11"/>
  <c r="AJ19" i="11"/>
  <c r="M106" i="11"/>
  <c r="N106" i="11"/>
  <c r="N27" i="11"/>
  <c r="M27" i="11"/>
  <c r="AH247" i="13"/>
  <c r="AI247" i="13"/>
  <c r="AH198" i="13"/>
  <c r="AI156" i="13"/>
  <c r="AH135" i="13"/>
  <c r="AH38" i="13"/>
  <c r="AI38" i="13"/>
  <c r="AI202" i="14"/>
  <c r="AH202" i="14"/>
  <c r="AH139" i="14"/>
  <c r="AI139" i="14"/>
  <c r="AH18" i="14"/>
  <c r="AI18" i="14"/>
  <c r="M43" i="15"/>
  <c r="M42" i="15" s="1"/>
  <c r="AH68"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J200" i="7"/>
  <c r="AE200" i="8"/>
  <c r="AG200" i="8" s="1"/>
  <c r="AJ199" i="7"/>
  <c r="AE199" i="8"/>
  <c r="AG199" i="8" s="1"/>
  <c r="AG189" i="7"/>
  <c r="AE187" i="7"/>
  <c r="AE185" i="7" s="1"/>
  <c r="AE180" i="11"/>
  <c r="AJ180" i="10"/>
  <c r="K28" i="8"/>
  <c r="K21" i="8" s="1"/>
  <c r="K19" i="8" s="1"/>
  <c r="K17" i="8" s="1"/>
  <c r="H28" i="9"/>
  <c r="H21" i="9" s="1"/>
  <c r="H19" i="9" s="1"/>
  <c r="H17" i="9" s="1"/>
  <c r="K85" i="11"/>
  <c r="K28" i="12"/>
  <c r="K21" i="12" s="1"/>
  <c r="K19" i="12" s="1"/>
  <c r="K17" i="12" s="1"/>
  <c r="P28" i="15"/>
  <c r="P21" i="15" s="1"/>
  <c r="P19" i="15" s="1"/>
  <c r="P17" i="15" s="1"/>
  <c r="P28" i="16"/>
  <c r="P21" i="16" s="1"/>
  <c r="P19" i="16" s="1"/>
  <c r="P17" i="16" s="1"/>
  <c r="AU12" i="6"/>
  <c r="AV12" i="6"/>
  <c r="AV12" i="8"/>
  <c r="AU12" i="8"/>
  <c r="E28" i="5"/>
  <c r="E21" i="5" s="1"/>
  <c r="E19" i="5" s="1"/>
  <c r="E17" i="5" s="1"/>
  <c r="Q28" i="5"/>
  <c r="Q21" i="5" s="1"/>
  <c r="Q19" i="5" s="1"/>
  <c r="Q17" i="5" s="1"/>
  <c r="BC13" i="5"/>
  <c r="Q28" i="6"/>
  <c r="Q21" i="6" s="1"/>
  <c r="Q19" i="6" s="1"/>
  <c r="Q17" i="6" s="1"/>
  <c r="E28" i="8"/>
  <c r="AJ249" i="7"/>
  <c r="AH249" i="7"/>
  <c r="AI249" i="7"/>
  <c r="AJ223" i="7"/>
  <c r="X222" i="7"/>
  <c r="AH223" i="7"/>
  <c r="AH222" i="7" s="1"/>
  <c r="AI223" i="7"/>
  <c r="AJ139" i="7"/>
  <c r="AH139" i="7"/>
  <c r="AI139" i="7"/>
  <c r="AH86" i="7"/>
  <c r="AI86" i="7"/>
  <c r="AJ86" i="7"/>
  <c r="AJ40" i="7"/>
  <c r="AH40" i="7"/>
  <c r="AI40" i="7"/>
  <c r="AJ30" i="7"/>
  <c r="AH30" i="7"/>
  <c r="AI30" i="7"/>
  <c r="AH24" i="7"/>
  <c r="AI189" i="10"/>
  <c r="AI168" i="10"/>
  <c r="AI132" i="10"/>
  <c r="AH132" i="10"/>
  <c r="AJ102" i="10"/>
  <c r="AJ39" i="10"/>
  <c r="AH39" i="10"/>
  <c r="M37" i="10"/>
  <c r="AH199" i="11"/>
  <c r="AI70" i="11"/>
  <c r="AJ70" i="11"/>
  <c r="AI40" i="11"/>
  <c r="AH40" i="11"/>
  <c r="AJ40" i="11"/>
  <c r="N44" i="11"/>
  <c r="M44" i="11"/>
  <c r="M15" i="11"/>
  <c r="M116" i="12"/>
  <c r="AI254" i="13"/>
  <c r="AH254" i="13"/>
  <c r="AH180" i="13"/>
  <c r="AI180" i="13"/>
  <c r="AI138" i="13"/>
  <c r="AH138" i="13"/>
  <c r="AI52" i="13"/>
  <c r="AH52" i="13"/>
  <c r="AI32" i="13"/>
  <c r="AH32" i="13"/>
  <c r="M15" i="13"/>
  <c r="AH201" i="14"/>
  <c r="AI201" i="14"/>
  <c r="AH178" i="14"/>
  <c r="AH40" i="14"/>
  <c r="AI40" i="14"/>
  <c r="AH37" i="14"/>
  <c r="AH135" i="15"/>
  <c r="AI71" i="15"/>
  <c r="AH71" i="15"/>
  <c r="AJ252" i="7"/>
  <c r="AE252" i="8"/>
  <c r="AG252" i="8" s="1"/>
  <c r="AE251" i="8"/>
  <c r="AG251" i="8" s="1"/>
  <c r="AG244" i="7"/>
  <c r="AJ228" i="7"/>
  <c r="AE228" i="8"/>
  <c r="AE225" i="8"/>
  <c r="AG225" i="8" s="1"/>
  <c r="AJ225" i="7"/>
  <c r="AG212" i="7"/>
  <c r="AE201" i="8"/>
  <c r="AG201" i="8" s="1"/>
  <c r="AJ201" i="7"/>
  <c r="H28" i="7"/>
  <c r="H21" i="7" s="1"/>
  <c r="H19" i="7" s="1"/>
  <c r="H17" i="7" s="1"/>
  <c r="C28" i="16"/>
  <c r="D28" i="9"/>
  <c r="D28" i="7"/>
  <c r="AS13" i="6"/>
  <c r="J90" i="7"/>
  <c r="G101" i="8"/>
  <c r="G102" i="8"/>
  <c r="I102" i="8" s="1"/>
  <c r="G86" i="7"/>
  <c r="G90" i="7"/>
  <c r="I90" i="7" s="1"/>
  <c r="BD13" i="6"/>
  <c r="G30" i="7"/>
  <c r="X256" i="16"/>
  <c r="X215" i="16"/>
  <c r="X205" i="16"/>
  <c r="BD19" i="5"/>
  <c r="BD13" i="5"/>
  <c r="X156" i="16"/>
  <c r="X121" i="16"/>
  <c r="X139" i="16"/>
  <c r="X135" i="16"/>
  <c r="X120" i="16"/>
  <c r="X152" i="16"/>
  <c r="X125" i="16"/>
  <c r="X119" i="16"/>
  <c r="K19" i="13" l="1"/>
  <c r="K17" i="13" s="1"/>
  <c r="AY8" i="7"/>
  <c r="C28" i="6"/>
  <c r="BR30" i="16"/>
  <c r="Z110" i="15"/>
  <c r="AF12" i="16"/>
  <c r="J12" i="7"/>
  <c r="L12" i="7" s="1"/>
  <c r="N12" i="6"/>
  <c r="J13" i="8"/>
  <c r="L13" i="8" s="1"/>
  <c r="N13" i="7"/>
  <c r="AF193" i="7"/>
  <c r="BQ28" i="7"/>
  <c r="N26" i="8"/>
  <c r="M26" i="8"/>
  <c r="F60" i="8"/>
  <c r="N61" i="8"/>
  <c r="N68" i="8"/>
  <c r="N66" i="8" s="1"/>
  <c r="F66" i="8"/>
  <c r="AD207" i="6"/>
  <c r="AR29" i="6" s="1"/>
  <c r="AW29" i="6" s="1"/>
  <c r="BP27" i="6"/>
  <c r="G82" i="9"/>
  <c r="I82" i="9" s="1"/>
  <c r="M82" i="8"/>
  <c r="AH139" i="12"/>
  <c r="U43" i="16"/>
  <c r="X29" i="15"/>
  <c r="AJ29" i="15" s="1"/>
  <c r="F111" i="15"/>
  <c r="N14" i="6"/>
  <c r="AI85" i="14"/>
  <c r="F28" i="8"/>
  <c r="AI131" i="15"/>
  <c r="AI180" i="16"/>
  <c r="M111" i="10"/>
  <c r="U194" i="10"/>
  <c r="U193" i="10" s="1"/>
  <c r="X172" i="7"/>
  <c r="V63" i="6"/>
  <c r="V12" i="6" s="1"/>
  <c r="C28" i="15"/>
  <c r="AJ94" i="8"/>
  <c r="V14" i="7"/>
  <c r="P39" i="20"/>
  <c r="Z110" i="16"/>
  <c r="AC12" i="16"/>
  <c r="Z12" i="16"/>
  <c r="BQ13" i="16"/>
  <c r="Q37" i="20" s="1"/>
  <c r="Q32" i="20" s="1"/>
  <c r="K19" i="16"/>
  <c r="K17" i="16" s="1"/>
  <c r="K8" i="16" s="1"/>
  <c r="AF10" i="16"/>
  <c r="AF8" i="16" s="1"/>
  <c r="AC110" i="16"/>
  <c r="F42" i="15"/>
  <c r="AQ10" i="15" s="1"/>
  <c r="AC110" i="15"/>
  <c r="Z12" i="15"/>
  <c r="BQ15" i="15"/>
  <c r="BK10" i="15" s="1"/>
  <c r="AC12" i="15"/>
  <c r="K19" i="14"/>
  <c r="K17" i="14" s="1"/>
  <c r="O10" i="20"/>
  <c r="O9" i="20" s="1"/>
  <c r="BQ22" i="14"/>
  <c r="BK11" i="14" s="1"/>
  <c r="AC110" i="14"/>
  <c r="AC12" i="14"/>
  <c r="Z12" i="14"/>
  <c r="Z10" i="14" s="1"/>
  <c r="Z258" i="14" s="1"/>
  <c r="Y58" i="16"/>
  <c r="Y57" i="16" s="1"/>
  <c r="AA58" i="15"/>
  <c r="AA57" i="15" s="1"/>
  <c r="AA58" i="14"/>
  <c r="AA57" i="14" s="1"/>
  <c r="AH198" i="16"/>
  <c r="AM110" i="14"/>
  <c r="AM10" i="14" s="1"/>
  <c r="AM8" i="14" s="1"/>
  <c r="AJ70" i="15"/>
  <c r="AH213" i="8"/>
  <c r="AI213" i="8"/>
  <c r="N73" i="8"/>
  <c r="M73" i="8"/>
  <c r="F72" i="8"/>
  <c r="AI25" i="13"/>
  <c r="AJ25" i="13"/>
  <c r="AH68" i="12"/>
  <c r="AJ68" i="12"/>
  <c r="AI68" i="12"/>
  <c r="N82" i="12"/>
  <c r="AH201" i="15"/>
  <c r="AI201" i="15"/>
  <c r="F81" i="7"/>
  <c r="N82" i="7"/>
  <c r="N81" i="7" s="1"/>
  <c r="M82" i="7"/>
  <c r="M81" i="7" s="1"/>
  <c r="M115" i="7"/>
  <c r="N115" i="7"/>
  <c r="AH129" i="7"/>
  <c r="AI129" i="7"/>
  <c r="AH182" i="12"/>
  <c r="AI182" i="12"/>
  <c r="AI216" i="12"/>
  <c r="AH216" i="12"/>
  <c r="N53" i="6"/>
  <c r="N51" i="6" s="1"/>
  <c r="M53" i="6"/>
  <c r="N52" i="12"/>
  <c r="M52" i="12"/>
  <c r="J46" i="10"/>
  <c r="L45" i="9"/>
  <c r="J67" i="10"/>
  <c r="L66" i="9"/>
  <c r="N67" i="9"/>
  <c r="D14" i="11"/>
  <c r="D10" i="10"/>
  <c r="D33" i="11"/>
  <c r="D32" i="10"/>
  <c r="D28" i="10" s="1"/>
  <c r="AB223" i="13"/>
  <c r="AD222" i="12"/>
  <c r="AD236" i="8"/>
  <c r="AB235" i="8"/>
  <c r="V94" i="9"/>
  <c r="V91" i="8"/>
  <c r="V90" i="8" s="1"/>
  <c r="V189" i="13"/>
  <c r="V187" i="12"/>
  <c r="V185" i="12" s="1"/>
  <c r="V224" i="14"/>
  <c r="X224" i="13"/>
  <c r="AI224" i="13" s="1"/>
  <c r="V245" i="9"/>
  <c r="V243" i="8"/>
  <c r="V234" i="8" s="1"/>
  <c r="V232" i="8" s="1"/>
  <c r="E27" i="12"/>
  <c r="E25" i="11"/>
  <c r="E46" i="9"/>
  <c r="E45" i="8"/>
  <c r="E58" i="12"/>
  <c r="E57" i="11"/>
  <c r="E76" i="9"/>
  <c r="E75" i="8"/>
  <c r="E96" i="12"/>
  <c r="E93" i="11"/>
  <c r="E85" i="11" s="1"/>
  <c r="W46" i="12"/>
  <c r="W44" i="11"/>
  <c r="W115" i="9"/>
  <c r="W114" i="8"/>
  <c r="W112" i="8" s="1"/>
  <c r="W189" i="12"/>
  <c r="W187" i="11"/>
  <c r="W185" i="11" s="1"/>
  <c r="W230" i="12"/>
  <c r="W227" i="11"/>
  <c r="W220" i="11" s="1"/>
  <c r="G37" i="11"/>
  <c r="I35" i="10"/>
  <c r="AB234" i="8"/>
  <c r="AB232" i="8" s="1"/>
  <c r="AI102" i="10"/>
  <c r="AJ136" i="11"/>
  <c r="M14" i="10"/>
  <c r="N111" i="10"/>
  <c r="AI188" i="10"/>
  <c r="F85" i="7"/>
  <c r="AI45" i="7"/>
  <c r="AH245" i="8"/>
  <c r="AJ60" i="11"/>
  <c r="U220" i="11"/>
  <c r="AH88" i="10"/>
  <c r="AI183" i="9"/>
  <c r="X229" i="11"/>
  <c r="X227" i="11" s="1"/>
  <c r="X220" i="11" s="1"/>
  <c r="BN30" i="11" s="1"/>
  <c r="BH14" i="11" s="1"/>
  <c r="X69" i="7"/>
  <c r="M32" i="9"/>
  <c r="U170" i="8"/>
  <c r="X211" i="7"/>
  <c r="X210" i="7" s="1"/>
  <c r="X209" i="7" s="1"/>
  <c r="F10" i="6"/>
  <c r="AJ137" i="14"/>
  <c r="M43" i="9"/>
  <c r="AI17" i="7"/>
  <c r="AH21" i="12"/>
  <c r="AJ66" i="12"/>
  <c r="AI94" i="8"/>
  <c r="AH115" i="7"/>
  <c r="X123" i="9"/>
  <c r="AH139" i="10"/>
  <c r="X25" i="15"/>
  <c r="X29" i="14"/>
  <c r="AJ29" i="14" s="1"/>
  <c r="AY11" i="7"/>
  <c r="AH119" i="14"/>
  <c r="AI213" i="7"/>
  <c r="BC11" i="8"/>
  <c r="AI237" i="6"/>
  <c r="AI256" i="15"/>
  <c r="AJ179" i="8"/>
  <c r="AE170" i="6"/>
  <c r="AH66" i="12"/>
  <c r="AJ80" i="7"/>
  <c r="AI80" i="7"/>
  <c r="AU11" i="13"/>
  <c r="AY11" i="13"/>
  <c r="AV11" i="13"/>
  <c r="AH136" i="12"/>
  <c r="AJ136" i="12"/>
  <c r="AI136" i="12"/>
  <c r="N106" i="7"/>
  <c r="M106" i="7"/>
  <c r="AI125" i="7"/>
  <c r="AJ125" i="7"/>
  <c r="AH125" i="7"/>
  <c r="N41" i="6"/>
  <c r="M41" i="6"/>
  <c r="AJ256" i="7"/>
  <c r="AH179" i="11"/>
  <c r="D21" i="6"/>
  <c r="D19" i="6" s="1"/>
  <c r="D17" i="6" s="1"/>
  <c r="AJ172" i="6"/>
  <c r="M111" i="8"/>
  <c r="AE119" i="16"/>
  <c r="AG119" i="16" s="1"/>
  <c r="AH201" i="16"/>
  <c r="M103" i="15"/>
  <c r="F32" i="7"/>
  <c r="F42" i="9"/>
  <c r="AQ10" i="9" s="1"/>
  <c r="AU10" i="9" s="1"/>
  <c r="X235" i="10"/>
  <c r="F109" i="10"/>
  <c r="BC20" i="10" s="1"/>
  <c r="X157" i="7"/>
  <c r="AI256" i="9"/>
  <c r="BC20" i="6"/>
  <c r="AJ98" i="14"/>
  <c r="AE48" i="16"/>
  <c r="AG48" i="16" s="1"/>
  <c r="AJ48" i="16" s="1"/>
  <c r="M14" i="6"/>
  <c r="AJ81" i="6"/>
  <c r="BC13" i="7"/>
  <c r="N43" i="9"/>
  <c r="F60" i="7"/>
  <c r="AR22" i="6"/>
  <c r="AW22" i="6" s="1"/>
  <c r="AJ17" i="7"/>
  <c r="AJ21" i="12"/>
  <c r="X58" i="11"/>
  <c r="X57" i="11" s="1"/>
  <c r="AI88" i="10"/>
  <c r="AI52" i="14"/>
  <c r="H10" i="20"/>
  <c r="AI119" i="14"/>
  <c r="AH256" i="7"/>
  <c r="AI182" i="9"/>
  <c r="AV11" i="7"/>
  <c r="AJ164" i="10"/>
  <c r="AB187" i="15"/>
  <c r="U234" i="8"/>
  <c r="U232" i="8" s="1"/>
  <c r="AE234" i="6"/>
  <c r="AE232" i="6" s="1"/>
  <c r="F109" i="11"/>
  <c r="BC20" i="11" s="1"/>
  <c r="V145" i="7"/>
  <c r="AD187" i="14"/>
  <c r="AJ115" i="7"/>
  <c r="BN10" i="12"/>
  <c r="AH136" i="15"/>
  <c r="AI136" i="15"/>
  <c r="AI80" i="14"/>
  <c r="AJ80" i="14"/>
  <c r="M34" i="13"/>
  <c r="N34" i="13"/>
  <c r="M59" i="6"/>
  <c r="M57" i="6" s="1"/>
  <c r="F57" i="6"/>
  <c r="N59" i="6"/>
  <c r="N57" i="6" s="1"/>
  <c r="AH119" i="7"/>
  <c r="AI119" i="7"/>
  <c r="AJ119" i="7"/>
  <c r="AI189" i="9"/>
  <c r="AH189" i="9"/>
  <c r="L50" i="10"/>
  <c r="J48" i="10"/>
  <c r="J119" i="8"/>
  <c r="L117" i="7"/>
  <c r="D26" i="9"/>
  <c r="D25" i="8"/>
  <c r="D47" i="15"/>
  <c r="D45" i="14"/>
  <c r="AD228" i="10"/>
  <c r="AB227" i="10"/>
  <c r="AB220" i="10" s="1"/>
  <c r="AA236" i="10"/>
  <c r="Y235" i="10"/>
  <c r="D70" i="9"/>
  <c r="D69" i="8"/>
  <c r="V160" i="9"/>
  <c r="V157" i="8"/>
  <c r="V155" i="8" s="1"/>
  <c r="V197" i="11"/>
  <c r="V195" i="10"/>
  <c r="V194" i="10" s="1"/>
  <c r="V193" i="10" s="1"/>
  <c r="V239" i="11"/>
  <c r="V235" i="10"/>
  <c r="E15" i="15"/>
  <c r="E10" i="14"/>
  <c r="E34" i="15"/>
  <c r="E32" i="14"/>
  <c r="E28" i="14" s="1"/>
  <c r="E52" i="13"/>
  <c r="E51" i="12"/>
  <c r="E70" i="13"/>
  <c r="E69" i="12"/>
  <c r="E82" i="13"/>
  <c r="E81" i="12"/>
  <c r="W39" i="16"/>
  <c r="W35" i="16" s="1"/>
  <c r="W35" i="15"/>
  <c r="W51" i="9"/>
  <c r="W49" i="8"/>
  <c r="W43" i="8" s="1"/>
  <c r="W14" i="8" s="1"/>
  <c r="W159" i="9"/>
  <c r="W157" i="8"/>
  <c r="W155" i="8" s="1"/>
  <c r="W145" i="8" s="1"/>
  <c r="W197" i="11"/>
  <c r="W195" i="10"/>
  <c r="W194" i="10" s="1"/>
  <c r="W193" i="10" s="1"/>
  <c r="W239" i="11"/>
  <c r="W235" i="10"/>
  <c r="I83" i="8"/>
  <c r="G81" i="8"/>
  <c r="D21" i="7"/>
  <c r="D19" i="7" s="1"/>
  <c r="AH52" i="11"/>
  <c r="AJ156" i="11"/>
  <c r="AI137" i="13"/>
  <c r="AH55" i="6"/>
  <c r="AH130" i="11"/>
  <c r="AI183" i="10"/>
  <c r="M33" i="7"/>
  <c r="E21" i="7"/>
  <c r="E19" i="7" s="1"/>
  <c r="AJ151" i="10"/>
  <c r="AH167" i="11"/>
  <c r="M88" i="7"/>
  <c r="AH138" i="9"/>
  <c r="X235" i="6"/>
  <c r="X234" i="6" s="1"/>
  <c r="X232" i="6" s="1"/>
  <c r="BN29" i="6" s="1"/>
  <c r="BH13" i="6" s="1"/>
  <c r="AH17" i="7"/>
  <c r="AB20" i="8"/>
  <c r="AH33" i="9"/>
  <c r="AI55" i="14"/>
  <c r="X83" i="7"/>
  <c r="AJ148" i="11"/>
  <c r="AI137" i="14"/>
  <c r="AH80" i="14"/>
  <c r="M87" i="16"/>
  <c r="V227" i="11"/>
  <c r="F25" i="8"/>
  <c r="AQ8" i="8" s="1"/>
  <c r="AZ8" i="8" s="1"/>
  <c r="AJ80" i="16"/>
  <c r="AI161" i="7"/>
  <c r="F111" i="12"/>
  <c r="N111" i="12" s="1"/>
  <c r="X229" i="12"/>
  <c r="AH159" i="7"/>
  <c r="F111" i="13"/>
  <c r="N111" i="13" s="1"/>
  <c r="M51" i="6"/>
  <c r="F47" i="14"/>
  <c r="N47" i="14" s="1"/>
  <c r="AI223" i="12"/>
  <c r="F33" i="10"/>
  <c r="BQ13" i="13"/>
  <c r="N37" i="20" s="1"/>
  <c r="AC12" i="13"/>
  <c r="AC10" i="13" s="1"/>
  <c r="AC8" i="13" s="1"/>
  <c r="AF14" i="13"/>
  <c r="AF12" i="13" s="1"/>
  <c r="AF10" i="13" s="1"/>
  <c r="AF8" i="13" s="1"/>
  <c r="AJ76" i="8"/>
  <c r="AH76" i="8"/>
  <c r="AH33" i="15"/>
  <c r="AI47" i="16"/>
  <c r="W12" i="5"/>
  <c r="Z12" i="12"/>
  <c r="Z10" i="12" s="1"/>
  <c r="Z258" i="12" s="1"/>
  <c r="AC12" i="8"/>
  <c r="AE117" i="7"/>
  <c r="AJ117" i="6"/>
  <c r="AI73" i="16"/>
  <c r="V220" i="11"/>
  <c r="F28" i="5"/>
  <c r="X207" i="5"/>
  <c r="AQ29" i="5" s="1"/>
  <c r="BN27" i="5"/>
  <c r="AI78" i="16"/>
  <c r="AJ163" i="16"/>
  <c r="U194" i="16"/>
  <c r="U193" i="16" s="1"/>
  <c r="AM10" i="12"/>
  <c r="AM8" i="12" s="1"/>
  <c r="AM259" i="12" s="1"/>
  <c r="Z10" i="13"/>
  <c r="AI88" i="16"/>
  <c r="V170" i="6"/>
  <c r="AI183" i="8"/>
  <c r="AE213" i="7"/>
  <c r="AG211" i="6"/>
  <c r="AG210" i="6" s="1"/>
  <c r="AG209" i="6" s="1"/>
  <c r="AG207" i="6" s="1"/>
  <c r="AS29" i="6" s="1"/>
  <c r="AX29" i="6" s="1"/>
  <c r="AL110" i="8"/>
  <c r="V10" i="5"/>
  <c r="Q49" i="20"/>
  <c r="U170" i="13"/>
  <c r="AB176" i="7"/>
  <c r="C21" i="7"/>
  <c r="C19" i="7" s="1"/>
  <c r="C17" i="7" s="1"/>
  <c r="N45" i="8"/>
  <c r="AH16" i="5"/>
  <c r="AI69" i="5"/>
  <c r="AI227" i="8"/>
  <c r="Q39" i="20"/>
  <c r="AZ8" i="7"/>
  <c r="AF63" i="12"/>
  <c r="AF12" i="12" s="1"/>
  <c r="AF10" i="12" s="1"/>
  <c r="AF8" i="12" s="1"/>
  <c r="BQ13" i="12"/>
  <c r="M37" i="20" s="1"/>
  <c r="G54" i="20"/>
  <c r="BK14" i="6"/>
  <c r="AE241" i="7"/>
  <c r="AG235" i="6"/>
  <c r="K19" i="11"/>
  <c r="K17" i="11" s="1"/>
  <c r="K8" i="11" s="1"/>
  <c r="AB172" i="13"/>
  <c r="AJ151" i="14"/>
  <c r="L40" i="20"/>
  <c r="L39" i="20" s="1"/>
  <c r="BQ15" i="11"/>
  <c r="BK10" i="11" s="1"/>
  <c r="Z12" i="11"/>
  <c r="AI151" i="14"/>
  <c r="AI151" i="13"/>
  <c r="AI148" i="11"/>
  <c r="AJ156" i="10"/>
  <c r="AM10" i="10"/>
  <c r="AM8" i="10" s="1"/>
  <c r="AI151" i="12"/>
  <c r="BN18" i="11"/>
  <c r="AI151" i="11"/>
  <c r="BN18" i="13"/>
  <c r="AI156" i="12"/>
  <c r="AM10" i="11"/>
  <c r="AM8" i="11" s="1"/>
  <c r="AM259" i="11" s="1"/>
  <c r="AJ156" i="14"/>
  <c r="AH148" i="13"/>
  <c r="AC110" i="10"/>
  <c r="AF110" i="10"/>
  <c r="AI164" i="10"/>
  <c r="BQ15" i="10"/>
  <c r="Z12" i="10"/>
  <c r="Z10" i="10" s="1"/>
  <c r="Z8" i="10" s="1"/>
  <c r="AC12" i="10"/>
  <c r="M42" i="13"/>
  <c r="N42" i="12"/>
  <c r="AV10" i="9"/>
  <c r="AE179" i="15"/>
  <c r="AG179" i="15" s="1"/>
  <c r="AE179" i="16" s="1"/>
  <c r="AG179" i="16" s="1"/>
  <c r="AE178" i="13"/>
  <c r="AG178" i="13" s="1"/>
  <c r="AE178" i="14" s="1"/>
  <c r="AG178" i="14" s="1"/>
  <c r="AJ178" i="14" s="1"/>
  <c r="AH166" i="13"/>
  <c r="AF110" i="9"/>
  <c r="AH161" i="13"/>
  <c r="AH161" i="9"/>
  <c r="BQ15" i="9"/>
  <c r="BK10" i="9" s="1"/>
  <c r="AC110" i="9"/>
  <c r="Z12" i="9"/>
  <c r="Z10" i="9" s="1"/>
  <c r="Z8" i="9" s="1"/>
  <c r="AJ58" i="10"/>
  <c r="AH58" i="10"/>
  <c r="BQ13" i="9"/>
  <c r="J37" i="20" s="1"/>
  <c r="N42" i="15"/>
  <c r="K19" i="9"/>
  <c r="K17" i="9" s="1"/>
  <c r="K8" i="9" s="1"/>
  <c r="N22" i="11"/>
  <c r="AH187" i="8"/>
  <c r="AH185" i="8" s="1"/>
  <c r="Z110" i="8"/>
  <c r="Z10" i="8" s="1"/>
  <c r="Z8" i="8" s="1"/>
  <c r="I39" i="20"/>
  <c r="AC10" i="8"/>
  <c r="AC8" i="8" s="1"/>
  <c r="AF12" i="8"/>
  <c r="BQ13" i="8"/>
  <c r="I37" i="20" s="1"/>
  <c r="I32" i="20" s="1"/>
  <c r="I31" i="20" s="1"/>
  <c r="Y83" i="14"/>
  <c r="Y83" i="12"/>
  <c r="Y83" i="13"/>
  <c r="AJ79" i="10"/>
  <c r="AE79" i="15"/>
  <c r="AG79" i="15" s="1"/>
  <c r="AJ79" i="15" s="1"/>
  <c r="AJ79" i="8"/>
  <c r="AJ79" i="12"/>
  <c r="L63" i="14"/>
  <c r="L26" i="15"/>
  <c r="AX8" i="15" s="1"/>
  <c r="AZ7" i="11"/>
  <c r="M42" i="7"/>
  <c r="M25" i="8"/>
  <c r="I26" i="15"/>
  <c r="G26" i="16" s="1"/>
  <c r="I26" i="16" s="1"/>
  <c r="BD11" i="16" s="1"/>
  <c r="D11" i="20" s="1"/>
  <c r="AG174" i="11"/>
  <c r="AJ174" i="11" s="1"/>
  <c r="AC110" i="7"/>
  <c r="AH101" i="10"/>
  <c r="AH96" i="7"/>
  <c r="AF12" i="7"/>
  <c r="AF10" i="7" s="1"/>
  <c r="AF8" i="7" s="1"/>
  <c r="Z12" i="7"/>
  <c r="Z10" i="7" s="1"/>
  <c r="Z8" i="7" s="1"/>
  <c r="D35" i="20"/>
  <c r="AE58" i="14"/>
  <c r="AE57" i="14" s="1"/>
  <c r="AH58" i="7"/>
  <c r="AJ50" i="13"/>
  <c r="AC12" i="7"/>
  <c r="H36" i="20"/>
  <c r="H33" i="20" s="1"/>
  <c r="H32" i="20" s="1"/>
  <c r="H31" i="20" s="1"/>
  <c r="BQ8" i="7"/>
  <c r="BK8" i="7"/>
  <c r="AI150" i="7"/>
  <c r="AH150" i="7"/>
  <c r="AH121" i="9"/>
  <c r="AM10" i="7"/>
  <c r="AM8" i="7" s="1"/>
  <c r="AJ121" i="8"/>
  <c r="AI121" i="15"/>
  <c r="AH121" i="8"/>
  <c r="AI142" i="9"/>
  <c r="AJ142" i="9"/>
  <c r="AH142" i="9"/>
  <c r="AI142" i="8"/>
  <c r="AI141" i="8" s="1"/>
  <c r="AH142" i="8"/>
  <c r="AH141" i="8" s="1"/>
  <c r="AJ142" i="8"/>
  <c r="X141" i="8"/>
  <c r="BN20" i="8" s="1"/>
  <c r="E17" i="7"/>
  <c r="E8" i="7" s="1"/>
  <c r="N102" i="6"/>
  <c r="H9" i="20"/>
  <c r="K19" i="7"/>
  <c r="K17" i="7" s="1"/>
  <c r="K8" i="7" s="1"/>
  <c r="R22" i="20"/>
  <c r="BE8" i="7"/>
  <c r="L63" i="13"/>
  <c r="J63" i="13"/>
  <c r="M42" i="9"/>
  <c r="N25" i="7"/>
  <c r="N25" i="8"/>
  <c r="J15" i="7"/>
  <c r="L15" i="7" s="1"/>
  <c r="N15" i="6"/>
  <c r="AJ139" i="12"/>
  <c r="AI139" i="10"/>
  <c r="AH121" i="14"/>
  <c r="AJ121" i="14"/>
  <c r="AI121" i="12"/>
  <c r="AI102" i="8"/>
  <c r="AJ102" i="14"/>
  <c r="AH102" i="13"/>
  <c r="AI102" i="13"/>
  <c r="X102" i="15"/>
  <c r="AI102" i="15" s="1"/>
  <c r="AJ88" i="6"/>
  <c r="AJ88" i="14"/>
  <c r="AI88" i="6"/>
  <c r="X65" i="6"/>
  <c r="AH81" i="6"/>
  <c r="AI81" i="8"/>
  <c r="AJ153" i="16"/>
  <c r="AH153" i="16"/>
  <c r="AH153" i="8"/>
  <c r="AI139" i="15"/>
  <c r="AH139" i="13"/>
  <c r="AI102" i="11"/>
  <c r="AH102" i="11"/>
  <c r="AH88" i="7"/>
  <c r="X83" i="8"/>
  <c r="BN14" i="8" s="1"/>
  <c r="X83" i="9"/>
  <c r="AI88" i="8"/>
  <c r="AJ88" i="11"/>
  <c r="AH83" i="8"/>
  <c r="AJ88" i="8"/>
  <c r="AJ153" i="10"/>
  <c r="AI153" i="15"/>
  <c r="AI153" i="8"/>
  <c r="AH153" i="6"/>
  <c r="AI153" i="10"/>
  <c r="AI153" i="6"/>
  <c r="X194" i="10"/>
  <c r="BN28" i="10" s="1"/>
  <c r="AI205" i="10"/>
  <c r="AH205" i="8"/>
  <c r="X147" i="7"/>
  <c r="AI121" i="10"/>
  <c r="X114" i="6"/>
  <c r="AJ121" i="6"/>
  <c r="AJ114" i="6" s="1"/>
  <c r="AJ121" i="10"/>
  <c r="X114" i="8"/>
  <c r="AI55" i="11"/>
  <c r="AI55" i="13"/>
  <c r="AI55" i="7"/>
  <c r="N102" i="7"/>
  <c r="M102" i="7"/>
  <c r="BC18" i="7"/>
  <c r="AJ134" i="6"/>
  <c r="AI93" i="16"/>
  <c r="AI93" i="15"/>
  <c r="AA90" i="9"/>
  <c r="W12" i="6"/>
  <c r="W10" i="6" s="1"/>
  <c r="W8" i="6" s="1"/>
  <c r="AM12" i="6"/>
  <c r="AM10" i="6" s="1"/>
  <c r="AM8" i="6" s="1"/>
  <c r="AI55" i="8"/>
  <c r="AB195" i="7"/>
  <c r="AI198" i="7"/>
  <c r="AI195" i="7" s="1"/>
  <c r="AD195" i="7"/>
  <c r="AB195" i="8"/>
  <c r="AD195" i="8"/>
  <c r="AI198" i="8"/>
  <c r="AI195" i="8" s="1"/>
  <c r="AH183" i="8"/>
  <c r="AJ179" i="9"/>
  <c r="X176" i="7"/>
  <c r="X170" i="7" s="1"/>
  <c r="AQ27" i="7" s="1"/>
  <c r="AH179" i="7"/>
  <c r="AI179" i="8"/>
  <c r="AH179" i="15"/>
  <c r="AI179" i="7"/>
  <c r="AI176" i="7" s="1"/>
  <c r="AJ174" i="7"/>
  <c r="AH174" i="7"/>
  <c r="AH172" i="7" s="1"/>
  <c r="AI174" i="7"/>
  <c r="AI172" i="7" s="1"/>
  <c r="X172" i="10"/>
  <c r="AJ172" i="7"/>
  <c r="AJ174" i="10"/>
  <c r="AI174" i="12"/>
  <c r="AH168" i="8"/>
  <c r="AI168" i="11"/>
  <c r="AH168" i="11"/>
  <c r="AH168" i="7"/>
  <c r="AI168" i="7"/>
  <c r="AH168" i="9"/>
  <c r="AH166" i="15"/>
  <c r="AH166" i="14"/>
  <c r="Z110" i="6"/>
  <c r="Z10" i="6" s="1"/>
  <c r="AI162" i="7"/>
  <c r="AB157" i="9"/>
  <c r="AB155" i="9" s="1"/>
  <c r="AI162" i="8"/>
  <c r="AD157" i="7"/>
  <c r="AD155" i="7" s="1"/>
  <c r="AH161" i="11"/>
  <c r="AH161" i="12"/>
  <c r="AH153" i="9"/>
  <c r="AJ153" i="9"/>
  <c r="AH153" i="7"/>
  <c r="AJ153" i="7"/>
  <c r="AI153" i="13"/>
  <c r="AI153" i="9"/>
  <c r="AJ153" i="13"/>
  <c r="AJ150" i="7"/>
  <c r="AJ149" i="7" s="1"/>
  <c r="V110" i="6"/>
  <c r="V10" i="6" s="1"/>
  <c r="V8" i="6" s="1"/>
  <c r="E42" i="20"/>
  <c r="G39" i="20"/>
  <c r="R55" i="20"/>
  <c r="AI139" i="13"/>
  <c r="V110" i="7"/>
  <c r="AJ139" i="15"/>
  <c r="AF110" i="6"/>
  <c r="AJ128" i="11"/>
  <c r="AJ124" i="6"/>
  <c r="AH121" i="11"/>
  <c r="AI121" i="11"/>
  <c r="AH121" i="12"/>
  <c r="AJ105" i="6"/>
  <c r="AH102" i="15"/>
  <c r="BQ13" i="6"/>
  <c r="G37" i="20" s="1"/>
  <c r="BL9" i="7"/>
  <c r="AH88" i="12"/>
  <c r="AJ88" i="12"/>
  <c r="AI88" i="11"/>
  <c r="AH88" i="13"/>
  <c r="AI88" i="9"/>
  <c r="AA83" i="12"/>
  <c r="AA83" i="13"/>
  <c r="BL15" i="7"/>
  <c r="BL15" i="10" s="1"/>
  <c r="BL15" i="13" s="1"/>
  <c r="BL15" i="16" s="1"/>
  <c r="AH79" i="13"/>
  <c r="AJ72" i="8"/>
  <c r="AF12" i="6"/>
  <c r="AI66" i="6"/>
  <c r="BP10" i="6"/>
  <c r="AJ58" i="11"/>
  <c r="AJ57" i="11" s="1"/>
  <c r="AJ50" i="12"/>
  <c r="AJ50" i="11"/>
  <c r="AL12" i="6"/>
  <c r="AL10" i="6" s="1"/>
  <c r="AL8" i="6" s="1"/>
  <c r="AM259" i="6" s="1"/>
  <c r="AH33" i="7"/>
  <c r="AC12" i="6"/>
  <c r="AC10" i="6" s="1"/>
  <c r="AC8" i="6" s="1"/>
  <c r="N63" i="8"/>
  <c r="AQ16" i="10"/>
  <c r="AW16" i="10" s="1"/>
  <c r="AY16" i="10" s="1"/>
  <c r="G64" i="8"/>
  <c r="I64" i="8" s="1"/>
  <c r="BD14" i="7"/>
  <c r="N85" i="5"/>
  <c r="BI14" i="7"/>
  <c r="M67" i="10"/>
  <c r="AH106" i="8"/>
  <c r="AH105" i="8" s="1"/>
  <c r="AH104" i="8" s="1"/>
  <c r="AJ106" i="8"/>
  <c r="AJ105" i="8" s="1"/>
  <c r="AJ104" i="8" s="1"/>
  <c r="X105" i="8"/>
  <c r="X104" i="8" s="1"/>
  <c r="AI28" i="14"/>
  <c r="AH28" i="14"/>
  <c r="AJ28" i="14"/>
  <c r="AI217" i="8"/>
  <c r="AH217" i="8"/>
  <c r="X211" i="8"/>
  <c r="X210" i="8" s="1"/>
  <c r="X209" i="8" s="1"/>
  <c r="AH143" i="12"/>
  <c r="AI143" i="12"/>
  <c r="G53" i="20"/>
  <c r="BK13" i="6"/>
  <c r="BL13" i="7" s="1"/>
  <c r="BL13" i="10" s="1"/>
  <c r="J36" i="20"/>
  <c r="J33" i="20" s="1"/>
  <c r="BQ9" i="9"/>
  <c r="BQ13" i="14"/>
  <c r="O37" i="20" s="1"/>
  <c r="AF63" i="14"/>
  <c r="AF12" i="14" s="1"/>
  <c r="AF10" i="14" s="1"/>
  <c r="AF8" i="14" s="1"/>
  <c r="AD207" i="7"/>
  <c r="AR29" i="7" s="1"/>
  <c r="AW29" i="7" s="1"/>
  <c r="BP27" i="7"/>
  <c r="N111" i="9"/>
  <c r="M111" i="9"/>
  <c r="M36" i="20"/>
  <c r="M33" i="20" s="1"/>
  <c r="BQ9" i="12"/>
  <c r="BC14" i="16"/>
  <c r="E62" i="15"/>
  <c r="E60" i="14"/>
  <c r="W158" i="13"/>
  <c r="X158" i="12"/>
  <c r="V24" i="10"/>
  <c r="V20" i="9"/>
  <c r="V16" i="9" s="1"/>
  <c r="X24" i="9"/>
  <c r="X20" i="9" s="1"/>
  <c r="X16" i="9" s="1"/>
  <c r="I50" i="6"/>
  <c r="G48" i="6"/>
  <c r="G95" i="7"/>
  <c r="I93" i="6"/>
  <c r="BQ15" i="13"/>
  <c r="BK10" i="13" s="1"/>
  <c r="N40" i="20"/>
  <c r="N39" i="20" s="1"/>
  <c r="J14" i="7"/>
  <c r="L10" i="6"/>
  <c r="AS16" i="6" s="1"/>
  <c r="AH186" i="15"/>
  <c r="AI186" i="15"/>
  <c r="AH130" i="13"/>
  <c r="AJ130" i="13"/>
  <c r="AI130" i="13"/>
  <c r="AH137" i="12"/>
  <c r="AJ137" i="12"/>
  <c r="AI137" i="12"/>
  <c r="J43" i="16"/>
  <c r="L42" i="15"/>
  <c r="AS10" i="15" s="1"/>
  <c r="AV10" i="15" s="1"/>
  <c r="AX10" i="15"/>
  <c r="AZ10" i="15" s="1"/>
  <c r="Y142" i="16"/>
  <c r="AA141" i="15"/>
  <c r="BO20" i="15" s="1"/>
  <c r="L36" i="16"/>
  <c r="AI61" i="7"/>
  <c r="AJ61" i="7"/>
  <c r="AJ57" i="7" s="1"/>
  <c r="AH61" i="7"/>
  <c r="AH107" i="7"/>
  <c r="AH105" i="7" s="1"/>
  <c r="AH104" i="7" s="1"/>
  <c r="AJ107" i="7"/>
  <c r="N55" i="7"/>
  <c r="N54" i="7" s="1"/>
  <c r="AB173" i="14"/>
  <c r="AD172" i="13"/>
  <c r="AG116" i="8"/>
  <c r="AE149" i="12"/>
  <c r="AE147" i="12" s="1"/>
  <c r="AG152" i="12"/>
  <c r="K36" i="20"/>
  <c r="K33" i="20" s="1"/>
  <c r="BQ9" i="10"/>
  <c r="P36" i="20"/>
  <c r="P33" i="20" s="1"/>
  <c r="BQ9" i="15"/>
  <c r="V87" i="11"/>
  <c r="V83" i="10"/>
  <c r="V99" i="13"/>
  <c r="V96" i="12"/>
  <c r="V116" i="11"/>
  <c r="V114" i="10"/>
  <c r="V112" i="10" s="1"/>
  <c r="V143" i="13"/>
  <c r="V141" i="12"/>
  <c r="V159" i="11"/>
  <c r="V213" i="9"/>
  <c r="V211" i="8"/>
  <c r="V210" i="8" s="1"/>
  <c r="V209" i="8" s="1"/>
  <c r="V207" i="8" s="1"/>
  <c r="AA190" i="11"/>
  <c r="Y187" i="11"/>
  <c r="Y185" i="11" s="1"/>
  <c r="Y212" i="8"/>
  <c r="AA211" i="7"/>
  <c r="AA210" i="7" s="1"/>
  <c r="AA209" i="7" s="1"/>
  <c r="AA230" i="8"/>
  <c r="Y227" i="8"/>
  <c r="Y220" i="8" s="1"/>
  <c r="Y249" i="8"/>
  <c r="AA243" i="7"/>
  <c r="AA234" i="7" s="1"/>
  <c r="AA232" i="7" s="1"/>
  <c r="BO29" i="7" s="1"/>
  <c r="BI13" i="7" s="1"/>
  <c r="J33" i="13"/>
  <c r="L32" i="12"/>
  <c r="J49" i="13"/>
  <c r="L64" i="15"/>
  <c r="J63" i="15"/>
  <c r="AB22" i="9"/>
  <c r="AD20" i="8"/>
  <c r="AI22" i="8"/>
  <c r="AJ50" i="14"/>
  <c r="AE50" i="15"/>
  <c r="AG50" i="15" s="1"/>
  <c r="AE50" i="16" s="1"/>
  <c r="AG50" i="16" s="1"/>
  <c r="AG106" i="12"/>
  <c r="AE105" i="12"/>
  <c r="AE104" i="12" s="1"/>
  <c r="M49" i="12"/>
  <c r="F48" i="12"/>
  <c r="N49" i="12"/>
  <c r="AH19" i="8"/>
  <c r="AI19" i="8"/>
  <c r="AJ19" i="8"/>
  <c r="D105" i="8"/>
  <c r="D99" i="7"/>
  <c r="D17" i="7" s="1"/>
  <c r="N94" i="7"/>
  <c r="M94" i="7"/>
  <c r="BK9" i="16"/>
  <c r="Q38" i="20"/>
  <c r="BK14" i="14"/>
  <c r="O54" i="20"/>
  <c r="M38" i="20"/>
  <c r="BK9" i="12"/>
  <c r="F35" i="11"/>
  <c r="BK13" i="14"/>
  <c r="O53" i="20"/>
  <c r="AH157" i="5"/>
  <c r="AH155" i="5" s="1"/>
  <c r="AH145" i="5" s="1"/>
  <c r="BQ25" i="14"/>
  <c r="BK12" i="14" s="1"/>
  <c r="AJ165" i="11"/>
  <c r="AI24" i="7"/>
  <c r="AI179" i="11"/>
  <c r="AH137" i="13"/>
  <c r="M109" i="10"/>
  <c r="AJ68" i="10"/>
  <c r="AH85" i="7"/>
  <c r="N54" i="8"/>
  <c r="X227" i="8"/>
  <c r="X220" i="8" s="1"/>
  <c r="BE8" i="6"/>
  <c r="BE23" i="6" s="1"/>
  <c r="AH243" i="6"/>
  <c r="AH105" i="6"/>
  <c r="AI130" i="15"/>
  <c r="I99" i="7"/>
  <c r="F44" i="16"/>
  <c r="N44" i="16" s="1"/>
  <c r="AH40" i="16"/>
  <c r="X123" i="7"/>
  <c r="AI179" i="10"/>
  <c r="U234" i="11"/>
  <c r="U232" i="11" s="1"/>
  <c r="X155" i="7"/>
  <c r="N72" i="8"/>
  <c r="AI227" i="9"/>
  <c r="AJ235" i="6"/>
  <c r="AV8" i="8"/>
  <c r="N28" i="5"/>
  <c r="AI20" i="5"/>
  <c r="AI16" i="5" s="1"/>
  <c r="X43" i="5"/>
  <c r="X44" i="8"/>
  <c r="AH49" i="5"/>
  <c r="AH43" i="5" s="1"/>
  <c r="AH14" i="5" s="1"/>
  <c r="AJ72" i="10"/>
  <c r="AJ84" i="7"/>
  <c r="Y90" i="10"/>
  <c r="F104" i="12"/>
  <c r="AI218" i="14"/>
  <c r="AH19" i="14"/>
  <c r="AI76" i="8"/>
  <c r="AI191" i="6"/>
  <c r="BN18" i="7"/>
  <c r="BO22" i="5"/>
  <c r="BI11" i="5" s="1"/>
  <c r="AI243" i="5"/>
  <c r="AH243" i="5"/>
  <c r="AH234" i="5" s="1"/>
  <c r="AH232" i="5" s="1"/>
  <c r="AF12" i="9"/>
  <c r="AF10" i="9" s="1"/>
  <c r="AF8" i="9" s="1"/>
  <c r="AJ72" i="7"/>
  <c r="AJ211" i="5"/>
  <c r="AJ210" i="5" s="1"/>
  <c r="AJ209" i="5" s="1"/>
  <c r="AJ207" i="5" s="1"/>
  <c r="BN18" i="12"/>
  <c r="BE8" i="10"/>
  <c r="BQ22" i="7"/>
  <c r="BK11" i="7" s="1"/>
  <c r="Z10" i="11"/>
  <c r="U220" i="9"/>
  <c r="X57" i="7"/>
  <c r="J49" i="20"/>
  <c r="AI235" i="5"/>
  <c r="AC10" i="12"/>
  <c r="AC8" i="12" s="1"/>
  <c r="BR24" i="16"/>
  <c r="BR22" i="16" s="1"/>
  <c r="K48" i="20"/>
  <c r="K46" i="20" s="1"/>
  <c r="AH52" i="12"/>
  <c r="AI52" i="12"/>
  <c r="AH131" i="12"/>
  <c r="AI131" i="12"/>
  <c r="AI225" i="10"/>
  <c r="AH225" i="10"/>
  <c r="M67" i="7"/>
  <c r="N67" i="7"/>
  <c r="D56" i="11"/>
  <c r="D54" i="10"/>
  <c r="D89" i="12"/>
  <c r="F89" i="11"/>
  <c r="E105" i="9"/>
  <c r="E99" i="8"/>
  <c r="W100" i="9"/>
  <c r="W96" i="8"/>
  <c r="W90" i="8" s="1"/>
  <c r="AE72" i="12"/>
  <c r="AG72" i="12" s="1"/>
  <c r="AJ72" i="11"/>
  <c r="M58" i="8"/>
  <c r="N58" i="8"/>
  <c r="N57" i="8" s="1"/>
  <c r="F57" i="8"/>
  <c r="J38" i="20"/>
  <c r="R38" i="20" s="1"/>
  <c r="BK9" i="9"/>
  <c r="BQ25" i="15"/>
  <c r="BK12" i="15" s="1"/>
  <c r="P52" i="20"/>
  <c r="P49" i="20" s="1"/>
  <c r="AI85" i="16"/>
  <c r="AH85" i="16"/>
  <c r="AI80" i="15"/>
  <c r="AH80" i="15"/>
  <c r="AI129" i="12"/>
  <c r="AH129" i="12"/>
  <c r="M109" i="11"/>
  <c r="N109" i="11"/>
  <c r="AI120" i="15"/>
  <c r="AH120" i="15"/>
  <c r="AI55" i="12"/>
  <c r="AJ55" i="12"/>
  <c r="AH137" i="15"/>
  <c r="AI137" i="15"/>
  <c r="E35" i="16"/>
  <c r="F36" i="16"/>
  <c r="M34" i="7"/>
  <c r="M32" i="7" s="1"/>
  <c r="N34" i="7"/>
  <c r="N32" i="7" s="1"/>
  <c r="H41" i="20"/>
  <c r="BQ15" i="7"/>
  <c r="BK14" i="5"/>
  <c r="BL14" i="7" s="1"/>
  <c r="BL14" i="10" s="1"/>
  <c r="BL14" i="13" s="1"/>
  <c r="F54" i="20"/>
  <c r="BQ13" i="11"/>
  <c r="L37" i="20" s="1"/>
  <c r="L32" i="20" s="1"/>
  <c r="L31" i="20" s="1"/>
  <c r="AF14" i="11"/>
  <c r="AF12" i="11" s="1"/>
  <c r="AF10" i="11" s="1"/>
  <c r="AF8" i="11" s="1"/>
  <c r="AH229" i="12"/>
  <c r="AI229" i="12"/>
  <c r="F48" i="14"/>
  <c r="D61" i="9"/>
  <c r="D60" i="8"/>
  <c r="D67" i="11"/>
  <c r="D66" i="10"/>
  <c r="D79" i="11"/>
  <c r="D78" i="10"/>
  <c r="F79" i="10"/>
  <c r="D94" i="9"/>
  <c r="D93" i="8"/>
  <c r="D85" i="8" s="1"/>
  <c r="E56" i="9"/>
  <c r="E54" i="8"/>
  <c r="E68" i="9"/>
  <c r="E66" i="8"/>
  <c r="E118" i="13"/>
  <c r="E117" i="12"/>
  <c r="E108" i="12" s="1"/>
  <c r="W75" i="9"/>
  <c r="W69" i="8"/>
  <c r="W65" i="8" s="1"/>
  <c r="W95" i="13"/>
  <c r="W91" i="12"/>
  <c r="W107" i="13"/>
  <c r="W105" i="12"/>
  <c r="W104" i="12" s="1"/>
  <c r="W181" i="9"/>
  <c r="W176" i="8"/>
  <c r="W170" i="8" s="1"/>
  <c r="X181" i="8"/>
  <c r="W251" i="9"/>
  <c r="W243" i="8"/>
  <c r="W234" i="8" s="1"/>
  <c r="W232" i="8" s="1"/>
  <c r="X251" i="8"/>
  <c r="L48" i="20"/>
  <c r="L46" i="20" s="1"/>
  <c r="BQ22" i="11"/>
  <c r="BK11" i="11" s="1"/>
  <c r="Q53" i="20"/>
  <c r="BK13" i="16"/>
  <c r="D118" i="7"/>
  <c r="D117" i="6"/>
  <c r="D108" i="6" s="1"/>
  <c r="D8" i="6" s="1"/>
  <c r="V45" i="9"/>
  <c r="V44" i="8"/>
  <c r="V43" i="8" s="1"/>
  <c r="I55" i="7"/>
  <c r="G54" i="7"/>
  <c r="G68" i="7"/>
  <c r="I66" i="6"/>
  <c r="M68" i="6"/>
  <c r="AD39" i="7"/>
  <c r="AB35" i="7"/>
  <c r="AG52" i="6"/>
  <c r="AE49" i="6"/>
  <c r="AE43" i="6" s="1"/>
  <c r="AE97" i="8"/>
  <c r="AE135" i="9"/>
  <c r="AG135" i="9" s="1"/>
  <c r="AJ135" i="8"/>
  <c r="BQ15" i="14"/>
  <c r="BK10" i="14" s="1"/>
  <c r="O40" i="20"/>
  <c r="O39" i="20" s="1"/>
  <c r="AG224" i="6"/>
  <c r="AE222" i="6"/>
  <c r="AE220" i="6" s="1"/>
  <c r="AI212" i="11"/>
  <c r="F63" i="8"/>
  <c r="AH143" i="9"/>
  <c r="AH141" i="9" s="1"/>
  <c r="X141" i="9"/>
  <c r="BN20" i="9" s="1"/>
  <c r="AI143" i="9"/>
  <c r="AI141" i="9" s="1"/>
  <c r="G36" i="20"/>
  <c r="G33" i="20" s="1"/>
  <c r="BQ9" i="6"/>
  <c r="AF193" i="10"/>
  <c r="BQ28" i="10"/>
  <c r="Z8" i="12"/>
  <c r="BK13" i="13"/>
  <c r="N53" i="20"/>
  <c r="AI182" i="16"/>
  <c r="AH165" i="11"/>
  <c r="AH19" i="11"/>
  <c r="AI73" i="15"/>
  <c r="AJ61" i="10"/>
  <c r="AI44" i="7"/>
  <c r="M47" i="8"/>
  <c r="M45" i="8" s="1"/>
  <c r="AH228" i="8"/>
  <c r="N113" i="8"/>
  <c r="X149" i="6"/>
  <c r="X147" i="6" s="1"/>
  <c r="X145" i="6" s="1"/>
  <c r="AH152" i="6"/>
  <c r="AH149" i="6" s="1"/>
  <c r="Z10" i="15"/>
  <c r="Z8" i="15" s="1"/>
  <c r="AL12" i="10"/>
  <c r="AL10" i="10" s="1"/>
  <c r="AL8" i="10" s="1"/>
  <c r="AM259" i="10" s="1"/>
  <c r="AJ130" i="16"/>
  <c r="M105" i="7"/>
  <c r="K9" i="20"/>
  <c r="U234" i="15"/>
  <c r="U232" i="15" s="1"/>
  <c r="U90" i="14"/>
  <c r="AH161" i="14"/>
  <c r="AI172" i="11"/>
  <c r="X57" i="10"/>
  <c r="AJ179" i="10"/>
  <c r="C28" i="11"/>
  <c r="AI191" i="7"/>
  <c r="AJ151" i="9"/>
  <c r="X222" i="9"/>
  <c r="X220" i="9" s="1"/>
  <c r="BN30" i="9" s="1"/>
  <c r="BH14" i="9" s="1"/>
  <c r="AH235" i="9"/>
  <c r="M93" i="6"/>
  <c r="BC17" i="7"/>
  <c r="U220" i="6"/>
  <c r="AH187" i="7"/>
  <c r="L21" i="5"/>
  <c r="AH47" i="12"/>
  <c r="AH99" i="12"/>
  <c r="AI96" i="5"/>
  <c r="BO16" i="5"/>
  <c r="AB114" i="6"/>
  <c r="AJ131" i="12"/>
  <c r="Z110" i="5"/>
  <c r="F45" i="8"/>
  <c r="AI224" i="9"/>
  <c r="AJ161" i="12"/>
  <c r="X170" i="5"/>
  <c r="BN19" i="11"/>
  <c r="F64" i="12"/>
  <c r="F63" i="12" s="1"/>
  <c r="BF19" i="7"/>
  <c r="BF19" i="10" s="1"/>
  <c r="BF19" i="13" s="1"/>
  <c r="BF19" i="16" s="1"/>
  <c r="F64" i="15"/>
  <c r="X126" i="12"/>
  <c r="H46" i="20"/>
  <c r="R47" i="20"/>
  <c r="F109" i="9"/>
  <c r="AL12" i="8"/>
  <c r="AL10" i="8" s="1"/>
  <c r="AL8" i="8" s="1"/>
  <c r="AL10" i="14"/>
  <c r="AL8" i="14" s="1"/>
  <c r="AL110" i="16"/>
  <c r="AM10" i="13"/>
  <c r="AM8" i="13" s="1"/>
  <c r="AC12" i="11"/>
  <c r="AC10" i="11" s="1"/>
  <c r="AL12" i="16"/>
  <c r="AI216" i="14"/>
  <c r="AH216" i="14"/>
  <c r="AH167" i="12"/>
  <c r="AJ167" i="12"/>
  <c r="AI167" i="12"/>
  <c r="AH251" i="7"/>
  <c r="AI251" i="7"/>
  <c r="F99" i="6"/>
  <c r="M105" i="6"/>
  <c r="M99" i="6" s="1"/>
  <c r="AH19" i="10"/>
  <c r="AI19" i="10"/>
  <c r="AJ19" i="10"/>
  <c r="AJ24" i="8"/>
  <c r="AH24" i="8"/>
  <c r="AH20" i="8" s="1"/>
  <c r="AI24" i="8"/>
  <c r="D73" i="9"/>
  <c r="D72" i="8"/>
  <c r="D21" i="8" s="1"/>
  <c r="V255" i="11"/>
  <c r="W53" i="13"/>
  <c r="W84" i="12"/>
  <c r="W83" i="11"/>
  <c r="W217" i="9"/>
  <c r="W211" i="8"/>
  <c r="W210" i="8" s="1"/>
  <c r="W209" i="8" s="1"/>
  <c r="W207" i="8" s="1"/>
  <c r="M100" i="7"/>
  <c r="F99" i="7"/>
  <c r="N100" i="7"/>
  <c r="O36" i="20"/>
  <c r="O33" i="20" s="1"/>
  <c r="BQ9" i="14"/>
  <c r="I48" i="20"/>
  <c r="I46" i="20" s="1"/>
  <c r="BQ22" i="8"/>
  <c r="BK11" i="8" s="1"/>
  <c r="I59" i="7"/>
  <c r="G57" i="7"/>
  <c r="AB117" i="7"/>
  <c r="AD114" i="6"/>
  <c r="AE99" i="7"/>
  <c r="AG96" i="6"/>
  <c r="AH173" i="8"/>
  <c r="AH172" i="8" s="1"/>
  <c r="AJ173" i="8"/>
  <c r="AJ172" i="8" s="1"/>
  <c r="AI173" i="8"/>
  <c r="AI172" i="8" s="1"/>
  <c r="AF193" i="8"/>
  <c r="BQ28" i="8"/>
  <c r="I52" i="20" s="1"/>
  <c r="L52" i="20"/>
  <c r="L49" i="20" s="1"/>
  <c r="BQ25" i="11"/>
  <c r="BK12" i="11" s="1"/>
  <c r="I51" i="20"/>
  <c r="BQ25" i="13"/>
  <c r="N51" i="20"/>
  <c r="N49" i="20" s="1"/>
  <c r="AH216" i="15"/>
  <c r="AI216" i="15"/>
  <c r="AH120" i="13"/>
  <c r="AI120" i="13"/>
  <c r="AJ120" i="13"/>
  <c r="AH120" i="11"/>
  <c r="AJ120" i="11"/>
  <c r="AI120" i="11"/>
  <c r="W58" i="16"/>
  <c r="W57" i="16" s="1"/>
  <c r="X59" i="16"/>
  <c r="AH31" i="15"/>
  <c r="AI31" i="15"/>
  <c r="Y228" i="16"/>
  <c r="AH95" i="12"/>
  <c r="AJ95" i="12"/>
  <c r="AH19" i="12"/>
  <c r="AJ19" i="12"/>
  <c r="AI19" i="12"/>
  <c r="AJ75" i="8"/>
  <c r="AH75" i="8"/>
  <c r="AI75" i="8"/>
  <c r="AF63" i="10"/>
  <c r="BQ13" i="10"/>
  <c r="K37" i="20" s="1"/>
  <c r="AF14" i="15"/>
  <c r="AF12" i="15" s="1"/>
  <c r="AF10" i="15" s="1"/>
  <c r="AF8" i="15" s="1"/>
  <c r="BQ13" i="15"/>
  <c r="V41" i="9"/>
  <c r="V35" i="8"/>
  <c r="AD215" i="8"/>
  <c r="AB211" i="8"/>
  <c r="AB210" i="8" s="1"/>
  <c r="AB209" i="8" s="1"/>
  <c r="AB207" i="8" s="1"/>
  <c r="AE143" i="8"/>
  <c r="AG141" i="7"/>
  <c r="AJ143" i="7"/>
  <c r="AI87" i="10"/>
  <c r="AH87" i="10"/>
  <c r="AJ87" i="10"/>
  <c r="G48" i="20"/>
  <c r="G46" i="20" s="1"/>
  <c r="BQ22" i="6"/>
  <c r="BK11" i="6" s="1"/>
  <c r="N36" i="20"/>
  <c r="N33" i="20" s="1"/>
  <c r="N32" i="20" s="1"/>
  <c r="N31" i="20" s="1"/>
  <c r="BQ9" i="13"/>
  <c r="V76" i="9"/>
  <c r="V69" i="8"/>
  <c r="V65" i="8" s="1"/>
  <c r="V106" i="9"/>
  <c r="V105" i="8"/>
  <c r="V104" i="8" s="1"/>
  <c r="V150" i="9"/>
  <c r="V149" i="8"/>
  <c r="V147" i="8" s="1"/>
  <c r="V145" i="8" s="1"/>
  <c r="V110" i="8" s="1"/>
  <c r="V173" i="12"/>
  <c r="V172" i="11"/>
  <c r="V170" i="11" s="1"/>
  <c r="V225" i="13"/>
  <c r="V222" i="12"/>
  <c r="X225" i="12"/>
  <c r="AA101" i="11"/>
  <c r="Y96" i="11"/>
  <c r="Y90" i="11" s="1"/>
  <c r="AA224" i="12"/>
  <c r="Y222" i="12"/>
  <c r="AA237" i="12"/>
  <c r="J37" i="8"/>
  <c r="L35" i="7"/>
  <c r="L28" i="7" s="1"/>
  <c r="N37" i="7"/>
  <c r="N35" i="7" s="1"/>
  <c r="J53" i="8"/>
  <c r="L51" i="7"/>
  <c r="J70" i="8"/>
  <c r="L69" i="7"/>
  <c r="AD37" i="12"/>
  <c r="AG86" i="8"/>
  <c r="AE83" i="8"/>
  <c r="AH240" i="15"/>
  <c r="AI240" i="15"/>
  <c r="AH19" i="9"/>
  <c r="AJ19" i="9"/>
  <c r="AI19" i="9"/>
  <c r="D109" i="13"/>
  <c r="F109" i="12"/>
  <c r="N118" i="5"/>
  <c r="N117" i="5" s="1"/>
  <c r="F117" i="5"/>
  <c r="M118" i="5"/>
  <c r="M117" i="5" s="1"/>
  <c r="M108" i="5" s="1"/>
  <c r="V229" i="14"/>
  <c r="X229" i="13"/>
  <c r="BQ22" i="9"/>
  <c r="BK11" i="9" s="1"/>
  <c r="J48" i="20"/>
  <c r="J46" i="20" s="1"/>
  <c r="AH143" i="6"/>
  <c r="AH141" i="6" s="1"/>
  <c r="AI143" i="6"/>
  <c r="AI141" i="6" s="1"/>
  <c r="AJ143" i="6"/>
  <c r="AJ141" i="6" s="1"/>
  <c r="X141" i="6"/>
  <c r="BN20" i="6" s="1"/>
  <c r="K8" i="15"/>
  <c r="BQ22" i="13"/>
  <c r="BK11" i="13" s="1"/>
  <c r="N48" i="20"/>
  <c r="N46" i="20" s="1"/>
  <c r="BQ25" i="6"/>
  <c r="BK12" i="6" s="1"/>
  <c r="G51" i="20"/>
  <c r="N119" i="6"/>
  <c r="M119" i="6"/>
  <c r="AI222" i="9"/>
  <c r="AI220" i="9" s="1"/>
  <c r="AJ105" i="7"/>
  <c r="AJ104" i="7" s="1"/>
  <c r="AF12" i="10"/>
  <c r="AF10" i="10" s="1"/>
  <c r="AF8" i="10" s="1"/>
  <c r="AI222" i="8"/>
  <c r="AI220" i="8" s="1"/>
  <c r="AL12" i="7"/>
  <c r="AL10" i="7" s="1"/>
  <c r="AL8" i="7" s="1"/>
  <c r="AM259" i="7" s="1"/>
  <c r="AJ251" i="7"/>
  <c r="BC19" i="7"/>
  <c r="W110" i="7"/>
  <c r="AI222" i="7"/>
  <c r="N109" i="10"/>
  <c r="W110" i="5"/>
  <c r="W10" i="5" s="1"/>
  <c r="W8" i="5" s="1"/>
  <c r="AB12" i="5"/>
  <c r="AB10" i="5" s="1"/>
  <c r="AB8" i="5" s="1"/>
  <c r="AC12" i="9"/>
  <c r="AC10" i="9" s="1"/>
  <c r="AC8" i="9" s="1"/>
  <c r="G99" i="7"/>
  <c r="AJ130" i="15"/>
  <c r="F113" i="15"/>
  <c r="U90" i="11"/>
  <c r="AH131" i="13"/>
  <c r="AI161" i="14"/>
  <c r="F64" i="13"/>
  <c r="M42" i="10"/>
  <c r="F78" i="10"/>
  <c r="F66" i="7"/>
  <c r="U170" i="11"/>
  <c r="F64" i="14"/>
  <c r="BC14" i="14" s="1"/>
  <c r="X20" i="7"/>
  <c r="X16" i="7" s="1"/>
  <c r="X203" i="8"/>
  <c r="AH235" i="8"/>
  <c r="U90" i="8"/>
  <c r="U63" i="8" s="1"/>
  <c r="AH235" i="6"/>
  <c r="BC18" i="6"/>
  <c r="Q123" i="7"/>
  <c r="Q121" i="7" s="1"/>
  <c r="Q125" i="7" s="1"/>
  <c r="AD214" i="14"/>
  <c r="AB214" i="15" s="1"/>
  <c r="AD214" i="15" s="1"/>
  <c r="AB214" i="16" s="1"/>
  <c r="AD214" i="16" s="1"/>
  <c r="F64" i="11"/>
  <c r="BC14" i="11" s="1"/>
  <c r="N75" i="7"/>
  <c r="AH33" i="13"/>
  <c r="BR14" i="16"/>
  <c r="AI49" i="5"/>
  <c r="AI43" i="5" s="1"/>
  <c r="AI55" i="15"/>
  <c r="AJ72" i="6"/>
  <c r="AJ65" i="5"/>
  <c r="AE69" i="6"/>
  <c r="AE65" i="6" s="1"/>
  <c r="BO14" i="5"/>
  <c r="BI9" i="5" s="1"/>
  <c r="AJ90" i="5"/>
  <c r="AI123" i="5"/>
  <c r="AJ123" i="5"/>
  <c r="AJ131" i="7"/>
  <c r="AJ148" i="13"/>
  <c r="V63" i="7"/>
  <c r="V12" i="7" s="1"/>
  <c r="AB157" i="7"/>
  <c r="AB155" i="7" s="1"/>
  <c r="AI156" i="7"/>
  <c r="AJ243" i="5"/>
  <c r="AJ234" i="5" s="1"/>
  <c r="AJ232" i="5" s="1"/>
  <c r="BR29" i="16"/>
  <c r="X84" i="11"/>
  <c r="AI80" i="16"/>
  <c r="F62" i="14"/>
  <c r="M62" i="14" s="1"/>
  <c r="X100" i="8"/>
  <c r="N99" i="5"/>
  <c r="AJ220" i="5"/>
  <c r="W63" i="7"/>
  <c r="W12" i="7" s="1"/>
  <c r="N66" i="7"/>
  <c r="X53" i="12"/>
  <c r="AH220" i="5"/>
  <c r="BQ15" i="8"/>
  <c r="BK10" i="8" s="1"/>
  <c r="X255" i="10"/>
  <c r="F118" i="6"/>
  <c r="AI117" i="6"/>
  <c r="X150" i="8"/>
  <c r="AL110" i="15"/>
  <c r="AL10" i="15" s="1"/>
  <c r="AL8" i="15" s="1"/>
  <c r="AM259" i="15" s="1"/>
  <c r="AF110" i="8"/>
  <c r="O49" i="20"/>
  <c r="Q46" i="20"/>
  <c r="BQ15" i="16"/>
  <c r="BK10" i="16" s="1"/>
  <c r="AE31" i="12"/>
  <c r="AG31" i="12" s="1"/>
  <c r="AJ31" i="11"/>
  <c r="AJ31" i="10"/>
  <c r="AJ31" i="9"/>
  <c r="AJ31" i="8"/>
  <c r="AE245" i="7"/>
  <c r="AJ245" i="6"/>
  <c r="AG243" i="6"/>
  <c r="AG234" i="6" s="1"/>
  <c r="AG232" i="6" s="1"/>
  <c r="AR30" i="5"/>
  <c r="AW30" i="5" s="1"/>
  <c r="AY30" i="5" s="1"/>
  <c r="BP29" i="5"/>
  <c r="BJ13" i="5" s="1"/>
  <c r="BN29" i="5"/>
  <c r="BH13" i="5" s="1"/>
  <c r="AV30" i="5"/>
  <c r="AZ30" i="5"/>
  <c r="AI205" i="12"/>
  <c r="AB205" i="14"/>
  <c r="AD205" i="14" s="1"/>
  <c r="AI205" i="13"/>
  <c r="AI205" i="11"/>
  <c r="AD204" i="6"/>
  <c r="AB203" i="6"/>
  <c r="AB194" i="6" s="1"/>
  <c r="AB193" i="6" s="1"/>
  <c r="BP28" i="5"/>
  <c r="BP25" i="5" s="1"/>
  <c r="BJ12" i="5" s="1"/>
  <c r="AH194" i="5"/>
  <c r="AH193" i="5" s="1"/>
  <c r="AH204" i="14"/>
  <c r="AH203" i="14" s="1"/>
  <c r="X203" i="14"/>
  <c r="U194" i="13"/>
  <c r="U193" i="13" s="1"/>
  <c r="AI199" i="11"/>
  <c r="AJ195" i="5"/>
  <c r="AJ194" i="5" s="1"/>
  <c r="AJ193" i="5" s="1"/>
  <c r="AG198" i="6"/>
  <c r="AE195" i="6"/>
  <c r="AE194" i="6" s="1"/>
  <c r="AE193" i="6" s="1"/>
  <c r="AD198" i="9"/>
  <c r="AB195" i="9"/>
  <c r="AI195" i="5"/>
  <c r="AI194" i="5" s="1"/>
  <c r="AI193" i="5" s="1"/>
  <c r="X194" i="8"/>
  <c r="BN28" i="8" s="1"/>
  <c r="BQ25" i="5"/>
  <c r="BK12" i="5" s="1"/>
  <c r="R50" i="20"/>
  <c r="F49" i="20"/>
  <c r="AA193" i="5"/>
  <c r="BO28" i="5"/>
  <c r="BO25" i="5" s="1"/>
  <c r="BI12" i="5" s="1"/>
  <c r="Y196" i="7"/>
  <c r="BO26" i="6"/>
  <c r="AA195" i="6"/>
  <c r="AA194" i="6" s="1"/>
  <c r="X193" i="5"/>
  <c r="AQ28" i="5" s="1"/>
  <c r="BN28" i="5"/>
  <c r="BN25" i="5" s="1"/>
  <c r="BH12" i="5" s="1"/>
  <c r="AB185" i="7"/>
  <c r="AB170" i="7" s="1"/>
  <c r="BP31" i="6"/>
  <c r="BJ15" i="6" s="1"/>
  <c r="AB185" i="8"/>
  <c r="AB185" i="6"/>
  <c r="AB170" i="6" s="1"/>
  <c r="AB191" i="9"/>
  <c r="AI191" i="8"/>
  <c r="AD185" i="6"/>
  <c r="AD170" i="6" s="1"/>
  <c r="AD185" i="7"/>
  <c r="AD170" i="7" s="1"/>
  <c r="AH170" i="5"/>
  <c r="AH185" i="7"/>
  <c r="AE183" i="7"/>
  <c r="AG176" i="6"/>
  <c r="AG170" i="6" s="1"/>
  <c r="AS27" i="6" s="1"/>
  <c r="AX27" i="6" s="1"/>
  <c r="AB183" i="12"/>
  <c r="AD183" i="12" s="1"/>
  <c r="AI183" i="11"/>
  <c r="AI176" i="5"/>
  <c r="AI170" i="5" s="1"/>
  <c r="F46" i="20"/>
  <c r="AA177" i="6"/>
  <c r="Y176" i="6"/>
  <c r="Y170" i="6" s="1"/>
  <c r="U170" i="9"/>
  <c r="BP24" i="5"/>
  <c r="BP22" i="5" s="1"/>
  <c r="BJ11" i="5" s="1"/>
  <c r="AR27" i="5"/>
  <c r="AW27" i="5" s="1"/>
  <c r="AB174" i="15"/>
  <c r="X172" i="11"/>
  <c r="AH173" i="11"/>
  <c r="AH172" i="11" s="1"/>
  <c r="AJ173" i="11"/>
  <c r="AJ173" i="10"/>
  <c r="AJ172" i="10" s="1"/>
  <c r="BR17" i="16"/>
  <c r="BQ15" i="5"/>
  <c r="BK10" i="5" s="1"/>
  <c r="Y155" i="6"/>
  <c r="Y145" i="6" s="1"/>
  <c r="AE168" i="8"/>
  <c r="AG168" i="8" s="1"/>
  <c r="AJ168" i="7"/>
  <c r="BO17" i="5"/>
  <c r="AA145" i="5"/>
  <c r="U145" i="16"/>
  <c r="U110" i="16" s="1"/>
  <c r="AE166" i="16"/>
  <c r="AG166" i="16" s="1"/>
  <c r="AG110" i="5"/>
  <c r="AS26" i="5" s="1"/>
  <c r="AX26" i="5" s="1"/>
  <c r="AD157" i="8"/>
  <c r="AD155" i="8" s="1"/>
  <c r="AI164" i="14"/>
  <c r="AI164" i="11"/>
  <c r="AI164" i="9"/>
  <c r="AI164" i="15"/>
  <c r="AI164" i="12"/>
  <c r="AI164" i="13"/>
  <c r="AB157" i="8"/>
  <c r="AB155" i="8" s="1"/>
  <c r="AE162" i="7"/>
  <c r="AG157" i="6"/>
  <c r="AG155" i="6" s="1"/>
  <c r="AG145" i="6" s="1"/>
  <c r="AJ157" i="6"/>
  <c r="AB162" i="10"/>
  <c r="AI162" i="9"/>
  <c r="AD157" i="9"/>
  <c r="AD155" i="9" s="1"/>
  <c r="AI157" i="5"/>
  <c r="AI155" i="5" s="1"/>
  <c r="AI145" i="5" s="1"/>
  <c r="AH162" i="14"/>
  <c r="AH161" i="15"/>
  <c r="Y161" i="16"/>
  <c r="AA161" i="16" s="1"/>
  <c r="AH161" i="16" s="1"/>
  <c r="BP17" i="5"/>
  <c r="BP15" i="5" s="1"/>
  <c r="BJ10" i="5" s="1"/>
  <c r="Y160" i="7"/>
  <c r="AA157" i="6"/>
  <c r="AA155" i="6" s="1"/>
  <c r="AH157" i="6"/>
  <c r="AH155" i="6" s="1"/>
  <c r="BN17" i="5"/>
  <c r="U145" i="12"/>
  <c r="U145" i="10"/>
  <c r="U145" i="6"/>
  <c r="AJ145" i="5"/>
  <c r="AF110" i="5"/>
  <c r="AC110" i="5"/>
  <c r="Y156" i="7"/>
  <c r="BO18" i="6"/>
  <c r="U110" i="5"/>
  <c r="U10" i="5" s="1"/>
  <c r="U258" i="5" s="1"/>
  <c r="M77" i="12"/>
  <c r="N77" i="12"/>
  <c r="AH61" i="14"/>
  <c r="AI61" i="14"/>
  <c r="AJ61" i="14"/>
  <c r="AH61" i="12"/>
  <c r="AJ61" i="12"/>
  <c r="AI61" i="12"/>
  <c r="N59" i="11"/>
  <c r="AI60" i="12"/>
  <c r="X58" i="12"/>
  <c r="X57" i="12" s="1"/>
  <c r="AJ60" i="12"/>
  <c r="AH60" i="12"/>
  <c r="AH58" i="12" s="1"/>
  <c r="AH29" i="15"/>
  <c r="AI29" i="15"/>
  <c r="AH108" i="12"/>
  <c r="AI108" i="12"/>
  <c r="AJ108" i="12"/>
  <c r="AI188" i="11"/>
  <c r="AI187" i="11" s="1"/>
  <c r="AH188" i="11"/>
  <c r="D53" i="13"/>
  <c r="D51" i="12"/>
  <c r="F53" i="12"/>
  <c r="D100" i="14"/>
  <c r="D119" i="13"/>
  <c r="F119" i="12"/>
  <c r="V74" i="13"/>
  <c r="AI29" i="13"/>
  <c r="AH29" i="13"/>
  <c r="AJ29" i="13"/>
  <c r="AH214" i="11"/>
  <c r="AI214" i="11"/>
  <c r="D97" i="13"/>
  <c r="V188" i="15"/>
  <c r="W165" i="13"/>
  <c r="AA199" i="12"/>
  <c r="X141" i="12"/>
  <c r="BN20" i="12" s="1"/>
  <c r="AH142" i="12"/>
  <c r="AH141" i="12" s="1"/>
  <c r="AJ142" i="12"/>
  <c r="V21" i="13"/>
  <c r="V60" i="13"/>
  <c r="V58" i="12"/>
  <c r="V57" i="12" s="1"/>
  <c r="V228" i="13"/>
  <c r="V227" i="12"/>
  <c r="V220" i="12" s="1"/>
  <c r="X228" i="12"/>
  <c r="W133" i="13"/>
  <c r="W123" i="12"/>
  <c r="Y246" i="12"/>
  <c r="AE76" i="16"/>
  <c r="AG76" i="16" s="1"/>
  <c r="AV13" i="16"/>
  <c r="AJ57" i="10"/>
  <c r="AJ58" i="12"/>
  <c r="AI88" i="15"/>
  <c r="U90" i="7"/>
  <c r="U63" i="7" s="1"/>
  <c r="C43" i="20"/>
  <c r="AI25" i="16"/>
  <c r="AI253" i="16"/>
  <c r="AH218" i="15"/>
  <c r="AI218" i="15"/>
  <c r="M104" i="12"/>
  <c r="N104" i="12"/>
  <c r="AH237" i="12"/>
  <c r="AI237" i="12"/>
  <c r="AH29" i="12"/>
  <c r="AJ29" i="12"/>
  <c r="AI29" i="12"/>
  <c r="BN23" i="12"/>
  <c r="AI177" i="12"/>
  <c r="AH39" i="11"/>
  <c r="AJ39" i="11"/>
  <c r="AH25" i="15"/>
  <c r="AI25" i="15"/>
  <c r="AH61" i="15"/>
  <c r="AI61" i="15"/>
  <c r="AJ61" i="15"/>
  <c r="N92" i="12"/>
  <c r="M92" i="12"/>
  <c r="D114" i="15"/>
  <c r="F114" i="14"/>
  <c r="V51" i="13"/>
  <c r="V49" i="12"/>
  <c r="V127" i="13"/>
  <c r="V123" i="12"/>
  <c r="W148" i="14"/>
  <c r="W147" i="13"/>
  <c r="D65" i="13"/>
  <c r="D63" i="12"/>
  <c r="AI25" i="14"/>
  <c r="AH25" i="14"/>
  <c r="D59" i="13"/>
  <c r="F59" i="12"/>
  <c r="D57" i="12"/>
  <c r="D92" i="13"/>
  <c r="L34" i="16"/>
  <c r="AD187" i="15"/>
  <c r="AB188" i="16"/>
  <c r="U145" i="14"/>
  <c r="U234" i="7"/>
  <c r="U232" i="7" s="1"/>
  <c r="AI235" i="6"/>
  <c r="F123" i="7"/>
  <c r="AJ179" i="16"/>
  <c r="AI88" i="14"/>
  <c r="BN17" i="6"/>
  <c r="AJ33" i="11"/>
  <c r="AH33" i="11"/>
  <c r="N110" i="16"/>
  <c r="M110" i="16"/>
  <c r="M71" i="12"/>
  <c r="N71" i="12"/>
  <c r="M114" i="11"/>
  <c r="N114" i="11"/>
  <c r="AH214" i="12"/>
  <c r="AI214" i="12"/>
  <c r="D77" i="13"/>
  <c r="D75" i="12"/>
  <c r="X108" i="16"/>
  <c r="AE53" i="14"/>
  <c r="AG53" i="14" s="1"/>
  <c r="M114" i="13"/>
  <c r="N114" i="13"/>
  <c r="AJ133" i="12"/>
  <c r="AI133" i="12"/>
  <c r="AH133" i="12"/>
  <c r="D83" i="13"/>
  <c r="D81" i="12"/>
  <c r="D104" i="14"/>
  <c r="F104" i="13"/>
  <c r="V46" i="14"/>
  <c r="V237" i="13"/>
  <c r="W28" i="15"/>
  <c r="W20" i="14"/>
  <c r="W16" i="14" s="1"/>
  <c r="AI21" i="11"/>
  <c r="AH21" i="11"/>
  <c r="V39" i="13"/>
  <c r="X39" i="12"/>
  <c r="V177" i="13"/>
  <c r="V176" i="12"/>
  <c r="E100" i="13"/>
  <c r="W142" i="13"/>
  <c r="W141" i="12"/>
  <c r="Y167" i="16"/>
  <c r="AA167" i="16" s="1"/>
  <c r="AH167" i="16" s="1"/>
  <c r="AH167" i="15"/>
  <c r="AB142" i="12"/>
  <c r="AD141" i="11"/>
  <c r="BP20" i="11" s="1"/>
  <c r="N24" i="14"/>
  <c r="X129" i="15"/>
  <c r="AQ9" i="8"/>
  <c r="U170" i="10"/>
  <c r="AI157" i="6"/>
  <c r="AI155" i="6" s="1"/>
  <c r="AI240" i="16"/>
  <c r="C28" i="8"/>
  <c r="C21" i="8" s="1"/>
  <c r="C19" i="8" s="1"/>
  <c r="C17" i="8" s="1"/>
  <c r="C8" i="8" s="1"/>
  <c r="AV7" i="6"/>
  <c r="AU8" i="7"/>
  <c r="N113" i="10"/>
  <c r="AI29" i="16"/>
  <c r="AI55" i="16"/>
  <c r="F97" i="12"/>
  <c r="AZ11" i="9"/>
  <c r="AH108" i="14"/>
  <c r="AI108" i="14"/>
  <c r="AH74" i="12"/>
  <c r="N77" i="11"/>
  <c r="M77" i="11"/>
  <c r="AH188" i="14"/>
  <c r="AI188" i="14"/>
  <c r="AI218" i="13"/>
  <c r="AH218" i="13"/>
  <c r="AH61" i="13"/>
  <c r="AI61" i="13"/>
  <c r="AJ61" i="13"/>
  <c r="AH165" i="12"/>
  <c r="AI165" i="12"/>
  <c r="AJ165" i="12"/>
  <c r="AH228" i="11"/>
  <c r="AH33" i="14"/>
  <c r="AJ33" i="14"/>
  <c r="AH29" i="14"/>
  <c r="AI29" i="14"/>
  <c r="D71" i="13"/>
  <c r="V75" i="15"/>
  <c r="V214" i="13"/>
  <c r="F81" i="11"/>
  <c r="N83" i="11"/>
  <c r="N81" i="11" s="1"/>
  <c r="M104" i="11"/>
  <c r="N104" i="11"/>
  <c r="AR30" i="7"/>
  <c r="AW30" i="7" s="1"/>
  <c r="BP30" i="7"/>
  <c r="BJ14" i="7" s="1"/>
  <c r="D80" i="14"/>
  <c r="F80" i="13"/>
  <c r="D102" i="16"/>
  <c r="F102" i="16" s="1"/>
  <c r="F102" i="15"/>
  <c r="N102" i="15" s="1"/>
  <c r="AI142" i="11"/>
  <c r="AI141" i="11" s="1"/>
  <c r="X141" i="11"/>
  <c r="BN20" i="11" s="1"/>
  <c r="AH142" i="11"/>
  <c r="AH141" i="11" s="1"/>
  <c r="AJ142" i="11"/>
  <c r="G56" i="16"/>
  <c r="F28" i="7"/>
  <c r="AQ9" i="7" s="1"/>
  <c r="AZ9" i="7" s="1"/>
  <c r="AH57" i="10"/>
  <c r="AI161" i="16"/>
  <c r="AD16" i="7"/>
  <c r="U145" i="8"/>
  <c r="U145" i="9"/>
  <c r="U110" i="9" s="1"/>
  <c r="U220" i="15"/>
  <c r="F83" i="12"/>
  <c r="AJ29" i="16"/>
  <c r="AD152" i="6"/>
  <c r="AB149" i="6"/>
  <c r="AB147" i="6" s="1"/>
  <c r="AB145" i="6" s="1"/>
  <c r="X145" i="5"/>
  <c r="BN16" i="5"/>
  <c r="U145" i="15"/>
  <c r="AJ149" i="6"/>
  <c r="AJ147" i="6" s="1"/>
  <c r="Y151" i="7"/>
  <c r="AA149" i="6"/>
  <c r="AA147" i="6" s="1"/>
  <c r="AJ148" i="9"/>
  <c r="BN18" i="6"/>
  <c r="AH148" i="9"/>
  <c r="BN18" i="9"/>
  <c r="AD112" i="5"/>
  <c r="AD110" i="5" s="1"/>
  <c r="AR26" i="5" s="1"/>
  <c r="AW26" i="5" s="1"/>
  <c r="AE123" i="6"/>
  <c r="AE112" i="6" s="1"/>
  <c r="AE110" i="6" s="1"/>
  <c r="AE134" i="8"/>
  <c r="AG134" i="8" s="1"/>
  <c r="AE134" i="9" s="1"/>
  <c r="AG134" i="9" s="1"/>
  <c r="AB134" i="9"/>
  <c r="AD134" i="9" s="1"/>
  <c r="AI134" i="8"/>
  <c r="Y134" i="9"/>
  <c r="AA134" i="9" s="1"/>
  <c r="AH134" i="8"/>
  <c r="AE128" i="15"/>
  <c r="AG128" i="15" s="1"/>
  <c r="AJ128" i="14"/>
  <c r="AJ128" i="13"/>
  <c r="AJ128" i="12"/>
  <c r="AJ128" i="9"/>
  <c r="AJ128" i="10"/>
  <c r="AH123" i="5"/>
  <c r="AH112" i="5" s="1"/>
  <c r="U112" i="12"/>
  <c r="AE126" i="8"/>
  <c r="AG126" i="8" s="1"/>
  <c r="AJ126" i="7"/>
  <c r="AJ126" i="6"/>
  <c r="AB126" i="8"/>
  <c r="AD126" i="8" s="1"/>
  <c r="AI126" i="7"/>
  <c r="BP19" i="7"/>
  <c r="Y112" i="6"/>
  <c r="Y126" i="7"/>
  <c r="BO19" i="6"/>
  <c r="AA123" i="6"/>
  <c r="AI112" i="5"/>
  <c r="AJ112" i="5"/>
  <c r="U112" i="8"/>
  <c r="U112" i="6"/>
  <c r="X112" i="5"/>
  <c r="AE124" i="9"/>
  <c r="AG124" i="9" s="1"/>
  <c r="AJ124" i="8"/>
  <c r="AB124" i="7"/>
  <c r="AD123" i="6"/>
  <c r="AI124" i="6"/>
  <c r="AI123" i="6" s="1"/>
  <c r="AB112" i="6"/>
  <c r="U112" i="11"/>
  <c r="U112" i="14"/>
  <c r="AA112" i="5"/>
  <c r="U112" i="13"/>
  <c r="Y116" i="9"/>
  <c r="AA114" i="8"/>
  <c r="Y114" i="8"/>
  <c r="AH116" i="8"/>
  <c r="U112" i="7"/>
  <c r="AI114" i="6"/>
  <c r="AH114" i="6"/>
  <c r="U112" i="15"/>
  <c r="AD106" i="6"/>
  <c r="AB105" i="6"/>
  <c r="AB104" i="6" s="1"/>
  <c r="AB101" i="15"/>
  <c r="AD101" i="15" s="1"/>
  <c r="AI101" i="14"/>
  <c r="AA90" i="7"/>
  <c r="AA90" i="5"/>
  <c r="BO13" i="5" s="1"/>
  <c r="AA90" i="10"/>
  <c r="AI101" i="13"/>
  <c r="AB100" i="9"/>
  <c r="AD100" i="9" s="1"/>
  <c r="AB100" i="10" s="1"/>
  <c r="AD100" i="10" s="1"/>
  <c r="AA90" i="6"/>
  <c r="AH96" i="6"/>
  <c r="Y90" i="8"/>
  <c r="Y90" i="7"/>
  <c r="X90" i="5"/>
  <c r="X63" i="5" s="1"/>
  <c r="U90" i="10"/>
  <c r="U63" i="10" s="1"/>
  <c r="AH90" i="5"/>
  <c r="AB98" i="10"/>
  <c r="AD98" i="10" s="1"/>
  <c r="AI98" i="9"/>
  <c r="AA90" i="8"/>
  <c r="U90" i="16"/>
  <c r="U63" i="16" s="1"/>
  <c r="U90" i="6"/>
  <c r="U63" i="6" s="1"/>
  <c r="AD97" i="6"/>
  <c r="AB96" i="6"/>
  <c r="AB90" i="6" s="1"/>
  <c r="Y90" i="6"/>
  <c r="Y90" i="9"/>
  <c r="X90" i="7"/>
  <c r="X90" i="6"/>
  <c r="AI90" i="5"/>
  <c r="U90" i="12"/>
  <c r="U63" i="12" s="1"/>
  <c r="U90" i="9"/>
  <c r="U63" i="9" s="1"/>
  <c r="AD63" i="5"/>
  <c r="AR25" i="5"/>
  <c r="AW25" i="5" s="1"/>
  <c r="AG63" i="5"/>
  <c r="AG12" i="5" s="1"/>
  <c r="AG92" i="6"/>
  <c r="AE91" i="6"/>
  <c r="AE90" i="6" s="1"/>
  <c r="AE63" i="6" s="1"/>
  <c r="AC12" i="5"/>
  <c r="AI86" i="9"/>
  <c r="AB86" i="11"/>
  <c r="AD86" i="11" s="1"/>
  <c r="AI86" i="10"/>
  <c r="U63" i="11"/>
  <c r="AJ83" i="5"/>
  <c r="AJ63" i="5" s="1"/>
  <c r="AD84" i="6"/>
  <c r="AB83" i="6"/>
  <c r="Z12" i="5"/>
  <c r="Z10" i="5" s="1"/>
  <c r="Z258" i="5" s="1"/>
  <c r="U63" i="14"/>
  <c r="U63" i="13"/>
  <c r="AE81" i="9"/>
  <c r="AG81" i="9" s="1"/>
  <c r="AJ81" i="8"/>
  <c r="Y81" i="10"/>
  <c r="AA81" i="10" s="1"/>
  <c r="AH81" i="9"/>
  <c r="AS23" i="5"/>
  <c r="AX23" i="5" s="1"/>
  <c r="AJ79" i="13"/>
  <c r="AD79" i="6"/>
  <c r="AB69" i="6"/>
  <c r="AB65" i="6" s="1"/>
  <c r="AH79" i="15"/>
  <c r="Y79" i="16"/>
  <c r="AA79" i="16" s="1"/>
  <c r="AH79" i="16" s="1"/>
  <c r="AH79" i="10"/>
  <c r="AH79" i="6"/>
  <c r="AH79" i="12"/>
  <c r="AH79" i="8"/>
  <c r="AH79" i="7"/>
  <c r="AH79" i="9"/>
  <c r="Y69" i="6"/>
  <c r="Y65" i="6" s="1"/>
  <c r="AH69" i="5"/>
  <c r="AH65" i="5" s="1"/>
  <c r="AH79" i="14"/>
  <c r="AE77" i="7"/>
  <c r="AG69" i="6"/>
  <c r="AG65" i="6" s="1"/>
  <c r="AJ77" i="6"/>
  <c r="BQ9" i="5"/>
  <c r="BQ8" i="5" s="1"/>
  <c r="BQ7" i="5" s="1"/>
  <c r="Y77" i="14"/>
  <c r="AA77" i="14" s="1"/>
  <c r="AH77" i="13"/>
  <c r="AI65" i="5"/>
  <c r="F33" i="20"/>
  <c r="F32" i="20" s="1"/>
  <c r="F31" i="20" s="1"/>
  <c r="AR23" i="5"/>
  <c r="AW23" i="5" s="1"/>
  <c r="AH72" i="9"/>
  <c r="AJ72" i="9"/>
  <c r="AI72" i="9"/>
  <c r="Y70" i="7"/>
  <c r="AA69" i="6"/>
  <c r="AA65" i="6" s="1"/>
  <c r="AH70" i="6"/>
  <c r="AE67" i="8"/>
  <c r="AJ67" i="7"/>
  <c r="AB67" i="8"/>
  <c r="AD67" i="8" s="1"/>
  <c r="BP11" i="7"/>
  <c r="AD66" i="7"/>
  <c r="AR22" i="7" s="1"/>
  <c r="AV22" i="5"/>
  <c r="AZ22" i="5"/>
  <c r="AH58" i="11"/>
  <c r="AH57" i="11" s="1"/>
  <c r="AB59" i="7"/>
  <c r="AD58" i="6"/>
  <c r="AD57" i="6" s="1"/>
  <c r="X58" i="6"/>
  <c r="X57" i="6" s="1"/>
  <c r="AH59" i="6"/>
  <c r="AH58" i="6" s="1"/>
  <c r="AH57" i="6" s="1"/>
  <c r="AI59" i="6"/>
  <c r="AI58" i="6" s="1"/>
  <c r="AI57" i="6" s="1"/>
  <c r="AJ59" i="6"/>
  <c r="AJ58" i="6" s="1"/>
  <c r="AJ57" i="6" s="1"/>
  <c r="Y55" i="8"/>
  <c r="AA55" i="8" s="1"/>
  <c r="AH55" i="7"/>
  <c r="Y43" i="6"/>
  <c r="AI54" i="11"/>
  <c r="AI54" i="14"/>
  <c r="AI54" i="9"/>
  <c r="AI54" i="13"/>
  <c r="AI54" i="15"/>
  <c r="AI54" i="10"/>
  <c r="AI54" i="8"/>
  <c r="AI54" i="12"/>
  <c r="BP13" i="5"/>
  <c r="U43" i="9"/>
  <c r="U14" i="9" s="1"/>
  <c r="AJ43" i="5"/>
  <c r="U43" i="8"/>
  <c r="U14" i="8" s="1"/>
  <c r="U43" i="15"/>
  <c r="U14" i="15" s="1"/>
  <c r="AB50" i="7"/>
  <c r="AD49" i="6"/>
  <c r="AD43" i="6" s="1"/>
  <c r="AB14" i="6"/>
  <c r="AI50" i="6"/>
  <c r="Y50" i="7"/>
  <c r="AA49" i="6"/>
  <c r="AH50" i="6"/>
  <c r="U14" i="12"/>
  <c r="U43" i="13"/>
  <c r="U14" i="13" s="1"/>
  <c r="AF14" i="5"/>
  <c r="AF12" i="5" s="1"/>
  <c r="AI44" i="8"/>
  <c r="AE45" i="7"/>
  <c r="AG44" i="6"/>
  <c r="Y45" i="7"/>
  <c r="AA44" i="6"/>
  <c r="U43" i="6"/>
  <c r="U14" i="6" s="1"/>
  <c r="U14" i="16"/>
  <c r="AI35" i="6"/>
  <c r="AA41" i="6"/>
  <c r="Y35" i="6"/>
  <c r="AE38" i="7"/>
  <c r="AG35" i="6"/>
  <c r="AS24" i="6" s="1"/>
  <c r="AX24" i="6" s="1"/>
  <c r="AJ38" i="6"/>
  <c r="AJ35" i="5"/>
  <c r="U14" i="11"/>
  <c r="U14" i="7"/>
  <c r="AJ35" i="6"/>
  <c r="U14" i="14"/>
  <c r="BN14" i="5"/>
  <c r="BH9" i="5" s="1"/>
  <c r="AQ24" i="5"/>
  <c r="X14" i="5"/>
  <c r="AB16" i="7"/>
  <c r="AB33" i="8"/>
  <c r="AD33" i="8" s="1"/>
  <c r="BP31" i="7"/>
  <c r="BJ15" i="7" s="1"/>
  <c r="AI33" i="7"/>
  <c r="AH20" i="6"/>
  <c r="AH16" i="6" s="1"/>
  <c r="AI20" i="6"/>
  <c r="AI16" i="6" s="1"/>
  <c r="AG23" i="6"/>
  <c r="AE20" i="6"/>
  <c r="AE16" i="6" s="1"/>
  <c r="AE14" i="6" s="1"/>
  <c r="BP12" i="5"/>
  <c r="BP9" i="5" s="1"/>
  <c r="AD14" i="5"/>
  <c r="AI20" i="8"/>
  <c r="AJ16" i="5"/>
  <c r="AE17" i="8"/>
  <c r="AS22" i="7"/>
  <c r="AB17" i="8"/>
  <c r="AA16" i="7"/>
  <c r="Y17" i="8"/>
  <c r="BO10" i="7"/>
  <c r="AA14" i="5"/>
  <c r="BO12" i="5"/>
  <c r="BO9" i="5" s="1"/>
  <c r="Y16" i="7"/>
  <c r="N108" i="5"/>
  <c r="N113" i="9"/>
  <c r="J113" i="13"/>
  <c r="L113" i="13" s="1"/>
  <c r="N113" i="12"/>
  <c r="N113" i="11"/>
  <c r="I113" i="6"/>
  <c r="G108" i="6"/>
  <c r="J116" i="8"/>
  <c r="L108" i="7"/>
  <c r="AS15" i="7" s="1"/>
  <c r="N123" i="5"/>
  <c r="J108" i="7"/>
  <c r="L96" i="6"/>
  <c r="J93" i="6"/>
  <c r="J85" i="6" s="1"/>
  <c r="BC19" i="8"/>
  <c r="M85" i="5"/>
  <c r="F85" i="5"/>
  <c r="L86" i="6"/>
  <c r="L19" i="5"/>
  <c r="L17" i="5" s="1"/>
  <c r="M85" i="6"/>
  <c r="L79" i="7"/>
  <c r="J78" i="7"/>
  <c r="L78" i="7" s="1"/>
  <c r="N78" i="7" s="1"/>
  <c r="N79" i="6"/>
  <c r="I79" i="7"/>
  <c r="G78" i="7"/>
  <c r="I78" i="7" s="1"/>
  <c r="M78" i="7" s="1"/>
  <c r="G76" i="7"/>
  <c r="AW9" i="6"/>
  <c r="I75" i="6"/>
  <c r="AR9" i="6" s="1"/>
  <c r="L74" i="15"/>
  <c r="J72" i="15"/>
  <c r="I74" i="6"/>
  <c r="G72" i="6"/>
  <c r="G123" i="6"/>
  <c r="M123" i="5"/>
  <c r="N69" i="7"/>
  <c r="BD10" i="5"/>
  <c r="BD9" i="5" s="1"/>
  <c r="BD8" i="5" s="1"/>
  <c r="BD23" i="5" s="1"/>
  <c r="G70" i="7"/>
  <c r="I69" i="6"/>
  <c r="J21" i="6"/>
  <c r="I65" i="6"/>
  <c r="G63" i="6"/>
  <c r="J62" i="7"/>
  <c r="J123" i="7" s="1"/>
  <c r="L60" i="6"/>
  <c r="L21" i="6" s="1"/>
  <c r="N62" i="6"/>
  <c r="M62" i="10"/>
  <c r="C21" i="13"/>
  <c r="C19" i="13" s="1"/>
  <c r="C17" i="13" s="1"/>
  <c r="C8" i="13" s="1"/>
  <c r="G61" i="7"/>
  <c r="BD17" i="6"/>
  <c r="I60" i="6"/>
  <c r="C21" i="9"/>
  <c r="C19" i="9" s="1"/>
  <c r="C17" i="9" s="1"/>
  <c r="C8" i="9" s="1"/>
  <c r="N42" i="9"/>
  <c r="AU10" i="15"/>
  <c r="AY10" i="15"/>
  <c r="BC10" i="5"/>
  <c r="BC9" i="5" s="1"/>
  <c r="BC8" i="5" s="1"/>
  <c r="N30" i="11"/>
  <c r="M25" i="7"/>
  <c r="I21" i="5"/>
  <c r="I19" i="5" s="1"/>
  <c r="I17" i="5" s="1"/>
  <c r="M25" i="5"/>
  <c r="M21" i="5" s="1"/>
  <c r="AY8" i="5"/>
  <c r="AU8" i="5"/>
  <c r="AV8" i="7"/>
  <c r="AV8" i="5"/>
  <c r="N22" i="6"/>
  <c r="N22" i="5"/>
  <c r="N21" i="5" s="1"/>
  <c r="N19" i="5" s="1"/>
  <c r="N17" i="5" s="1"/>
  <c r="I23" i="6"/>
  <c r="G22" i="6"/>
  <c r="AV7" i="11"/>
  <c r="AQ16" i="5"/>
  <c r="BC7" i="5"/>
  <c r="BN28" i="9"/>
  <c r="X193" i="9"/>
  <c r="AQ28" i="9" s="1"/>
  <c r="X207" i="7"/>
  <c r="AQ29" i="7" s="1"/>
  <c r="BN27" i="7"/>
  <c r="AH66" i="16"/>
  <c r="BN10" i="16"/>
  <c r="AQ22" i="16"/>
  <c r="X207" i="8"/>
  <c r="AQ29" i="8" s="1"/>
  <c r="BN27" i="8"/>
  <c r="AH66" i="15"/>
  <c r="AQ22" i="15"/>
  <c r="BN10" i="15"/>
  <c r="AI241" i="16"/>
  <c r="AH241" i="16"/>
  <c r="AI18" i="16"/>
  <c r="AH18" i="16"/>
  <c r="BN11" i="16"/>
  <c r="C35" i="20" s="1"/>
  <c r="AH37" i="16"/>
  <c r="M24" i="13"/>
  <c r="N24" i="13"/>
  <c r="N22" i="13" s="1"/>
  <c r="F22" i="13"/>
  <c r="AQ7" i="13" s="1"/>
  <c r="F29" i="11"/>
  <c r="N31" i="11"/>
  <c r="M31" i="11"/>
  <c r="AG74" i="12"/>
  <c r="AE160" i="12"/>
  <c r="BN10" i="10"/>
  <c r="AQ22" i="10"/>
  <c r="AJ33" i="15"/>
  <c r="AI81" i="13"/>
  <c r="AH158" i="11"/>
  <c r="AJ158" i="11"/>
  <c r="AI158" i="11"/>
  <c r="F22" i="10"/>
  <c r="AQ7" i="10" s="1"/>
  <c r="N24" i="10"/>
  <c r="N22" i="10" s="1"/>
  <c r="M24" i="10"/>
  <c r="AA23" i="11"/>
  <c r="Y20" i="11"/>
  <c r="AD127" i="8"/>
  <c r="AD178" i="8"/>
  <c r="AB176" i="8"/>
  <c r="M58" i="10"/>
  <c r="N58" i="10"/>
  <c r="N57" i="10" s="1"/>
  <c r="F57" i="10"/>
  <c r="X207" i="6"/>
  <c r="AQ29" i="6" s="1"/>
  <c r="BN27" i="6"/>
  <c r="AH124" i="11"/>
  <c r="X123" i="11"/>
  <c r="AH118" i="9"/>
  <c r="AI118" i="9"/>
  <c r="AJ118" i="9"/>
  <c r="AH98" i="15"/>
  <c r="AJ98" i="15"/>
  <c r="AI196" i="15"/>
  <c r="X141" i="7"/>
  <c r="BN20" i="7" s="1"/>
  <c r="AI142" i="7"/>
  <c r="AI141" i="7" s="1"/>
  <c r="AH142" i="7"/>
  <c r="AH141" i="7" s="1"/>
  <c r="AJ142" i="7"/>
  <c r="AJ141" i="7" s="1"/>
  <c r="F22" i="12"/>
  <c r="AQ7" i="12" s="1"/>
  <c r="N24" i="12"/>
  <c r="N22" i="12" s="1"/>
  <c r="M24" i="12"/>
  <c r="AJ196" i="6"/>
  <c r="X195" i="6"/>
  <c r="X194" i="6" s="1"/>
  <c r="AH196" i="6"/>
  <c r="AH195" i="6" s="1"/>
  <c r="AH194" i="6" s="1"/>
  <c r="AH193" i="6" s="1"/>
  <c r="BN26" i="6"/>
  <c r="AI196" i="6"/>
  <c r="AI195" i="6" s="1"/>
  <c r="X174" i="14"/>
  <c r="W174" i="15"/>
  <c r="W172" i="14"/>
  <c r="X190" i="16"/>
  <c r="AE137" i="16"/>
  <c r="AG137" i="16" s="1"/>
  <c r="AJ137" i="16" s="1"/>
  <c r="AJ137" i="15"/>
  <c r="AD158" i="16"/>
  <c r="M64" i="6"/>
  <c r="BC14" i="6"/>
  <c r="N64" i="6"/>
  <c r="N63" i="6" s="1"/>
  <c r="AE177" i="14"/>
  <c r="AG177" i="14" s="1"/>
  <c r="AE177" i="15" s="1"/>
  <c r="AG177" i="15" s="1"/>
  <c r="AJ18" i="15"/>
  <c r="AE18" i="16"/>
  <c r="AG18" i="16" s="1"/>
  <c r="AJ18" i="16" s="1"/>
  <c r="AH132" i="15"/>
  <c r="AI132" i="15"/>
  <c r="AH54" i="16"/>
  <c r="AI54" i="16"/>
  <c r="AI163" i="16"/>
  <c r="AH163" i="16"/>
  <c r="N30" i="15"/>
  <c r="F29" i="15"/>
  <c r="AI48" i="16"/>
  <c r="AH48" i="16"/>
  <c r="AH166" i="16"/>
  <c r="AJ166" i="16"/>
  <c r="AH31" i="16"/>
  <c r="AI31" i="16"/>
  <c r="AH67" i="16"/>
  <c r="AH179" i="16"/>
  <c r="AI179" i="16"/>
  <c r="AI246" i="16"/>
  <c r="M44" i="16"/>
  <c r="F49" i="16"/>
  <c r="E48" i="16"/>
  <c r="Y125" i="16"/>
  <c r="AH125" i="15"/>
  <c r="AI246" i="15"/>
  <c r="AH92" i="16"/>
  <c r="M24" i="15"/>
  <c r="N24" i="15"/>
  <c r="F22" i="15"/>
  <c r="AQ7" i="15" s="1"/>
  <c r="F103" i="16"/>
  <c r="V50" i="16"/>
  <c r="X50" i="15"/>
  <c r="I49" i="16"/>
  <c r="Y87" i="15"/>
  <c r="AA83" i="14"/>
  <c r="G36" i="16"/>
  <c r="M36" i="15"/>
  <c r="AA158" i="15"/>
  <c r="AB46" i="15"/>
  <c r="AD44" i="14"/>
  <c r="F29" i="12"/>
  <c r="N30" i="12"/>
  <c r="M31" i="12"/>
  <c r="N31" i="12"/>
  <c r="AH97" i="12"/>
  <c r="D24" i="16"/>
  <c r="D22" i="15"/>
  <c r="L55" i="12"/>
  <c r="N55" i="12" s="1"/>
  <c r="J54" i="12"/>
  <c r="J71" i="15"/>
  <c r="AV10" i="8"/>
  <c r="AU10" i="8"/>
  <c r="AZ10" i="8"/>
  <c r="AJ85" i="14"/>
  <c r="AI25" i="11"/>
  <c r="AH152" i="11"/>
  <c r="AJ152" i="11"/>
  <c r="X193" i="10"/>
  <c r="AQ28" i="10" s="1"/>
  <c r="AV10" i="7"/>
  <c r="AY10" i="7"/>
  <c r="AU10" i="7"/>
  <c r="AJ142" i="10"/>
  <c r="AI142" i="10"/>
  <c r="AI141" i="10" s="1"/>
  <c r="AH142" i="10"/>
  <c r="AH141" i="10" s="1"/>
  <c r="X141" i="10"/>
  <c r="BN20" i="10" s="1"/>
  <c r="AI81" i="14"/>
  <c r="N34" i="11"/>
  <c r="M34" i="11"/>
  <c r="M53" i="11"/>
  <c r="M51" i="11" s="1"/>
  <c r="F51" i="11"/>
  <c r="N74" i="11"/>
  <c r="N110" i="11"/>
  <c r="M110" i="11"/>
  <c r="AI224" i="11"/>
  <c r="AH224" i="11"/>
  <c r="AH222" i="11" s="1"/>
  <c r="AH84" i="10"/>
  <c r="AH83" i="10" s="1"/>
  <c r="AJ84" i="10"/>
  <c r="X83" i="10"/>
  <c r="N65" i="9"/>
  <c r="N63" i="9" s="1"/>
  <c r="F63" i="9"/>
  <c r="AI81" i="7"/>
  <c r="AH81" i="7"/>
  <c r="BN31" i="7"/>
  <c r="X65" i="7"/>
  <c r="AJ81" i="7"/>
  <c r="AI118" i="7"/>
  <c r="AH118" i="7"/>
  <c r="AH114" i="7" s="1"/>
  <c r="X114" i="7"/>
  <c r="AJ118" i="7"/>
  <c r="AH229" i="7"/>
  <c r="AH227" i="7" s="1"/>
  <c r="AI229" i="7"/>
  <c r="AI227" i="7" s="1"/>
  <c r="X227" i="7"/>
  <c r="X220" i="7" s="1"/>
  <c r="BN30" i="7" s="1"/>
  <c r="AH244" i="12"/>
  <c r="AI244" i="12"/>
  <c r="N89" i="9"/>
  <c r="M89" i="9"/>
  <c r="AQ12" i="9"/>
  <c r="AH84" i="9"/>
  <c r="AH83" i="9" s="1"/>
  <c r="AJ84" i="9"/>
  <c r="N101" i="8"/>
  <c r="M115" i="8"/>
  <c r="N115" i="8"/>
  <c r="BC20" i="8"/>
  <c r="AI53" i="8"/>
  <c r="AH53" i="8"/>
  <c r="X49" i="8"/>
  <c r="X43" i="8" s="1"/>
  <c r="AJ53" i="8"/>
  <c r="M13" i="6"/>
  <c r="N13" i="6"/>
  <c r="G25" i="20"/>
  <c r="AJ88" i="13"/>
  <c r="AH178" i="13"/>
  <c r="AI188" i="13"/>
  <c r="AH188" i="13"/>
  <c r="AZ12" i="6"/>
  <c r="AY12" i="6"/>
  <c r="X176" i="6"/>
  <c r="AI177" i="6"/>
  <c r="BN23" i="6"/>
  <c r="AJ177" i="6"/>
  <c r="AJ176" i="6" s="1"/>
  <c r="N74" i="9"/>
  <c r="M27" i="6"/>
  <c r="M25" i="6" s="1"/>
  <c r="N27" i="6"/>
  <c r="N25" i="6" s="1"/>
  <c r="F123" i="6"/>
  <c r="BC22" i="6"/>
  <c r="AI51" i="6"/>
  <c r="AH51" i="6"/>
  <c r="AJ51" i="6"/>
  <c r="B8" i="9"/>
  <c r="AI174" i="13"/>
  <c r="AH174" i="13"/>
  <c r="L30" i="16"/>
  <c r="N30" i="16" s="1"/>
  <c r="J29" i="16"/>
  <c r="AB38" i="16"/>
  <c r="AI38" i="15"/>
  <c r="AQ16" i="8"/>
  <c r="BC7" i="8"/>
  <c r="M24" i="8"/>
  <c r="F22" i="8"/>
  <c r="AQ7" i="8" s="1"/>
  <c r="N24" i="8"/>
  <c r="N22" i="8" s="1"/>
  <c r="N44" i="8"/>
  <c r="N42" i="8" s="1"/>
  <c r="M44" i="8"/>
  <c r="M42" i="8" s="1"/>
  <c r="AJ125" i="15"/>
  <c r="AE125" i="16"/>
  <c r="AG125" i="16" s="1"/>
  <c r="AJ125" i="16" s="1"/>
  <c r="AD212" i="15"/>
  <c r="AG142" i="15"/>
  <c r="Y251" i="16"/>
  <c r="AA251" i="16" s="1"/>
  <c r="AE32" i="16"/>
  <c r="AG32" i="16" s="1"/>
  <c r="AJ32" i="16" s="1"/>
  <c r="AJ32" i="15"/>
  <c r="J99" i="7"/>
  <c r="L105" i="7"/>
  <c r="AH188" i="6"/>
  <c r="AH187" i="6" s="1"/>
  <c r="AH185" i="6" s="1"/>
  <c r="AI188" i="6"/>
  <c r="AI187" i="6" s="1"/>
  <c r="AI185" i="6" s="1"/>
  <c r="X187" i="6"/>
  <c r="X185" i="6" s="1"/>
  <c r="AJ188" i="6"/>
  <c r="AJ187" i="6" s="1"/>
  <c r="AJ185" i="6" s="1"/>
  <c r="F21" i="8"/>
  <c r="F19" i="8" s="1"/>
  <c r="AI32" i="16"/>
  <c r="AI254" i="16"/>
  <c r="U170" i="6"/>
  <c r="C21" i="12"/>
  <c r="C19" i="12" s="1"/>
  <c r="C17" i="12" s="1"/>
  <c r="C8" i="12" s="1"/>
  <c r="AI173" i="10"/>
  <c r="AI172" i="10" s="1"/>
  <c r="AI189" i="8"/>
  <c r="AI187" i="8" s="1"/>
  <c r="AH172" i="6"/>
  <c r="N99" i="6"/>
  <c r="N35" i="6"/>
  <c r="AI244" i="6"/>
  <c r="AI243" i="6" s="1"/>
  <c r="N112" i="16"/>
  <c r="U170" i="16"/>
  <c r="N106" i="16"/>
  <c r="X70" i="16"/>
  <c r="U170" i="12"/>
  <c r="N42" i="13"/>
  <c r="U14" i="10"/>
  <c r="U145" i="11"/>
  <c r="U145" i="7"/>
  <c r="U90" i="15"/>
  <c r="U63" i="15" s="1"/>
  <c r="U220" i="10"/>
  <c r="AY10" i="9"/>
  <c r="AI166" i="16"/>
  <c r="AI172" i="9"/>
  <c r="AI187" i="7"/>
  <c r="AH69" i="6"/>
  <c r="AH186" i="16"/>
  <c r="AI186" i="16"/>
  <c r="AH129" i="15"/>
  <c r="AI129" i="15"/>
  <c r="AH124" i="14"/>
  <c r="AH52" i="15"/>
  <c r="AI52" i="15"/>
  <c r="N71" i="10"/>
  <c r="M71" i="10"/>
  <c r="AB135" i="13"/>
  <c r="AD135" i="13" s="1"/>
  <c r="AI135" i="12"/>
  <c r="AI153" i="11"/>
  <c r="AJ153" i="11"/>
  <c r="AH153" i="11"/>
  <c r="N74" i="10"/>
  <c r="AH246" i="11"/>
  <c r="AI246" i="11"/>
  <c r="AQ22" i="8"/>
  <c r="X16" i="8"/>
  <c r="BN10" i="8"/>
  <c r="AH52" i="9"/>
  <c r="AI52" i="9"/>
  <c r="F72" i="6"/>
  <c r="N73" i="6"/>
  <c r="N72" i="6" s="1"/>
  <c r="M73" i="6"/>
  <c r="AH213" i="6"/>
  <c r="AH211" i="6" s="1"/>
  <c r="AH210" i="6" s="1"/>
  <c r="AH209" i="6" s="1"/>
  <c r="AH207" i="6" s="1"/>
  <c r="AI213" i="6"/>
  <c r="AI211" i="6" s="1"/>
  <c r="AI210" i="6" s="1"/>
  <c r="AI209" i="6" s="1"/>
  <c r="AI207" i="6" s="1"/>
  <c r="AJ213" i="6"/>
  <c r="AJ211" i="6" s="1"/>
  <c r="AJ210" i="6" s="1"/>
  <c r="AJ209" i="6" s="1"/>
  <c r="AJ207" i="6" s="1"/>
  <c r="AI212" i="14"/>
  <c r="BN26" i="14"/>
  <c r="AI108" i="15"/>
  <c r="AJ108" i="15"/>
  <c r="AH108" i="15"/>
  <c r="M88" i="16"/>
  <c r="N88" i="16"/>
  <c r="AQ11" i="16"/>
  <c r="M91" i="16"/>
  <c r="N91" i="16"/>
  <c r="AH27" i="16"/>
  <c r="AI27" i="16"/>
  <c r="AH52" i="16"/>
  <c r="AI52" i="16"/>
  <c r="F74" i="16"/>
  <c r="I67" i="16"/>
  <c r="AI72" i="16"/>
  <c r="AH59" i="15"/>
  <c r="AJ59" i="15"/>
  <c r="I43" i="16"/>
  <c r="G42" i="16"/>
  <c r="G118" i="16"/>
  <c r="I117" i="15"/>
  <c r="BD21" i="15" s="1"/>
  <c r="AG22" i="13"/>
  <c r="AG46" i="12"/>
  <c r="M87" i="15"/>
  <c r="N87" i="15"/>
  <c r="F22" i="14"/>
  <c r="AQ7" i="14" s="1"/>
  <c r="N23" i="14"/>
  <c r="BC12" i="14"/>
  <c r="AH186" i="14"/>
  <c r="AI186" i="14"/>
  <c r="AE84" i="13"/>
  <c r="M106" i="10"/>
  <c r="N106" i="10"/>
  <c r="AI118" i="15"/>
  <c r="AJ118" i="15"/>
  <c r="AH118" i="15"/>
  <c r="F42" i="14"/>
  <c r="AQ10" i="14" s="1"/>
  <c r="M43" i="14"/>
  <c r="M42" i="14" s="1"/>
  <c r="N43" i="14"/>
  <c r="N42" i="14" s="1"/>
  <c r="BC16" i="14"/>
  <c r="AU10" i="10"/>
  <c r="AV10" i="10"/>
  <c r="I47" i="11"/>
  <c r="G45" i="11"/>
  <c r="G111" i="11"/>
  <c r="AB92" i="8"/>
  <c r="AI92" i="7"/>
  <c r="AI91" i="7" s="1"/>
  <c r="AD91" i="7"/>
  <c r="AB116" i="8"/>
  <c r="AI116" i="7"/>
  <c r="AB168" i="13"/>
  <c r="AI168" i="12"/>
  <c r="AH79" i="11"/>
  <c r="AJ79" i="11"/>
  <c r="N64" i="10"/>
  <c r="N63" i="10" s="1"/>
  <c r="BC14" i="10"/>
  <c r="N23" i="9"/>
  <c r="N22" i="9" s="1"/>
  <c r="BC12" i="9"/>
  <c r="F22" i="9"/>
  <c r="AI212" i="9"/>
  <c r="AR30" i="6"/>
  <c r="AW30" i="6" s="1"/>
  <c r="BP30" i="6"/>
  <c r="BJ14" i="6" s="1"/>
  <c r="AI229" i="11"/>
  <c r="BC7" i="7"/>
  <c r="AQ16" i="7"/>
  <c r="M111" i="7"/>
  <c r="N111" i="7"/>
  <c r="BC20" i="7"/>
  <c r="AH73" i="7"/>
  <c r="AJ73" i="7"/>
  <c r="AI73" i="7"/>
  <c r="AI60" i="9"/>
  <c r="AH60" i="9"/>
  <c r="AH58" i="9" s="1"/>
  <c r="AH57" i="9" s="1"/>
  <c r="AJ60" i="9"/>
  <c r="AJ58" i="9" s="1"/>
  <c r="AJ57" i="9" s="1"/>
  <c r="X112" i="8"/>
  <c r="M49" i="13"/>
  <c r="F48" i="13"/>
  <c r="AH148" i="10"/>
  <c r="AI148" i="10"/>
  <c r="AJ148" i="10"/>
  <c r="BN18" i="10"/>
  <c r="N71" i="9"/>
  <c r="M71" i="9"/>
  <c r="AI188" i="9"/>
  <c r="AI187" i="9" s="1"/>
  <c r="X187" i="9"/>
  <c r="X185" i="9" s="1"/>
  <c r="AH188" i="9"/>
  <c r="AH187" i="9" s="1"/>
  <c r="AH185" i="9" s="1"/>
  <c r="AI93" i="8"/>
  <c r="X91" i="8"/>
  <c r="AH93" i="8"/>
  <c r="AH91" i="8" s="1"/>
  <c r="AJ93" i="8"/>
  <c r="AH119" i="8"/>
  <c r="AI119" i="8"/>
  <c r="AJ119" i="8"/>
  <c r="AJ93" i="6"/>
  <c r="AH93" i="6"/>
  <c r="AH91" i="6" s="1"/>
  <c r="AI93" i="6"/>
  <c r="AI91" i="6" s="1"/>
  <c r="AI229" i="6"/>
  <c r="AI227" i="6" s="1"/>
  <c r="X227" i="6"/>
  <c r="X220" i="6" s="1"/>
  <c r="AJ229" i="6"/>
  <c r="AJ227" i="6" s="1"/>
  <c r="AH229" i="6"/>
  <c r="AH227" i="6" s="1"/>
  <c r="M70" i="6"/>
  <c r="M69" i="6" s="1"/>
  <c r="F69" i="6"/>
  <c r="N70" i="6"/>
  <c r="N69" i="6" s="1"/>
  <c r="P121" i="5"/>
  <c r="P125" i="5" s="1"/>
  <c r="AJ19" i="15"/>
  <c r="AE19" i="16"/>
  <c r="AG19" i="16" s="1"/>
  <c r="AJ19" i="16" s="1"/>
  <c r="M61" i="6"/>
  <c r="M60" i="6" s="1"/>
  <c r="N61" i="6"/>
  <c r="BC17" i="6"/>
  <c r="AU22" i="6"/>
  <c r="AV22" i="6"/>
  <c r="AY22" i="6"/>
  <c r="AE129" i="7"/>
  <c r="AG123" i="6"/>
  <c r="AG112" i="6" s="1"/>
  <c r="AJ129" i="6"/>
  <c r="AA72" i="15"/>
  <c r="AH72" i="15" s="1"/>
  <c r="AD76" i="15"/>
  <c r="I46" i="15"/>
  <c r="AD151" i="15"/>
  <c r="AD244" i="16"/>
  <c r="F32" i="6"/>
  <c r="N33" i="6"/>
  <c r="N32" i="6" s="1"/>
  <c r="M33" i="6"/>
  <c r="M32" i="6" s="1"/>
  <c r="F75" i="6"/>
  <c r="M76" i="6"/>
  <c r="M75" i="6" s="1"/>
  <c r="N76" i="6"/>
  <c r="AJ136" i="15"/>
  <c r="AE136" i="16"/>
  <c r="AG136" i="16" s="1"/>
  <c r="AJ136" i="16" s="1"/>
  <c r="W212" i="16"/>
  <c r="X212" i="15"/>
  <c r="BN26" i="15" s="1"/>
  <c r="AI220" i="7"/>
  <c r="AI128" i="16"/>
  <c r="AI222" i="11"/>
  <c r="BC19" i="6"/>
  <c r="AH26" i="7"/>
  <c r="AH20" i="7" s="1"/>
  <c r="AJ244" i="6"/>
  <c r="AI218" i="16"/>
  <c r="C28" i="14"/>
  <c r="C21" i="14" s="1"/>
  <c r="C19" i="14" s="1"/>
  <c r="C17" i="14" s="1"/>
  <c r="C8" i="14" s="1"/>
  <c r="AI61" i="16"/>
  <c r="F63" i="6"/>
  <c r="C21" i="11"/>
  <c r="C19" i="11" s="1"/>
  <c r="C17" i="11" s="1"/>
  <c r="AI216" i="16"/>
  <c r="C21" i="6"/>
  <c r="C19" i="6" s="1"/>
  <c r="C17" i="6" s="1"/>
  <c r="AZ10" i="10"/>
  <c r="U234" i="13"/>
  <c r="U232" i="13" s="1"/>
  <c r="AJ155" i="6"/>
  <c r="AZ10" i="9"/>
  <c r="AJ172" i="9"/>
  <c r="BC22" i="7"/>
  <c r="E123" i="7"/>
  <c r="AJ61" i="16"/>
  <c r="AI176" i="6"/>
  <c r="AY10" i="10"/>
  <c r="AH202" i="16"/>
  <c r="AI202" i="16"/>
  <c r="F12" i="16"/>
  <c r="AE54" i="13"/>
  <c r="AJ54" i="12"/>
  <c r="N102" i="14"/>
  <c r="AH37" i="13"/>
  <c r="AJ37" i="13"/>
  <c r="G52" i="14"/>
  <c r="I51" i="13"/>
  <c r="AH22" i="15"/>
  <c r="F45" i="7"/>
  <c r="BC15" i="7"/>
  <c r="AH237" i="7"/>
  <c r="AH235" i="7" s="1"/>
  <c r="AI237" i="7"/>
  <c r="AI235" i="7" s="1"/>
  <c r="AH47" i="9"/>
  <c r="AJ47" i="9"/>
  <c r="AI47" i="9"/>
  <c r="AH60" i="8"/>
  <c r="AH58" i="8" s="1"/>
  <c r="AH57" i="8" s="1"/>
  <c r="AJ60" i="8"/>
  <c r="AJ58" i="8" s="1"/>
  <c r="AJ57" i="8" s="1"/>
  <c r="X58" i="8"/>
  <c r="X57" i="8" s="1"/>
  <c r="AI60" i="8"/>
  <c r="X227" i="10"/>
  <c r="X220" i="10" s="1"/>
  <c r="AH228" i="10"/>
  <c r="AH247" i="10"/>
  <c r="AI247" i="10"/>
  <c r="N59" i="9"/>
  <c r="N57" i="9" s="1"/>
  <c r="F57" i="9"/>
  <c r="AJ21" i="9"/>
  <c r="AI21" i="9"/>
  <c r="AH21" i="9"/>
  <c r="AH77" i="8"/>
  <c r="AI77" i="8"/>
  <c r="M67" i="6"/>
  <c r="M66" i="6" s="1"/>
  <c r="N67" i="6"/>
  <c r="N66" i="6" s="1"/>
  <c r="F66" i="6"/>
  <c r="AH45" i="6"/>
  <c r="AH44" i="6" s="1"/>
  <c r="X44" i="6"/>
  <c r="X43" i="6" s="1"/>
  <c r="X14" i="6" s="1"/>
  <c r="AJ45" i="6"/>
  <c r="AJ44" i="6" s="1"/>
  <c r="AI45" i="6"/>
  <c r="AI44" i="6" s="1"/>
  <c r="AJ86" i="6"/>
  <c r="AJ83" i="6" s="1"/>
  <c r="AH86" i="6"/>
  <c r="AH83" i="6" s="1"/>
  <c r="AI86" i="6"/>
  <c r="BC7" i="6"/>
  <c r="AQ16" i="6"/>
  <c r="AH19" i="16"/>
  <c r="AI19" i="16"/>
  <c r="AH38" i="16"/>
  <c r="AH191" i="16"/>
  <c r="AI23" i="16"/>
  <c r="M115" i="16"/>
  <c r="N115" i="16"/>
  <c r="AH36" i="16"/>
  <c r="AI36" i="16"/>
  <c r="Y98" i="16"/>
  <c r="AI72" i="15"/>
  <c r="M13" i="12"/>
  <c r="Y39" i="15"/>
  <c r="N31" i="15"/>
  <c r="M31" i="15"/>
  <c r="F29" i="13"/>
  <c r="N31" i="13"/>
  <c r="N29" i="13" s="1"/>
  <c r="M31" i="13"/>
  <c r="I34" i="15"/>
  <c r="G32" i="15"/>
  <c r="Y33" i="16"/>
  <c r="AA33" i="16" s="1"/>
  <c r="J111" i="16"/>
  <c r="N111" i="15"/>
  <c r="AH188" i="12"/>
  <c r="AI188" i="12"/>
  <c r="N31" i="14"/>
  <c r="N29" i="14" s="1"/>
  <c r="M31" i="14"/>
  <c r="F29" i="14"/>
  <c r="D13" i="13"/>
  <c r="D31" i="16"/>
  <c r="D29" i="15"/>
  <c r="D82" i="16"/>
  <c r="J59" i="15"/>
  <c r="L57" i="14"/>
  <c r="J76" i="15"/>
  <c r="L75" i="14"/>
  <c r="J95" i="12"/>
  <c r="N65" i="12"/>
  <c r="AI81" i="11"/>
  <c r="AH153" i="14"/>
  <c r="AJ153" i="14"/>
  <c r="AI153" i="14"/>
  <c r="AJ177" i="11"/>
  <c r="BN23" i="11"/>
  <c r="AI177" i="11"/>
  <c r="AH223" i="10"/>
  <c r="AH222" i="10" s="1"/>
  <c r="AI223" i="10"/>
  <c r="M106" i="15"/>
  <c r="N106" i="15"/>
  <c r="M43" i="11"/>
  <c r="M42" i="11" s="1"/>
  <c r="N43" i="11"/>
  <c r="N42" i="11" s="1"/>
  <c r="BC16" i="11"/>
  <c r="M58" i="11"/>
  <c r="F57" i="11"/>
  <c r="N58" i="11"/>
  <c r="N57" i="11" s="1"/>
  <c r="M97" i="11"/>
  <c r="N97" i="11"/>
  <c r="M119" i="11"/>
  <c r="AJ107" i="11"/>
  <c r="AH107" i="11"/>
  <c r="AI107" i="11"/>
  <c r="M77" i="9"/>
  <c r="N77" i="9"/>
  <c r="AI196" i="9"/>
  <c r="BN26" i="9"/>
  <c r="AH124" i="7"/>
  <c r="AJ124" i="7"/>
  <c r="AH158" i="7"/>
  <c r="AJ158" i="7"/>
  <c r="AI158" i="7"/>
  <c r="M31" i="9"/>
  <c r="F29" i="9"/>
  <c r="F28" i="9" s="1"/>
  <c r="N31" i="9"/>
  <c r="N29" i="9" s="1"/>
  <c r="M49" i="9"/>
  <c r="N49" i="9"/>
  <c r="N48" i="9" s="1"/>
  <c r="F48" i="9"/>
  <c r="AH93" i="12"/>
  <c r="AI93" i="12"/>
  <c r="AJ93" i="12"/>
  <c r="X123" i="10"/>
  <c r="X193" i="7"/>
  <c r="AQ28" i="7" s="1"/>
  <c r="BN28" i="7"/>
  <c r="AH212" i="7"/>
  <c r="AH211" i="7" s="1"/>
  <c r="AH210" i="7" s="1"/>
  <c r="AH209" i="7" s="1"/>
  <c r="AH207" i="7" s="1"/>
  <c r="BN26" i="7"/>
  <c r="AI212" i="7"/>
  <c r="AI211" i="7" s="1"/>
  <c r="AI210" i="7" s="1"/>
  <c r="AI209" i="7" s="1"/>
  <c r="AI207" i="7" s="1"/>
  <c r="X243" i="7"/>
  <c r="X234" i="7" s="1"/>
  <c r="X232" i="7" s="1"/>
  <c r="BN29" i="7" s="1"/>
  <c r="AI244" i="7"/>
  <c r="AI243" i="7" s="1"/>
  <c r="AH244" i="7"/>
  <c r="AH243" i="7" s="1"/>
  <c r="AH234" i="7" s="1"/>
  <c r="AH232" i="7" s="1"/>
  <c r="AQ13" i="8"/>
  <c r="BC17" i="8"/>
  <c r="BC10" i="8" s="1"/>
  <c r="AI41" i="8"/>
  <c r="AJ41" i="8"/>
  <c r="BN31" i="8"/>
  <c r="BH15" i="8" s="1"/>
  <c r="M50" i="6"/>
  <c r="M48" i="6" s="1"/>
  <c r="N50" i="6"/>
  <c r="N48" i="6" s="1"/>
  <c r="AH108" i="6"/>
  <c r="AJ108" i="6"/>
  <c r="AJ104" i="6" s="1"/>
  <c r="AI108" i="6"/>
  <c r="B14" i="8"/>
  <c r="B14" i="9" s="1"/>
  <c r="B14" i="10" s="1"/>
  <c r="B14" i="11" s="1"/>
  <c r="B14" i="12" s="1"/>
  <c r="B14" i="13" s="1"/>
  <c r="B14" i="14" s="1"/>
  <c r="C123" i="7"/>
  <c r="BE22" i="7"/>
  <c r="H25" i="20" s="1"/>
  <c r="H26" i="20" s="1"/>
  <c r="H123" i="7"/>
  <c r="M78" i="6"/>
  <c r="N78" i="6"/>
  <c r="AI70" i="13"/>
  <c r="AJ70" i="13"/>
  <c r="BN26" i="13"/>
  <c r="AI196" i="13"/>
  <c r="AH223" i="13"/>
  <c r="W244" i="15"/>
  <c r="X244" i="14"/>
  <c r="M62" i="9"/>
  <c r="N106" i="9"/>
  <c r="M106" i="9"/>
  <c r="AJ107" i="9"/>
  <c r="AH107" i="9"/>
  <c r="AI107" i="9"/>
  <c r="F42" i="6"/>
  <c r="BC16" i="6"/>
  <c r="M43" i="6"/>
  <c r="M42" i="6" s="1"/>
  <c r="N43" i="6"/>
  <c r="N42" i="6" s="1"/>
  <c r="AQ23" i="6"/>
  <c r="BN12" i="6"/>
  <c r="BN9" i="6" s="1"/>
  <c r="AH223" i="6"/>
  <c r="AH222" i="6" s="1"/>
  <c r="AI223" i="6"/>
  <c r="AI222" i="6" s="1"/>
  <c r="AJ223" i="6"/>
  <c r="AE178" i="15"/>
  <c r="AG178" i="15" s="1"/>
  <c r="AI212" i="13"/>
  <c r="AJ36" i="15"/>
  <c r="AE36" i="16"/>
  <c r="AG36" i="16" s="1"/>
  <c r="AJ36" i="16" s="1"/>
  <c r="J22" i="15"/>
  <c r="L23" i="15"/>
  <c r="AD251" i="15"/>
  <c r="AB243" i="15"/>
  <c r="AI190" i="15"/>
  <c r="AA91" i="14"/>
  <c r="Y93" i="15"/>
  <c r="AH93" i="14"/>
  <c r="AI132" i="14"/>
  <c r="AH132" i="14"/>
  <c r="AI196" i="16"/>
  <c r="AG101" i="14"/>
  <c r="AE132" i="10"/>
  <c r="AG132" i="10" s="1"/>
  <c r="AJ132" i="9"/>
  <c r="AE88" i="16"/>
  <c r="AG88" i="16" s="1"/>
  <c r="AJ88" i="16" s="1"/>
  <c r="AJ88" i="15"/>
  <c r="M47" i="6"/>
  <c r="M45" i="6" s="1"/>
  <c r="N47" i="6"/>
  <c r="N45" i="6" s="1"/>
  <c r="AE167" i="16"/>
  <c r="AG167" i="16" s="1"/>
  <c r="AJ167" i="16" s="1"/>
  <c r="AJ167" i="15"/>
  <c r="AD229" i="14"/>
  <c r="AD177" i="16"/>
  <c r="AJ156" i="15"/>
  <c r="AE156" i="16"/>
  <c r="AG156" i="16" s="1"/>
  <c r="P10" i="18" s="1"/>
  <c r="C21" i="15"/>
  <c r="C19" i="15" s="1"/>
  <c r="C17" i="15" s="1"/>
  <c r="C8" i="15" s="1"/>
  <c r="C21" i="16"/>
  <c r="C19" i="16" s="1"/>
  <c r="C17" i="16" s="1"/>
  <c r="C8" i="16" s="1"/>
  <c r="C21" i="10"/>
  <c r="C19" i="10" s="1"/>
  <c r="C17" i="10" s="1"/>
  <c r="AH220" i="7"/>
  <c r="AH173" i="10"/>
  <c r="AH172" i="10" s="1"/>
  <c r="M46" i="7"/>
  <c r="M45" i="7" s="1"/>
  <c r="AJ247" i="10"/>
  <c r="AH91" i="7"/>
  <c r="AI26" i="7"/>
  <c r="F28" i="6"/>
  <c r="AQ9" i="6" s="1"/>
  <c r="N75" i="6"/>
  <c r="AI185" i="8"/>
  <c r="X83" i="6"/>
  <c r="BN14" i="6" s="1"/>
  <c r="AI136" i="16"/>
  <c r="U170" i="14"/>
  <c r="U145" i="13"/>
  <c r="X69" i="8"/>
  <c r="X65" i="8" s="1"/>
  <c r="AH222" i="9"/>
  <c r="U112" i="10"/>
  <c r="C8" i="7"/>
  <c r="AZ10" i="7"/>
  <c r="AI247" i="16"/>
  <c r="AY10" i="8"/>
  <c r="AJ96" i="6"/>
  <c r="AZ22" i="6"/>
  <c r="AH123" i="6"/>
  <c r="K123" i="7"/>
  <c r="D123" i="7"/>
  <c r="F25" i="6"/>
  <c r="AQ8" i="6" s="1"/>
  <c r="BN31" i="6"/>
  <c r="BH15" i="6" s="1"/>
  <c r="G12" i="7"/>
  <c r="M12" i="6"/>
  <c r="I10" i="6"/>
  <c r="G9" i="20"/>
  <c r="R10" i="20"/>
  <c r="Q8" i="9"/>
  <c r="Q8" i="12"/>
  <c r="Q8" i="6"/>
  <c r="Q121" i="6" s="1"/>
  <c r="Q125" i="6" s="1"/>
  <c r="Y258" i="5"/>
  <c r="G8" i="5"/>
  <c r="G121" i="5" s="1"/>
  <c r="G125" i="5" s="1"/>
  <c r="K8" i="13"/>
  <c r="E8" i="6"/>
  <c r="E121" i="6" s="1"/>
  <c r="E125" i="6" s="1"/>
  <c r="Q8" i="16"/>
  <c r="Q8" i="10"/>
  <c r="G90" i="8"/>
  <c r="I90" i="8" s="1"/>
  <c r="M90" i="7"/>
  <c r="AR13" i="7"/>
  <c r="AW13" i="7"/>
  <c r="AY13" i="7" s="1"/>
  <c r="P8" i="16"/>
  <c r="D10" i="18"/>
  <c r="AI156" i="16"/>
  <c r="AH256" i="16"/>
  <c r="AI256" i="16"/>
  <c r="I86" i="7"/>
  <c r="I101" i="8"/>
  <c r="G99" i="8"/>
  <c r="H8" i="7"/>
  <c r="AE225" i="9"/>
  <c r="AG225" i="9" s="1"/>
  <c r="AJ225" i="8"/>
  <c r="Q8" i="5"/>
  <c r="Q121" i="5" s="1"/>
  <c r="Q125" i="5" s="1"/>
  <c r="P8" i="15"/>
  <c r="K8" i="8"/>
  <c r="AE215" i="9"/>
  <c r="AG215" i="9" s="1"/>
  <c r="AJ215" i="8"/>
  <c r="AE240" i="9"/>
  <c r="AG240" i="9" s="1"/>
  <c r="AJ240" i="8"/>
  <c r="AI20" i="7"/>
  <c r="AI16" i="7" s="1"/>
  <c r="AE181" i="8"/>
  <c r="AJ181" i="7"/>
  <c r="AE190" i="9"/>
  <c r="AG190" i="9" s="1"/>
  <c r="AJ190" i="8"/>
  <c r="AE197" i="9"/>
  <c r="AG197" i="9" s="1"/>
  <c r="AJ197" i="8"/>
  <c r="AE205" i="10"/>
  <c r="AG205" i="10" s="1"/>
  <c r="AJ205" i="9"/>
  <c r="AJ247" i="11"/>
  <c r="AE247" i="12"/>
  <c r="AG247" i="12" s="1"/>
  <c r="AE255" i="9"/>
  <c r="AG255" i="9" s="1"/>
  <c r="AJ255" i="8"/>
  <c r="BN14" i="7"/>
  <c r="AQ24" i="7"/>
  <c r="H8" i="6"/>
  <c r="H121" i="6" s="1"/>
  <c r="H125" i="6" s="1"/>
  <c r="Q8" i="13"/>
  <c r="P8" i="8"/>
  <c r="AG188" i="8"/>
  <c r="AE204" i="8"/>
  <c r="AG203" i="7"/>
  <c r="AJ204" i="7"/>
  <c r="AJ203" i="7" s="1"/>
  <c r="AE250" i="9"/>
  <c r="AG250" i="9" s="1"/>
  <c r="AJ250" i="8"/>
  <c r="AI187" i="10"/>
  <c r="AS9" i="6"/>
  <c r="M35" i="8"/>
  <c r="BN30" i="8"/>
  <c r="BH14" i="8" s="1"/>
  <c r="BN24" i="5"/>
  <c r="BN22" i="5" s="1"/>
  <c r="BH11" i="5" s="1"/>
  <c r="AQ27" i="5"/>
  <c r="V8" i="5"/>
  <c r="V258" i="5"/>
  <c r="AQ24" i="8"/>
  <c r="BQ9" i="16"/>
  <c r="BR12" i="16"/>
  <c r="BR9" i="16" s="1"/>
  <c r="AQ23" i="5"/>
  <c r="BN12" i="5"/>
  <c r="BN9" i="5" s="1"/>
  <c r="Z8" i="13"/>
  <c r="Z258" i="13"/>
  <c r="AM259" i="8"/>
  <c r="BK10" i="10"/>
  <c r="B116" i="13"/>
  <c r="AG51" i="15"/>
  <c r="AG107" i="15"/>
  <c r="AE95" i="16"/>
  <c r="AG95" i="16" s="1"/>
  <c r="AJ26" i="15"/>
  <c r="AE26" i="16"/>
  <c r="AG26" i="16" s="1"/>
  <c r="AJ26" i="16" s="1"/>
  <c r="AE41" i="16"/>
  <c r="AG41" i="16" s="1"/>
  <c r="AJ121" i="15"/>
  <c r="AE121" i="16"/>
  <c r="AG121" i="16" s="1"/>
  <c r="AJ121" i="16" s="1"/>
  <c r="AG37" i="16"/>
  <c r="AG158" i="16"/>
  <c r="L100" i="12"/>
  <c r="AH129" i="16"/>
  <c r="AI129" i="16"/>
  <c r="AH215" i="16"/>
  <c r="M35" i="10"/>
  <c r="AE199" i="9"/>
  <c r="AG199" i="9" s="1"/>
  <c r="AJ199" i="8"/>
  <c r="AG223" i="8"/>
  <c r="AI119" i="16"/>
  <c r="AH119" i="16"/>
  <c r="AJ119" i="16"/>
  <c r="AH139" i="16"/>
  <c r="AI139" i="16"/>
  <c r="AJ139" i="16"/>
  <c r="AE212" i="8"/>
  <c r="AJ212" i="7"/>
  <c r="AE252" i="9"/>
  <c r="AG252" i="9" s="1"/>
  <c r="AJ252" i="8"/>
  <c r="AI125" i="16"/>
  <c r="I30" i="7"/>
  <c r="G29" i="7"/>
  <c r="G28" i="7" s="1"/>
  <c r="AE244" i="8"/>
  <c r="AJ244" i="7"/>
  <c r="E8" i="5"/>
  <c r="AC258" i="12"/>
  <c r="K8" i="12"/>
  <c r="AE200" i="9"/>
  <c r="AG200" i="9" s="1"/>
  <c r="AJ200" i="8"/>
  <c r="AE191" i="9"/>
  <c r="AG191" i="9" s="1"/>
  <c r="AJ191" i="8"/>
  <c r="AE239" i="9"/>
  <c r="AG239" i="9" s="1"/>
  <c r="AJ239" i="8"/>
  <c r="AE248" i="9"/>
  <c r="AG248" i="9" s="1"/>
  <c r="AJ248" i="8"/>
  <c r="AE256" i="9"/>
  <c r="AG256" i="9" s="1"/>
  <c r="AJ256" i="8"/>
  <c r="P8" i="6"/>
  <c r="P121" i="6" s="1"/>
  <c r="P125" i="6" s="1"/>
  <c r="AG236" i="8"/>
  <c r="AH187" i="10"/>
  <c r="AH185" i="10" s="1"/>
  <c r="N48" i="7"/>
  <c r="BC7" i="9"/>
  <c r="AQ16" i="9"/>
  <c r="K8" i="5"/>
  <c r="K121" i="5" s="1"/>
  <c r="K125" i="5" s="1"/>
  <c r="M29" i="6"/>
  <c r="AI172" i="6"/>
  <c r="AI157" i="8"/>
  <c r="AI155" i="8" s="1"/>
  <c r="BE9" i="13"/>
  <c r="M35" i="6"/>
  <c r="J8" i="5"/>
  <c r="J121" i="5" s="1"/>
  <c r="J125" i="5" s="1"/>
  <c r="AB258" i="5"/>
  <c r="AM259" i="13"/>
  <c r="BR27" i="16"/>
  <c r="BQ25" i="16"/>
  <c r="BK12" i="16" s="1"/>
  <c r="AL12" i="9"/>
  <c r="AL10" i="9" s="1"/>
  <c r="AL8" i="9" s="1"/>
  <c r="AM259" i="9" s="1"/>
  <c r="AG58" i="14"/>
  <c r="AG57" i="14" s="1"/>
  <c r="AE60" i="15"/>
  <c r="AJ25" i="15"/>
  <c r="AE25" i="16"/>
  <c r="AG25" i="16" s="1"/>
  <c r="AJ25" i="16" s="1"/>
  <c r="AE138" i="16"/>
  <c r="AG138" i="16" s="1"/>
  <c r="AJ138" i="16" s="1"/>
  <c r="AJ138" i="15"/>
  <c r="B14" i="15"/>
  <c r="B14" i="16" s="1"/>
  <c r="AJ102" i="15"/>
  <c r="AE102" i="16"/>
  <c r="AG102" i="16" s="1"/>
  <c r="AJ102" i="16" s="1"/>
  <c r="AG115" i="15"/>
  <c r="AJ73" i="15"/>
  <c r="AE73" i="16"/>
  <c r="AG73" i="16" s="1"/>
  <c r="AJ73" i="16" s="1"/>
  <c r="AD200" i="16"/>
  <c r="I100" i="12"/>
  <c r="AH135" i="16"/>
  <c r="AE251" i="9"/>
  <c r="AG251" i="9" s="1"/>
  <c r="AJ251" i="8"/>
  <c r="AE249" i="12"/>
  <c r="AG249" i="12" s="1"/>
  <c r="AJ249" i="11"/>
  <c r="AH102" i="16"/>
  <c r="AI102" i="16"/>
  <c r="AH152" i="16"/>
  <c r="AI120" i="16"/>
  <c r="AH120" i="16"/>
  <c r="AJ120" i="16"/>
  <c r="AH121" i="16"/>
  <c r="AI121" i="16"/>
  <c r="AH205" i="16"/>
  <c r="G102" i="9"/>
  <c r="I102" i="9" s="1"/>
  <c r="M102" i="8"/>
  <c r="L90" i="7"/>
  <c r="AS9" i="7"/>
  <c r="AV9" i="7" s="1"/>
  <c r="AE201" i="9"/>
  <c r="AG201" i="9" s="1"/>
  <c r="AJ201" i="8"/>
  <c r="AG228" i="8"/>
  <c r="AG180" i="11"/>
  <c r="AE189" i="8"/>
  <c r="AG189" i="8" s="1"/>
  <c r="AJ189" i="7"/>
  <c r="AJ187" i="7" s="1"/>
  <c r="AE218" i="12"/>
  <c r="AG218" i="12" s="1"/>
  <c r="AJ218" i="11"/>
  <c r="AJ237" i="7"/>
  <c r="AE237" i="8"/>
  <c r="AG237" i="8" s="1"/>
  <c r="AE246" i="9"/>
  <c r="AG246" i="9" s="1"/>
  <c r="AJ246" i="8"/>
  <c r="AE254" i="9"/>
  <c r="AG254" i="9" s="1"/>
  <c r="AJ254" i="8"/>
  <c r="K8" i="14"/>
  <c r="Q8" i="8"/>
  <c r="AE182" i="9"/>
  <c r="AG182" i="9" s="1"/>
  <c r="AJ182" i="8"/>
  <c r="AE202" i="9"/>
  <c r="AG202" i="9" s="1"/>
  <c r="AJ202" i="8"/>
  <c r="AE216" i="9"/>
  <c r="AG216" i="9" s="1"/>
  <c r="AJ216" i="8"/>
  <c r="AE229" i="8"/>
  <c r="AG229" i="8" s="1"/>
  <c r="AJ229" i="7"/>
  <c r="AJ227" i="7" s="1"/>
  <c r="AQ7" i="7"/>
  <c r="H8" i="15"/>
  <c r="P8" i="12"/>
  <c r="AE186" i="8"/>
  <c r="AJ186" i="7"/>
  <c r="AE253" i="9"/>
  <c r="AG253" i="9" s="1"/>
  <c r="AJ253" i="8"/>
  <c r="AQ10" i="11"/>
  <c r="X43" i="7"/>
  <c r="X14" i="7" s="1"/>
  <c r="AJ83" i="7"/>
  <c r="AJ205" i="8"/>
  <c r="BQ8" i="9"/>
  <c r="Q8" i="15"/>
  <c r="BE9" i="5"/>
  <c r="BF10" i="7"/>
  <c r="BF10" i="10" s="1"/>
  <c r="BF10" i="13" s="1"/>
  <c r="BF10" i="16" s="1"/>
  <c r="BE9" i="16"/>
  <c r="BK12" i="13"/>
  <c r="AG66" i="16"/>
  <c r="AD217" i="16"/>
  <c r="AG148" i="16"/>
  <c r="AD130" i="16"/>
  <c r="AG71" i="15"/>
  <c r="AA53" i="14"/>
  <c r="AJ30" i="15"/>
  <c r="AE30" i="16"/>
  <c r="AG30" i="16" s="1"/>
  <c r="AJ30" i="16" s="1"/>
  <c r="AG151" i="15"/>
  <c r="AG133" i="15"/>
  <c r="AJ27" i="15"/>
  <c r="AE27" i="16"/>
  <c r="AG27" i="16" s="1"/>
  <c r="AJ27" i="16" s="1"/>
  <c r="AG40" i="15"/>
  <c r="AG159" i="15"/>
  <c r="AE28" i="16"/>
  <c r="AG28" i="16" s="1"/>
  <c r="H8" i="9"/>
  <c r="AE217" i="9"/>
  <c r="AG217" i="9" s="1"/>
  <c r="AJ217" i="8"/>
  <c r="AE238" i="9"/>
  <c r="AG238" i="9" s="1"/>
  <c r="AJ238" i="8"/>
  <c r="Q8" i="14"/>
  <c r="P8" i="9"/>
  <c r="AG187" i="7"/>
  <c r="AG185" i="7" s="1"/>
  <c r="AJ196" i="7"/>
  <c r="AE196" i="8"/>
  <c r="AE214" i="9"/>
  <c r="AG214" i="9" s="1"/>
  <c r="AJ214" i="8"/>
  <c r="AE230" i="12"/>
  <c r="AG230" i="12" s="1"/>
  <c r="AJ230" i="11"/>
  <c r="K8" i="6"/>
  <c r="K121" i="6" s="1"/>
  <c r="K125" i="6" s="1"/>
  <c r="BQ9" i="11"/>
  <c r="BN17" i="8"/>
  <c r="BQ9" i="8"/>
  <c r="BQ15" i="6"/>
  <c r="BK10" i="6" s="1"/>
  <c r="BR16" i="16"/>
  <c r="AQ9" i="5"/>
  <c r="F21" i="5"/>
  <c r="F19" i="5" s="1"/>
  <c r="AM259" i="5"/>
  <c r="AW17" i="5"/>
  <c r="BQ22" i="10"/>
  <c r="BK11" i="10" s="1"/>
  <c r="AE100" i="16"/>
  <c r="AG100" i="16" s="1"/>
  <c r="B13" i="16"/>
  <c r="AG93" i="15"/>
  <c r="AG70" i="16"/>
  <c r="AG21" i="15"/>
  <c r="G105" i="9"/>
  <c r="I105" i="9" s="1"/>
  <c r="AC10" i="14" l="1"/>
  <c r="AC8" i="14" s="1"/>
  <c r="H52" i="20"/>
  <c r="H49" i="20" s="1"/>
  <c r="BQ25" i="7"/>
  <c r="BK12" i="7" s="1"/>
  <c r="J13" i="9"/>
  <c r="L13" i="9" s="1"/>
  <c r="N13" i="8"/>
  <c r="J12" i="8"/>
  <c r="L12" i="8" s="1"/>
  <c r="N12" i="7"/>
  <c r="G82" i="10"/>
  <c r="I82" i="10" s="1"/>
  <c r="M82" i="9"/>
  <c r="AI234" i="7"/>
  <c r="AI232" i="7" s="1"/>
  <c r="Q31" i="20"/>
  <c r="X145" i="7"/>
  <c r="Z10" i="16"/>
  <c r="Z258" i="16" s="1"/>
  <c r="AC10" i="16"/>
  <c r="AC8" i="16" s="1"/>
  <c r="R53" i="20"/>
  <c r="Z258" i="15"/>
  <c r="J26" i="16"/>
  <c r="AC10" i="15"/>
  <c r="AW8" i="15"/>
  <c r="N22" i="14"/>
  <c r="Z8" i="14"/>
  <c r="AM259" i="14"/>
  <c r="L67" i="10"/>
  <c r="J66" i="10"/>
  <c r="G26" i="20"/>
  <c r="N64" i="14"/>
  <c r="AI222" i="10"/>
  <c r="AH229" i="11"/>
  <c r="AG172" i="11"/>
  <c r="F42" i="16"/>
  <c r="AQ10" i="16" s="1"/>
  <c r="U12" i="8"/>
  <c r="O32" i="20"/>
  <c r="O31" i="20" s="1"/>
  <c r="O30" i="20" s="1"/>
  <c r="O56" i="20" s="1"/>
  <c r="D19" i="8"/>
  <c r="AU8" i="8"/>
  <c r="W110" i="8"/>
  <c r="M33" i="10"/>
  <c r="M32" i="10" s="1"/>
  <c r="BC13" i="10"/>
  <c r="F32" i="10"/>
  <c r="F28" i="10" s="1"/>
  <c r="N33" i="10"/>
  <c r="N32" i="10" s="1"/>
  <c r="W51" i="10"/>
  <c r="W49" i="9"/>
  <c r="W43" i="9" s="1"/>
  <c r="W14" i="9" s="1"/>
  <c r="X51" i="9"/>
  <c r="E15" i="16"/>
  <c r="F15" i="15"/>
  <c r="M15" i="15" s="1"/>
  <c r="E10" i="15"/>
  <c r="D26" i="10"/>
  <c r="D25" i="9"/>
  <c r="F26" i="9"/>
  <c r="W189" i="13"/>
  <c r="W187" i="12"/>
  <c r="W185" i="12" s="1"/>
  <c r="X189" i="12"/>
  <c r="E46" i="10"/>
  <c r="E45" i="9"/>
  <c r="F46" i="9"/>
  <c r="V189" i="14"/>
  <c r="V187" i="13"/>
  <c r="V185" i="13" s="1"/>
  <c r="L46" i="10"/>
  <c r="J45" i="10"/>
  <c r="AY8" i="8"/>
  <c r="E121" i="7"/>
  <c r="E125" i="7" s="1"/>
  <c r="N60" i="6"/>
  <c r="AI49" i="6"/>
  <c r="G83" i="9"/>
  <c r="I81" i="8"/>
  <c r="M83" i="8"/>
  <c r="M81" i="8" s="1"/>
  <c r="W197" i="12"/>
  <c r="W195" i="11"/>
  <c r="W194" i="11" s="1"/>
  <c r="W193" i="11" s="1"/>
  <c r="E82" i="14"/>
  <c r="E81" i="13"/>
  <c r="F82" i="13"/>
  <c r="E52" i="14"/>
  <c r="E51" i="13"/>
  <c r="F52" i="13"/>
  <c r="V197" i="12"/>
  <c r="V195" i="11"/>
  <c r="V194" i="11" s="1"/>
  <c r="V193" i="11" s="1"/>
  <c r="X197" i="11"/>
  <c r="D70" i="10"/>
  <c r="D69" i="9"/>
  <c r="F70" i="9"/>
  <c r="F69" i="9" s="1"/>
  <c r="AB228" i="11"/>
  <c r="AD227" i="10"/>
  <c r="AD220" i="10" s="1"/>
  <c r="J50" i="11"/>
  <c r="N50" i="10"/>
  <c r="N48" i="10" s="1"/>
  <c r="L48" i="10"/>
  <c r="I37" i="11"/>
  <c r="G35" i="11"/>
  <c r="W46" i="13"/>
  <c r="W44" i="12"/>
  <c r="X46" i="12"/>
  <c r="E76" i="10"/>
  <c r="E75" i="9"/>
  <c r="F76" i="9"/>
  <c r="V245" i="10"/>
  <c r="X245" i="9"/>
  <c r="V243" i="9"/>
  <c r="V234" i="9" s="1"/>
  <c r="V232" i="9" s="1"/>
  <c r="AB236" i="9"/>
  <c r="AD235" i="8"/>
  <c r="AD234" i="8" s="1"/>
  <c r="AD232" i="8" s="1"/>
  <c r="AI236" i="8"/>
  <c r="AI235" i="8" s="1"/>
  <c r="D33" i="12"/>
  <c r="D32" i="11"/>
  <c r="D28" i="11" s="1"/>
  <c r="F33" i="11"/>
  <c r="W239" i="12"/>
  <c r="W235" i="11"/>
  <c r="W159" i="10"/>
  <c r="W157" i="9"/>
  <c r="W155" i="9" s="1"/>
  <c r="W145" i="9" s="1"/>
  <c r="X159" i="9"/>
  <c r="E70" i="14"/>
  <c r="E69" i="13"/>
  <c r="E34" i="16"/>
  <c r="E32" i="15"/>
  <c r="E28" i="15" s="1"/>
  <c r="F34" i="15"/>
  <c r="N34" i="15" s="1"/>
  <c r="V239" i="12"/>
  <c r="V235" i="11"/>
  <c r="X239" i="11"/>
  <c r="V160" i="10"/>
  <c r="X160" i="9"/>
  <c r="V157" i="9"/>
  <c r="V155" i="9" s="1"/>
  <c r="Y236" i="11"/>
  <c r="AA235" i="10"/>
  <c r="AH236" i="10"/>
  <c r="AH235" i="10" s="1"/>
  <c r="D47" i="16"/>
  <c r="D45" i="15"/>
  <c r="F47" i="15"/>
  <c r="N47" i="15" s="1"/>
  <c r="L119" i="8"/>
  <c r="J117" i="8"/>
  <c r="W230" i="13"/>
  <c r="W227" i="12"/>
  <c r="W220" i="12" s="1"/>
  <c r="X230" i="12"/>
  <c r="AI230" i="12" s="1"/>
  <c r="W115" i="10"/>
  <c r="W114" i="9"/>
  <c r="W112" i="9" s="1"/>
  <c r="W110" i="9" s="1"/>
  <c r="X115" i="9"/>
  <c r="E96" i="13"/>
  <c r="E93" i="12"/>
  <c r="E85" i="12" s="1"/>
  <c r="F96" i="12"/>
  <c r="M96" i="12" s="1"/>
  <c r="E58" i="13"/>
  <c r="E57" i="12"/>
  <c r="F58" i="12"/>
  <c r="F57" i="12" s="1"/>
  <c r="E27" i="13"/>
  <c r="E25" i="12"/>
  <c r="F27" i="12"/>
  <c r="V224" i="15"/>
  <c r="X224" i="14"/>
  <c r="AI224" i="14" s="1"/>
  <c r="V94" i="10"/>
  <c r="V91" i="9"/>
  <c r="V90" i="9" s="1"/>
  <c r="X94" i="9"/>
  <c r="AD223" i="13"/>
  <c r="AB222" i="13"/>
  <c r="D14" i="12"/>
  <c r="D10" i="11"/>
  <c r="F14" i="11"/>
  <c r="AI228" i="10"/>
  <c r="AI227" i="10" s="1"/>
  <c r="E21" i="8"/>
  <c r="E19" i="8" s="1"/>
  <c r="AC258" i="13"/>
  <c r="M32" i="20"/>
  <c r="M31" i="20" s="1"/>
  <c r="M30" i="20" s="1"/>
  <c r="M56" i="20" s="1"/>
  <c r="BL13" i="13"/>
  <c r="BL13" i="16" s="1"/>
  <c r="AG241" i="7"/>
  <c r="AE235" i="7"/>
  <c r="AG117" i="7"/>
  <c r="AE114" i="7"/>
  <c r="BN17" i="7"/>
  <c r="AH57" i="12"/>
  <c r="M99" i="7"/>
  <c r="AI14" i="5"/>
  <c r="AH57" i="7"/>
  <c r="AJ172" i="11"/>
  <c r="AU29" i="5"/>
  <c r="AZ29" i="5"/>
  <c r="AV29" i="5"/>
  <c r="BO15" i="5"/>
  <c r="BI10" i="5" s="1"/>
  <c r="BL14" i="16"/>
  <c r="AG213" i="7"/>
  <c r="AE211" i="7"/>
  <c r="AE210" i="7" s="1"/>
  <c r="AE209" i="7" s="1"/>
  <c r="AE207" i="7" s="1"/>
  <c r="L25" i="15"/>
  <c r="AS8" i="15" s="1"/>
  <c r="R40" i="20"/>
  <c r="L30" i="20"/>
  <c r="L56" i="20" s="1"/>
  <c r="AC10" i="10"/>
  <c r="AC258" i="10" s="1"/>
  <c r="Z258" i="10"/>
  <c r="Z258" i="9"/>
  <c r="AJ179" i="15"/>
  <c r="AJ178" i="13"/>
  <c r="R48" i="20"/>
  <c r="R46" i="20" s="1"/>
  <c r="BQ7" i="9"/>
  <c r="BQ32" i="9" s="1"/>
  <c r="BK8" i="9"/>
  <c r="BK7" i="9" s="1"/>
  <c r="BK16" i="9" s="1"/>
  <c r="J32" i="20"/>
  <c r="J31" i="20" s="1"/>
  <c r="J30" i="20" s="1"/>
  <c r="J56" i="20" s="1"/>
  <c r="BL9" i="10"/>
  <c r="BL9" i="13" s="1"/>
  <c r="BL9" i="16" s="1"/>
  <c r="AC258" i="9"/>
  <c r="BR28" i="16"/>
  <c r="BR25" i="16" s="1"/>
  <c r="I49" i="20"/>
  <c r="Z258" i="8"/>
  <c r="AC258" i="8"/>
  <c r="AF10" i="8"/>
  <c r="AF8" i="8" s="1"/>
  <c r="AE79" i="16"/>
  <c r="AG79" i="16" s="1"/>
  <c r="AJ79" i="16" s="1"/>
  <c r="I30" i="20"/>
  <c r="AC10" i="7"/>
  <c r="AC8" i="7" s="1"/>
  <c r="I25" i="16"/>
  <c r="AR8" i="16" s="1"/>
  <c r="AW8" i="16"/>
  <c r="BD11" i="15"/>
  <c r="G25" i="16"/>
  <c r="I25" i="15"/>
  <c r="AR8" i="15" s="1"/>
  <c r="AE174" i="12"/>
  <c r="AE172" i="12" s="1"/>
  <c r="BL11" i="7"/>
  <c r="BL11" i="10" s="1"/>
  <c r="BL11" i="13" s="1"/>
  <c r="BL11" i="16" s="1"/>
  <c r="AH90" i="7"/>
  <c r="Z258" i="7"/>
  <c r="AH83" i="7"/>
  <c r="BN16" i="7"/>
  <c r="BN15" i="7" s="1"/>
  <c r="BH10" i="7" s="1"/>
  <c r="E17" i="8"/>
  <c r="F21" i="7"/>
  <c r="F19" i="7" s="1"/>
  <c r="R9" i="20"/>
  <c r="K121" i="7"/>
  <c r="K125" i="7" s="1"/>
  <c r="H121" i="7"/>
  <c r="H125" i="7" s="1"/>
  <c r="N10" i="6"/>
  <c r="J15" i="8"/>
  <c r="L15" i="8" s="1"/>
  <c r="N15" i="7"/>
  <c r="AH65" i="6"/>
  <c r="W10" i="7"/>
  <c r="W258" i="7" s="1"/>
  <c r="AH147" i="6"/>
  <c r="AH145" i="6" s="1"/>
  <c r="X112" i="7"/>
  <c r="X110" i="7" s="1"/>
  <c r="AQ26" i="7" s="1"/>
  <c r="BN16" i="6"/>
  <c r="BN15" i="6" s="1"/>
  <c r="BH10" i="6" s="1"/>
  <c r="V10" i="7"/>
  <c r="V8" i="7" s="1"/>
  <c r="AH49" i="6"/>
  <c r="AH43" i="6" s="1"/>
  <c r="AH234" i="6"/>
  <c r="AH232" i="6" s="1"/>
  <c r="W258" i="6"/>
  <c r="BL12" i="7"/>
  <c r="AI185" i="7"/>
  <c r="AI170" i="7" s="1"/>
  <c r="Z8" i="6"/>
  <c r="Z258" i="6"/>
  <c r="AI157" i="7"/>
  <c r="AI155" i="7" s="1"/>
  <c r="AJ147" i="7"/>
  <c r="AF10" i="6"/>
  <c r="AF8" i="6" s="1"/>
  <c r="AJ123" i="6"/>
  <c r="AJ112" i="6" s="1"/>
  <c r="BQ8" i="6"/>
  <c r="BQ7" i="6" s="1"/>
  <c r="BQ32" i="6" s="1"/>
  <c r="G32" i="20"/>
  <c r="G31" i="20" s="1"/>
  <c r="G30" i="20" s="1"/>
  <c r="AQ24" i="6"/>
  <c r="AZ24" i="6" s="1"/>
  <c r="AJ69" i="6"/>
  <c r="AJ65" i="6" s="1"/>
  <c r="AC258" i="6"/>
  <c r="V258" i="6"/>
  <c r="AH16" i="7"/>
  <c r="BN12" i="7"/>
  <c r="BN9" i="7" s="1"/>
  <c r="BK8" i="6"/>
  <c r="BK7" i="6" s="1"/>
  <c r="AU30" i="5"/>
  <c r="G64" i="9"/>
  <c r="I64" i="9" s="1"/>
  <c r="BD14" i="8"/>
  <c r="M64" i="8"/>
  <c r="AR27" i="6"/>
  <c r="AW27" i="6" s="1"/>
  <c r="BP24" i="6"/>
  <c r="BP22" i="6" s="1"/>
  <c r="BJ11" i="6" s="1"/>
  <c r="E8" i="8"/>
  <c r="AC8" i="11"/>
  <c r="AC258" i="11"/>
  <c r="AH150" i="8"/>
  <c r="AI150" i="8"/>
  <c r="X149" i="8"/>
  <c r="X147" i="8" s="1"/>
  <c r="AJ150" i="8"/>
  <c r="AJ149" i="8" s="1"/>
  <c r="AJ147" i="8" s="1"/>
  <c r="AH100" i="8"/>
  <c r="AH96" i="8" s="1"/>
  <c r="AH90" i="8" s="1"/>
  <c r="AJ100" i="8"/>
  <c r="X96" i="8"/>
  <c r="X90" i="8" s="1"/>
  <c r="D109" i="14"/>
  <c r="F109" i="13"/>
  <c r="L37" i="8"/>
  <c r="J35" i="8"/>
  <c r="J28" i="8" s="1"/>
  <c r="Y237" i="13"/>
  <c r="Y101" i="12"/>
  <c r="AA96" i="11"/>
  <c r="AA90" i="11" s="1"/>
  <c r="AH101" i="11"/>
  <c r="BK8" i="15"/>
  <c r="BK7" i="15" s="1"/>
  <c r="BK16" i="15" s="1"/>
  <c r="P37" i="20"/>
  <c r="R37" i="20" s="1"/>
  <c r="AH59" i="16"/>
  <c r="AJ59" i="16"/>
  <c r="AG99" i="7"/>
  <c r="AE96" i="7"/>
  <c r="G59" i="8"/>
  <c r="I57" i="7"/>
  <c r="M59" i="7"/>
  <c r="M57" i="7" s="1"/>
  <c r="N64" i="15"/>
  <c r="BC14" i="15"/>
  <c r="AE224" i="7"/>
  <c r="AG222" i="6"/>
  <c r="AG220" i="6" s="1"/>
  <c r="AJ224" i="6"/>
  <c r="AE135" i="10"/>
  <c r="AG135" i="10" s="1"/>
  <c r="AJ135" i="9"/>
  <c r="AE52" i="7"/>
  <c r="AG49" i="6"/>
  <c r="AG43" i="6" s="1"/>
  <c r="AJ52" i="6"/>
  <c r="AJ49" i="6" s="1"/>
  <c r="AJ43" i="6" s="1"/>
  <c r="AH251" i="8"/>
  <c r="AI251" i="8"/>
  <c r="AI243" i="8" s="1"/>
  <c r="X243" i="8"/>
  <c r="X234" i="8" s="1"/>
  <c r="X232" i="8" s="1"/>
  <c r="D67" i="12"/>
  <c r="D66" i="11"/>
  <c r="F67" i="11"/>
  <c r="H39" i="20"/>
  <c r="H30" i="20" s="1"/>
  <c r="H56" i="20" s="1"/>
  <c r="H57" i="20" s="1"/>
  <c r="I8" i="20" s="1"/>
  <c r="R41" i="20"/>
  <c r="R39" i="20" s="1"/>
  <c r="M89" i="11"/>
  <c r="AQ12" i="11"/>
  <c r="N89" i="11"/>
  <c r="AD22" i="9"/>
  <c r="AB20" i="9"/>
  <c r="L49" i="13"/>
  <c r="AA249" i="8"/>
  <c r="Y243" i="8"/>
  <c r="Y234" i="8" s="1"/>
  <c r="Y232" i="8" s="1"/>
  <c r="AA212" i="8"/>
  <c r="Y211" i="8"/>
  <c r="Y210" i="8" s="1"/>
  <c r="Y209" i="8" s="1"/>
  <c r="Y207" i="8" s="1"/>
  <c r="V213" i="10"/>
  <c r="V211" i="9"/>
  <c r="V210" i="9" s="1"/>
  <c r="V209" i="9" s="1"/>
  <c r="V207" i="9" s="1"/>
  <c r="X213" i="9"/>
  <c r="V143" i="14"/>
  <c r="V141" i="13"/>
  <c r="X143" i="13"/>
  <c r="V99" i="14"/>
  <c r="V96" i="13"/>
  <c r="X99" i="13"/>
  <c r="AD173" i="14"/>
  <c r="AB172" i="14"/>
  <c r="L14" i="7"/>
  <c r="J10" i="7"/>
  <c r="V24" i="11"/>
  <c r="V20" i="10"/>
  <c r="V16" i="10" s="1"/>
  <c r="X24" i="10"/>
  <c r="E62" i="16"/>
  <c r="F62" i="15"/>
  <c r="M62" i="15" s="1"/>
  <c r="E60" i="15"/>
  <c r="AI255" i="10"/>
  <c r="AH255" i="10"/>
  <c r="AH53" i="12"/>
  <c r="AI53" i="12"/>
  <c r="AJ53" i="12"/>
  <c r="AH84" i="11"/>
  <c r="AJ84" i="11"/>
  <c r="V229" i="15"/>
  <c r="X229" i="14"/>
  <c r="AH229" i="14" s="1"/>
  <c r="BC20" i="12"/>
  <c r="M109" i="12"/>
  <c r="N109" i="12"/>
  <c r="AE86" i="9"/>
  <c r="AG83" i="8"/>
  <c r="AJ86" i="8"/>
  <c r="AJ83" i="8" s="1"/>
  <c r="L70" i="8"/>
  <c r="J69" i="8"/>
  <c r="V225" i="14"/>
  <c r="V222" i="13"/>
  <c r="X225" i="13"/>
  <c r="V150" i="10"/>
  <c r="V149" i="9"/>
  <c r="V147" i="9" s="1"/>
  <c r="V145" i="9" s="1"/>
  <c r="V110" i="9" s="1"/>
  <c r="X150" i="9"/>
  <c r="AG143" i="8"/>
  <c r="AE141" i="8"/>
  <c r="V41" i="10"/>
  <c r="V35" i="9"/>
  <c r="X41" i="9"/>
  <c r="BK8" i="14"/>
  <c r="BK7" i="14" s="1"/>
  <c r="BK16" i="14" s="1"/>
  <c r="BQ8" i="14"/>
  <c r="BQ7" i="14" s="1"/>
  <c r="BQ32" i="14" s="1"/>
  <c r="W84" i="13"/>
  <c r="W83" i="12"/>
  <c r="X84" i="12"/>
  <c r="V255" i="12"/>
  <c r="X255" i="11"/>
  <c r="M109" i="9"/>
  <c r="N109" i="9"/>
  <c r="BC20" i="9"/>
  <c r="X123" i="12"/>
  <c r="BN19" i="12"/>
  <c r="BC14" i="12"/>
  <c r="N64" i="12"/>
  <c r="N63" i="12" s="1"/>
  <c r="K52" i="20"/>
  <c r="BQ25" i="10"/>
  <c r="BK12" i="10" s="1"/>
  <c r="G55" i="8"/>
  <c r="I54" i="7"/>
  <c r="D118" i="8"/>
  <c r="D117" i="7"/>
  <c r="D108" i="7" s="1"/>
  <c r="D8" i="7" s="1"/>
  <c r="F118" i="7"/>
  <c r="AI181" i="8"/>
  <c r="AH181" i="8"/>
  <c r="X176" i="8"/>
  <c r="X170" i="8" s="1"/>
  <c r="BN24" i="8" s="1"/>
  <c r="BN22" i="8" s="1"/>
  <c r="BH11" i="8" s="1"/>
  <c r="W107" i="14"/>
  <c r="W105" i="13"/>
  <c r="W104" i="13" s="1"/>
  <c r="X107" i="13"/>
  <c r="W75" i="10"/>
  <c r="W69" i="9"/>
  <c r="W65" i="9" s="1"/>
  <c r="X75" i="9"/>
  <c r="E68" i="10"/>
  <c r="E66" i="9"/>
  <c r="F68" i="9"/>
  <c r="D94" i="10"/>
  <c r="D93" i="9"/>
  <c r="D85" i="9" s="1"/>
  <c r="F94" i="9"/>
  <c r="BK10" i="7"/>
  <c r="BK7" i="7" s="1"/>
  <c r="BK16" i="7" s="1"/>
  <c r="BQ7" i="7"/>
  <c r="BQ32" i="7" s="1"/>
  <c r="N36" i="16"/>
  <c r="F35" i="16"/>
  <c r="AE72" i="13"/>
  <c r="AG72" i="13" s="1"/>
  <c r="AJ72" i="12"/>
  <c r="E105" i="10"/>
  <c r="E99" i="9"/>
  <c r="D56" i="12"/>
  <c r="D54" i="11"/>
  <c r="D105" i="9"/>
  <c r="D99" i="8"/>
  <c r="F105" i="8"/>
  <c r="AE106" i="13"/>
  <c r="AG105" i="12"/>
  <c r="AG104" i="12" s="1"/>
  <c r="AA207" i="7"/>
  <c r="BO27" i="7"/>
  <c r="AE152" i="13"/>
  <c r="AG149" i="12"/>
  <c r="AG147" i="12" s="1"/>
  <c r="AJ152" i="12"/>
  <c r="Y141" i="16"/>
  <c r="AA142" i="16"/>
  <c r="AA141" i="16" s="1"/>
  <c r="BO20" i="16" s="1"/>
  <c r="D44" i="20" s="1"/>
  <c r="I95" i="7"/>
  <c r="G93" i="7"/>
  <c r="G85" i="7" s="1"/>
  <c r="AJ222" i="6"/>
  <c r="AJ220" i="6" s="1"/>
  <c r="V63" i="8"/>
  <c r="BR13" i="16"/>
  <c r="BR8" i="16" s="1"/>
  <c r="BC14" i="13"/>
  <c r="C14" i="20" s="1"/>
  <c r="F63" i="11"/>
  <c r="AI100" i="8"/>
  <c r="X112" i="6"/>
  <c r="X110" i="6" s="1"/>
  <c r="AQ26" i="6" s="1"/>
  <c r="AJ57" i="12"/>
  <c r="AS30" i="6"/>
  <c r="AX30" i="6" s="1"/>
  <c r="Q30" i="20"/>
  <c r="Q56" i="20" s="1"/>
  <c r="N30" i="20"/>
  <c r="N56" i="20" s="1"/>
  <c r="BQ8" i="15"/>
  <c r="BQ7" i="15" s="1"/>
  <c r="BQ32" i="15" s="1"/>
  <c r="M118" i="6"/>
  <c r="M117" i="6" s="1"/>
  <c r="N118" i="6"/>
  <c r="N117" i="6" s="1"/>
  <c r="N108" i="6" s="1"/>
  <c r="F117" i="6"/>
  <c r="G49" i="20"/>
  <c r="R51" i="20"/>
  <c r="AH229" i="13"/>
  <c r="AI229" i="13"/>
  <c r="Y224" i="13"/>
  <c r="AA222" i="12"/>
  <c r="AH224" i="12"/>
  <c r="BQ8" i="13"/>
  <c r="BQ7" i="13" s="1"/>
  <c r="BQ32" i="13" s="1"/>
  <c r="BK8" i="13"/>
  <c r="BK7" i="13" s="1"/>
  <c r="BK16" i="13" s="1"/>
  <c r="AD117" i="7"/>
  <c r="AB114" i="7"/>
  <c r="AG97" i="8"/>
  <c r="AB39" i="8"/>
  <c r="AD35" i="7"/>
  <c r="AI39" i="7"/>
  <c r="AI35" i="7" s="1"/>
  <c r="W251" i="10"/>
  <c r="W243" i="9"/>
  <c r="W234" i="9" s="1"/>
  <c r="W232" i="9" s="1"/>
  <c r="X251" i="9"/>
  <c r="D79" i="12"/>
  <c r="D78" i="11"/>
  <c r="F78" i="11" s="1"/>
  <c r="F79" i="11"/>
  <c r="D61" i="10"/>
  <c r="D60" i="9"/>
  <c r="F61" i="9"/>
  <c r="J64" i="16"/>
  <c r="L63" i="15"/>
  <c r="L33" i="13"/>
  <c r="J32" i="13"/>
  <c r="Y230" i="9"/>
  <c r="AA227" i="8"/>
  <c r="AA220" i="8" s="1"/>
  <c r="BO30" i="8" s="1"/>
  <c r="BI14" i="8" s="1"/>
  <c r="AH230" i="8"/>
  <c r="AH227" i="8" s="1"/>
  <c r="AH220" i="8" s="1"/>
  <c r="Y190" i="12"/>
  <c r="AA187" i="11"/>
  <c r="AA185" i="11" s="1"/>
  <c r="AH190" i="11"/>
  <c r="AH187" i="11" s="1"/>
  <c r="AH185" i="11" s="1"/>
  <c r="V159" i="12"/>
  <c r="V116" i="12"/>
  <c r="V114" i="11"/>
  <c r="V112" i="11" s="1"/>
  <c r="X116" i="11"/>
  <c r="V87" i="12"/>
  <c r="V83" i="11"/>
  <c r="X87" i="11"/>
  <c r="AE116" i="9"/>
  <c r="AJ116" i="8"/>
  <c r="L43" i="16"/>
  <c r="J42" i="16"/>
  <c r="I85" i="6"/>
  <c r="BD19" i="6"/>
  <c r="AI24" i="9"/>
  <c r="AJ24" i="9"/>
  <c r="AH24" i="9"/>
  <c r="W158" i="14"/>
  <c r="X158" i="13"/>
  <c r="BQ8" i="12"/>
  <c r="BQ7" i="12" s="1"/>
  <c r="BQ32" i="12" s="1"/>
  <c r="BK8" i="12"/>
  <c r="BK7" i="12" s="1"/>
  <c r="BK16" i="12" s="1"/>
  <c r="M10" i="6"/>
  <c r="AI220" i="10"/>
  <c r="AJ134" i="8"/>
  <c r="N64" i="13"/>
  <c r="AI234" i="6"/>
  <c r="AI232" i="6" s="1"/>
  <c r="N64" i="11"/>
  <c r="N63" i="11" s="1"/>
  <c r="BP10" i="7"/>
  <c r="Y14" i="6"/>
  <c r="V14" i="8"/>
  <c r="W63" i="8"/>
  <c r="W12" i="8" s="1"/>
  <c r="W10" i="8" s="1"/>
  <c r="W8" i="8" s="1"/>
  <c r="AI234" i="5"/>
  <c r="AI232" i="5" s="1"/>
  <c r="K32" i="20"/>
  <c r="K31" i="20" s="1"/>
  <c r="K30" i="20" s="1"/>
  <c r="BC21" i="5"/>
  <c r="BC23" i="5" s="1"/>
  <c r="F108" i="5"/>
  <c r="AQ15" i="5" s="1"/>
  <c r="AB37" i="13"/>
  <c r="AI37" i="12"/>
  <c r="L53" i="8"/>
  <c r="J51" i="8"/>
  <c r="X222" i="12"/>
  <c r="AI225" i="12"/>
  <c r="AI222" i="12" s="1"/>
  <c r="AH225" i="12"/>
  <c r="V173" i="13"/>
  <c r="V172" i="12"/>
  <c r="V170" i="12" s="1"/>
  <c r="X173" i="12"/>
  <c r="V106" i="10"/>
  <c r="V105" i="9"/>
  <c r="V104" i="9" s="1"/>
  <c r="X106" i="9"/>
  <c r="V76" i="10"/>
  <c r="V69" i="9"/>
  <c r="V65" i="9" s="1"/>
  <c r="X76" i="9"/>
  <c r="AB215" i="9"/>
  <c r="AD211" i="8"/>
  <c r="AD210" i="8" s="1"/>
  <c r="AD209" i="8" s="1"/>
  <c r="AI215" i="8"/>
  <c r="AI211" i="8" s="1"/>
  <c r="AI210" i="8" s="1"/>
  <c r="AI209" i="8" s="1"/>
  <c r="AI207" i="8" s="1"/>
  <c r="AA228" i="16"/>
  <c r="W217" i="10"/>
  <c r="W211" i="9"/>
  <c r="W210" i="9" s="1"/>
  <c r="W209" i="9" s="1"/>
  <c r="W207" i="9" s="1"/>
  <c r="X217" i="9"/>
  <c r="W53" i="14"/>
  <c r="X53" i="13"/>
  <c r="D73" i="10"/>
  <c r="D72" i="9"/>
  <c r="F73" i="9"/>
  <c r="I68" i="7"/>
  <c r="G66" i="7"/>
  <c r="V45" i="10"/>
  <c r="V44" i="9"/>
  <c r="V43" i="9" s="1"/>
  <c r="V14" i="9" s="1"/>
  <c r="X45" i="9"/>
  <c r="W181" i="10"/>
  <c r="W176" i="9"/>
  <c r="W170" i="9" s="1"/>
  <c r="X181" i="9"/>
  <c r="W95" i="14"/>
  <c r="W91" i="13"/>
  <c r="X95" i="13"/>
  <c r="E118" i="14"/>
  <c r="E117" i="13"/>
  <c r="E108" i="13" s="1"/>
  <c r="E56" i="10"/>
  <c r="E54" i="9"/>
  <c r="F56" i="9"/>
  <c r="W100" i="10"/>
  <c r="W96" i="9"/>
  <c r="W90" i="9" s="1"/>
  <c r="X100" i="9"/>
  <c r="D89" i="13"/>
  <c r="F89" i="12"/>
  <c r="Z8" i="11"/>
  <c r="Z258" i="11"/>
  <c r="BK8" i="10"/>
  <c r="BK7" i="10" s="1"/>
  <c r="BQ8" i="10"/>
  <c r="BQ7" i="10" s="1"/>
  <c r="G50" i="7"/>
  <c r="I48" i="6"/>
  <c r="AJ158" i="12"/>
  <c r="AI158" i="12"/>
  <c r="AH158" i="12"/>
  <c r="AC258" i="14"/>
  <c r="AH104" i="6"/>
  <c r="AH20" i="9"/>
  <c r="N28" i="6"/>
  <c r="R36" i="20"/>
  <c r="R33" i="20" s="1"/>
  <c r="BQ25" i="8"/>
  <c r="BK12" i="8" s="1"/>
  <c r="AL10" i="16"/>
  <c r="AL8" i="16" s="1"/>
  <c r="AM259" i="16" s="1"/>
  <c r="R54" i="20"/>
  <c r="N28" i="7"/>
  <c r="M55" i="7"/>
  <c r="M54" i="7" s="1"/>
  <c r="AE31" i="13"/>
  <c r="AG31" i="13" s="1"/>
  <c r="AJ31" i="12"/>
  <c r="AJ243" i="6"/>
  <c r="AJ234" i="6" s="1"/>
  <c r="AJ232" i="6" s="1"/>
  <c r="AG245" i="7"/>
  <c r="AE243" i="7"/>
  <c r="AE234" i="7" s="1"/>
  <c r="AE232" i="7" s="1"/>
  <c r="AB205" i="15"/>
  <c r="AD205" i="15" s="1"/>
  <c r="AI205" i="14"/>
  <c r="AB204" i="7"/>
  <c r="AD203" i="6"/>
  <c r="AD194" i="6" s="1"/>
  <c r="AI204" i="6"/>
  <c r="AI203" i="6" s="1"/>
  <c r="AI194" i="6" s="1"/>
  <c r="AI193" i="6" s="1"/>
  <c r="AE198" i="7"/>
  <c r="AG195" i="6"/>
  <c r="AG194" i="6" s="1"/>
  <c r="AG193" i="6" s="1"/>
  <c r="AS28" i="6" s="1"/>
  <c r="AX28" i="6" s="1"/>
  <c r="AJ198" i="6"/>
  <c r="AJ195" i="6" s="1"/>
  <c r="AJ194" i="6" s="1"/>
  <c r="AJ193" i="6" s="1"/>
  <c r="AB198" i="10"/>
  <c r="AD195" i="9"/>
  <c r="AI198" i="9"/>
  <c r="AI195" i="9" s="1"/>
  <c r="X193" i="6"/>
  <c r="AQ28" i="6" s="1"/>
  <c r="BN28" i="6"/>
  <c r="BN25" i="6" s="1"/>
  <c r="BH12" i="6" s="1"/>
  <c r="X193" i="8"/>
  <c r="AQ28" i="8" s="1"/>
  <c r="BQ32" i="5"/>
  <c r="AA193" i="6"/>
  <c r="BO28" i="6"/>
  <c r="BO25" i="6" s="1"/>
  <c r="BI12" i="6" s="1"/>
  <c r="AA196" i="7"/>
  <c r="Y195" i="7"/>
  <c r="Y194" i="7" s="1"/>
  <c r="Y193" i="7" s="1"/>
  <c r="AV28" i="5"/>
  <c r="AU28" i="5"/>
  <c r="AY28" i="5"/>
  <c r="AZ28" i="5"/>
  <c r="AR27" i="7"/>
  <c r="AW27" i="7" s="1"/>
  <c r="BP24" i="7"/>
  <c r="BP22" i="7" s="1"/>
  <c r="BJ11" i="7" s="1"/>
  <c r="AD191" i="9"/>
  <c r="AB185" i="9"/>
  <c r="AB170" i="8"/>
  <c r="BN24" i="7"/>
  <c r="BN22" i="7" s="1"/>
  <c r="BH11" i="7" s="1"/>
  <c r="AG183" i="7"/>
  <c r="AE176" i="7"/>
  <c r="AE170" i="7" s="1"/>
  <c r="F30" i="20"/>
  <c r="F56" i="20" s="1"/>
  <c r="F57" i="20" s="1"/>
  <c r="G8" i="20" s="1"/>
  <c r="AB183" i="13"/>
  <c r="AD183" i="13" s="1"/>
  <c r="AI183" i="12"/>
  <c r="AI170" i="6"/>
  <c r="Y177" i="7"/>
  <c r="BO23" i="6"/>
  <c r="AA176" i="6"/>
  <c r="AA170" i="6" s="1"/>
  <c r="BO24" i="6" s="1"/>
  <c r="AH177" i="6"/>
  <c r="AH176" i="6" s="1"/>
  <c r="AH170" i="6" s="1"/>
  <c r="AJ170" i="6"/>
  <c r="AD174" i="15"/>
  <c r="BR15" i="16"/>
  <c r="AJ156" i="16"/>
  <c r="AC10" i="5"/>
  <c r="AC8" i="5" s="1"/>
  <c r="AE168" i="9"/>
  <c r="AG168" i="9" s="1"/>
  <c r="AJ168" i="8"/>
  <c r="AA110" i="5"/>
  <c r="AG110" i="6"/>
  <c r="AS26" i="6" s="1"/>
  <c r="AX26" i="6" s="1"/>
  <c r="AG10" i="5"/>
  <c r="AG8" i="5" s="1"/>
  <c r="U110" i="12"/>
  <c r="AG162" i="7"/>
  <c r="AE157" i="7"/>
  <c r="AE155" i="7" s="1"/>
  <c r="AE145" i="7" s="1"/>
  <c r="AD162" i="10"/>
  <c r="AB157" i="10"/>
  <c r="AB155" i="10" s="1"/>
  <c r="AA145" i="6"/>
  <c r="BO17" i="6"/>
  <c r="U110" i="14"/>
  <c r="AA160" i="7"/>
  <c r="Y157" i="7"/>
  <c r="Y155" i="7" s="1"/>
  <c r="U110" i="8"/>
  <c r="U10" i="8" s="1"/>
  <c r="U258" i="8" s="1"/>
  <c r="BN15" i="5"/>
  <c r="BH10" i="5" s="1"/>
  <c r="U110" i="10"/>
  <c r="U110" i="6"/>
  <c r="AJ110" i="5"/>
  <c r="AI110" i="5"/>
  <c r="AH110" i="5"/>
  <c r="AF10" i="5"/>
  <c r="AF8" i="5" s="1"/>
  <c r="AA156" i="7"/>
  <c r="Y110" i="6"/>
  <c r="X110" i="5"/>
  <c r="AQ26" i="5" s="1"/>
  <c r="AZ26" i="5" s="1"/>
  <c r="I56" i="16"/>
  <c r="N80" i="13"/>
  <c r="M80" i="13"/>
  <c r="V214" i="14"/>
  <c r="X214" i="13"/>
  <c r="D71" i="14"/>
  <c r="F71" i="13"/>
  <c r="V39" i="14"/>
  <c r="X39" i="13"/>
  <c r="V237" i="14"/>
  <c r="X237" i="13"/>
  <c r="D104" i="15"/>
  <c r="F104" i="14"/>
  <c r="W148" i="15"/>
  <c r="W147" i="14"/>
  <c r="X148" i="14"/>
  <c r="V127" i="14"/>
  <c r="V123" i="13"/>
  <c r="X127" i="13"/>
  <c r="D114" i="16"/>
  <c r="F114" i="15"/>
  <c r="AH228" i="12"/>
  <c r="X227" i="12"/>
  <c r="V60" i="14"/>
  <c r="V58" i="13"/>
  <c r="V57" i="13" s="1"/>
  <c r="X60" i="13"/>
  <c r="Y199" i="13"/>
  <c r="AH199" i="12"/>
  <c r="V188" i="16"/>
  <c r="X188" i="15"/>
  <c r="M119" i="12"/>
  <c r="D100" i="15"/>
  <c r="M28" i="6"/>
  <c r="BC22" i="8"/>
  <c r="F81" i="12"/>
  <c r="N83" i="12"/>
  <c r="N81" i="12" s="1"/>
  <c r="C20" i="20"/>
  <c r="N102" i="16"/>
  <c r="E100" i="14"/>
  <c r="N104" i="13"/>
  <c r="M104" i="13"/>
  <c r="AE53" i="15"/>
  <c r="AG53" i="15" s="1"/>
  <c r="AH108" i="16"/>
  <c r="AI108" i="16"/>
  <c r="AJ108" i="16"/>
  <c r="D92" i="14"/>
  <c r="F92" i="13"/>
  <c r="M114" i="14"/>
  <c r="N114" i="14"/>
  <c r="AA246" i="12"/>
  <c r="W133" i="14"/>
  <c r="W123" i="13"/>
  <c r="X133" i="13"/>
  <c r="D53" i="14"/>
  <c r="F53" i="13"/>
  <c r="D51" i="13"/>
  <c r="D123" i="8"/>
  <c r="X170" i="6"/>
  <c r="AQ27" i="6" s="1"/>
  <c r="AZ27" i="6" s="1"/>
  <c r="D80" i="15"/>
  <c r="F80" i="14"/>
  <c r="V75" i="16"/>
  <c r="AJ39" i="12"/>
  <c r="AH39" i="12"/>
  <c r="W28" i="16"/>
  <c r="W20" i="15"/>
  <c r="W16" i="15" s="1"/>
  <c r="X28" i="15"/>
  <c r="V46" i="15"/>
  <c r="D83" i="14"/>
  <c r="F83" i="13"/>
  <c r="D81" i="13"/>
  <c r="AD188" i="16"/>
  <c r="AD187" i="16" s="1"/>
  <c r="AB187" i="16"/>
  <c r="D59" i="14"/>
  <c r="D57" i="13"/>
  <c r="F59" i="13"/>
  <c r="D65" i="14"/>
  <c r="F65" i="13"/>
  <c r="D63" i="13"/>
  <c r="V51" i="14"/>
  <c r="V49" i="13"/>
  <c r="V228" i="14"/>
  <c r="V227" i="13"/>
  <c r="V220" i="13" s="1"/>
  <c r="X228" i="13"/>
  <c r="V21" i="14"/>
  <c r="X21" i="13"/>
  <c r="W165" i="14"/>
  <c r="X165" i="13"/>
  <c r="D97" i="14"/>
  <c r="F97" i="13"/>
  <c r="V74" i="14"/>
  <c r="X74" i="13"/>
  <c r="P123" i="8"/>
  <c r="P121" i="8" s="1"/>
  <c r="P125" i="8" s="1"/>
  <c r="AH114" i="8"/>
  <c r="AJ145" i="6"/>
  <c r="F100" i="13"/>
  <c r="M97" i="12"/>
  <c r="N97" i="12"/>
  <c r="AD142" i="12"/>
  <c r="AB141" i="12"/>
  <c r="W142" i="14"/>
  <c r="W141" i="13"/>
  <c r="X142" i="13"/>
  <c r="V177" i="14"/>
  <c r="V176" i="13"/>
  <c r="X177" i="13"/>
  <c r="D77" i="14"/>
  <c r="F77" i="13"/>
  <c r="D75" i="13"/>
  <c r="N59" i="12"/>
  <c r="D119" i="14"/>
  <c r="F119" i="13"/>
  <c r="M53" i="12"/>
  <c r="M51" i="12" s="1"/>
  <c r="F51" i="12"/>
  <c r="H123" i="8"/>
  <c r="H121" i="8" s="1"/>
  <c r="H125" i="8" s="1"/>
  <c r="AB110" i="6"/>
  <c r="U110" i="15"/>
  <c r="AB152" i="7"/>
  <c r="AD149" i="6"/>
  <c r="AD147" i="6" s="1"/>
  <c r="AI152" i="6"/>
  <c r="AI149" i="6" s="1"/>
  <c r="AI147" i="6" s="1"/>
  <c r="AI145" i="6" s="1"/>
  <c r="AA151" i="7"/>
  <c r="Y149" i="7"/>
  <c r="Y147" i="7" s="1"/>
  <c r="BO16" i="6"/>
  <c r="U110" i="11"/>
  <c r="U110" i="13"/>
  <c r="AB134" i="10"/>
  <c r="AD134" i="10" s="1"/>
  <c r="AI134" i="9"/>
  <c r="Y134" i="10"/>
  <c r="AA134" i="10" s="1"/>
  <c r="AH134" i="9"/>
  <c r="AE128" i="16"/>
  <c r="AG128" i="16" s="1"/>
  <c r="AJ128" i="16" s="1"/>
  <c r="AJ128" i="15"/>
  <c r="AE126" i="9"/>
  <c r="AG126" i="9" s="1"/>
  <c r="AJ126" i="8"/>
  <c r="AB126" i="9"/>
  <c r="AD126" i="9" s="1"/>
  <c r="BP19" i="8"/>
  <c r="AI126" i="8"/>
  <c r="AA126" i="7"/>
  <c r="Y123" i="7"/>
  <c r="Y112" i="7" s="1"/>
  <c r="AA112" i="6"/>
  <c r="AE124" i="10"/>
  <c r="AG124" i="10" s="1"/>
  <c r="AJ124" i="9"/>
  <c r="AD124" i="7"/>
  <c r="AB123" i="7"/>
  <c r="AD112" i="6"/>
  <c r="BP17" i="6"/>
  <c r="AH112" i="6"/>
  <c r="AI112" i="6"/>
  <c r="AA116" i="9"/>
  <c r="Y114" i="9"/>
  <c r="U110" i="7"/>
  <c r="AB106" i="7"/>
  <c r="AD105" i="6"/>
  <c r="AD104" i="6" s="1"/>
  <c r="AI106" i="6"/>
  <c r="AI105" i="6" s="1"/>
  <c r="AI104" i="6" s="1"/>
  <c r="AA63" i="6"/>
  <c r="AI101" i="15"/>
  <c r="AB101" i="16"/>
  <c r="AD101" i="16" s="1"/>
  <c r="AI101" i="16" s="1"/>
  <c r="AA63" i="5"/>
  <c r="AA12" i="5" s="1"/>
  <c r="AA10" i="5" s="1"/>
  <c r="AA8" i="5" s="1"/>
  <c r="AB100" i="11"/>
  <c r="AD100" i="11" s="1"/>
  <c r="AH90" i="6"/>
  <c r="BN13" i="5"/>
  <c r="BN8" i="5" s="1"/>
  <c r="AQ25" i="5"/>
  <c r="AV25" i="5" s="1"/>
  <c r="AH63" i="5"/>
  <c r="AH12" i="5" s="1"/>
  <c r="AB98" i="11"/>
  <c r="AD98" i="11" s="1"/>
  <c r="AI98" i="10"/>
  <c r="AB97" i="7"/>
  <c r="AD96" i="6"/>
  <c r="AD90" i="6" s="1"/>
  <c r="AI97" i="6"/>
  <c r="AI96" i="6" s="1"/>
  <c r="AI90" i="6" s="1"/>
  <c r="AB63" i="6"/>
  <c r="AB12" i="6" s="1"/>
  <c r="Y63" i="6"/>
  <c r="U12" i="9"/>
  <c r="U10" i="9" s="1"/>
  <c r="U8" i="9" s="1"/>
  <c r="AI63" i="5"/>
  <c r="AI12" i="5" s="1"/>
  <c r="U12" i="6"/>
  <c r="AD12" i="5"/>
  <c r="AD10" i="5" s="1"/>
  <c r="AD8" i="5" s="1"/>
  <c r="AJ92" i="6"/>
  <c r="AJ91" i="6" s="1"/>
  <c r="AJ90" i="6" s="1"/>
  <c r="AG91" i="6"/>
  <c r="AG90" i="6" s="1"/>
  <c r="AE92" i="7"/>
  <c r="AE12" i="6"/>
  <c r="AE10" i="6" s="1"/>
  <c r="AE8" i="6" s="1"/>
  <c r="AB86" i="12"/>
  <c r="AD86" i="12" s="1"/>
  <c r="AI86" i="11"/>
  <c r="X63" i="6"/>
  <c r="X12" i="6" s="1"/>
  <c r="U12" i="13"/>
  <c r="U12" i="11"/>
  <c r="AB84" i="7"/>
  <c r="AD83" i="6"/>
  <c r="AI84" i="6"/>
  <c r="AI83" i="6" s="1"/>
  <c r="Z8" i="5"/>
  <c r="U12" i="14"/>
  <c r="AE81" i="10"/>
  <c r="AG81" i="10" s="1"/>
  <c r="AJ81" i="9"/>
  <c r="Y81" i="11"/>
  <c r="AA81" i="11" s="1"/>
  <c r="AH81" i="10"/>
  <c r="AB79" i="7"/>
  <c r="AD69" i="6"/>
  <c r="AD65" i="6" s="1"/>
  <c r="AI79" i="6"/>
  <c r="AI69" i="6" s="1"/>
  <c r="AI65" i="6" s="1"/>
  <c r="AG77" i="7"/>
  <c r="AE69" i="7"/>
  <c r="AE65" i="7" s="1"/>
  <c r="BK8" i="5"/>
  <c r="BK7" i="5" s="1"/>
  <c r="BK16" i="5" s="1"/>
  <c r="Y77" i="15"/>
  <c r="AA77" i="15" s="1"/>
  <c r="AH77" i="14"/>
  <c r="X63" i="7"/>
  <c r="X12" i="7" s="1"/>
  <c r="U8" i="5"/>
  <c r="AA70" i="7"/>
  <c r="Y69" i="7"/>
  <c r="Y65" i="7" s="1"/>
  <c r="Y63" i="7" s="1"/>
  <c r="BO12" i="6"/>
  <c r="BO9" i="6" s="1"/>
  <c r="U12" i="7"/>
  <c r="AQ23" i="7"/>
  <c r="AG67" i="8"/>
  <c r="AB67" i="9"/>
  <c r="AD67" i="9" s="1"/>
  <c r="BP11" i="8"/>
  <c r="AI67" i="8"/>
  <c r="U12" i="12"/>
  <c r="AB66" i="8"/>
  <c r="AI66" i="7"/>
  <c r="AD59" i="7"/>
  <c r="AB58" i="7"/>
  <c r="AB57" i="7" s="1"/>
  <c r="Y55" i="9"/>
  <c r="AA55" i="9" s="1"/>
  <c r="AH55" i="8"/>
  <c r="AA43" i="6"/>
  <c r="BO13" i="6" s="1"/>
  <c r="AI43" i="6"/>
  <c r="AI14" i="6" s="1"/>
  <c r="AD14" i="6"/>
  <c r="AD50" i="7"/>
  <c r="AB49" i="7"/>
  <c r="AB43" i="7" s="1"/>
  <c r="AA50" i="7"/>
  <c r="Y49" i="7"/>
  <c r="X14" i="8"/>
  <c r="BN13" i="6"/>
  <c r="BH8" i="6" s="1"/>
  <c r="AG45" i="7"/>
  <c r="AE44" i="7"/>
  <c r="AA45" i="7"/>
  <c r="Y44" i="7"/>
  <c r="AQ25" i="6"/>
  <c r="AU25" i="5"/>
  <c r="U12" i="16"/>
  <c r="U10" i="16" s="1"/>
  <c r="U258" i="16" s="1"/>
  <c r="Y41" i="7"/>
  <c r="AA35" i="6"/>
  <c r="AH41" i="6"/>
  <c r="AH35" i="6" s="1"/>
  <c r="BO31" i="6"/>
  <c r="BI15" i="6" s="1"/>
  <c r="AJ14" i="5"/>
  <c r="AJ12" i="5" s="1"/>
  <c r="AG38" i="7"/>
  <c r="AE35" i="7"/>
  <c r="AV24" i="5"/>
  <c r="AU24" i="5"/>
  <c r="AY24" i="5"/>
  <c r="AZ24" i="5"/>
  <c r="X12" i="5"/>
  <c r="AB33" i="9"/>
  <c r="AD33" i="9" s="1"/>
  <c r="BP31" i="8"/>
  <c r="BJ15" i="8" s="1"/>
  <c r="AI33" i="8"/>
  <c r="AE23" i="7"/>
  <c r="AG20" i="6"/>
  <c r="AG16" i="6" s="1"/>
  <c r="AJ23" i="6"/>
  <c r="AJ20" i="6" s="1"/>
  <c r="AJ16" i="6" s="1"/>
  <c r="BP8" i="5"/>
  <c r="BP7" i="5" s="1"/>
  <c r="BP32" i="5" s="1"/>
  <c r="BJ8" i="5"/>
  <c r="BJ7" i="5" s="1"/>
  <c r="BJ16" i="5" s="1"/>
  <c r="U12" i="15"/>
  <c r="U12" i="10"/>
  <c r="AG17" i="8"/>
  <c r="AX22" i="7"/>
  <c r="AV22" i="7"/>
  <c r="AD17" i="8"/>
  <c r="AB16" i="8"/>
  <c r="AW22" i="7"/>
  <c r="AY22" i="7" s="1"/>
  <c r="AU22" i="7"/>
  <c r="BO8" i="5"/>
  <c r="BO7" i="5" s="1"/>
  <c r="BO32" i="5" s="1"/>
  <c r="BI8" i="5"/>
  <c r="BI7" i="5" s="1"/>
  <c r="BI16" i="5" s="1"/>
  <c r="AA17" i="8"/>
  <c r="Y16" i="8"/>
  <c r="J113" i="14"/>
  <c r="L113" i="14" s="1"/>
  <c r="N113" i="13"/>
  <c r="G113" i="7"/>
  <c r="BD20" i="6"/>
  <c r="I108" i="6"/>
  <c r="AR15" i="6" s="1"/>
  <c r="AX15" i="6" s="1"/>
  <c r="M113" i="6"/>
  <c r="M108" i="6" s="1"/>
  <c r="L116" i="8"/>
  <c r="J108" i="8"/>
  <c r="J96" i="7"/>
  <c r="L93" i="6"/>
  <c r="AX14" i="6" s="1"/>
  <c r="N96" i="6"/>
  <c r="N93" i="6" s="1"/>
  <c r="J19" i="6"/>
  <c r="J17" i="6" s="1"/>
  <c r="J8" i="6" s="1"/>
  <c r="J121" i="6" s="1"/>
  <c r="J125" i="6" s="1"/>
  <c r="M19" i="5"/>
  <c r="M17" i="5" s="1"/>
  <c r="AE258" i="5" s="1"/>
  <c r="J86" i="7"/>
  <c r="N86" i="6"/>
  <c r="AS14" i="5"/>
  <c r="AS17" i="5" s="1"/>
  <c r="C8" i="6"/>
  <c r="C121" i="6" s="1"/>
  <c r="C125" i="6" s="1"/>
  <c r="J79" i="8"/>
  <c r="N79" i="7"/>
  <c r="G79" i="8"/>
  <c r="M79" i="7"/>
  <c r="I76" i="7"/>
  <c r="AW9" i="7" s="1"/>
  <c r="AY9" i="7" s="1"/>
  <c r="G75" i="7"/>
  <c r="J74" i="16"/>
  <c r="L72" i="15"/>
  <c r="N74" i="15"/>
  <c r="G74" i="7"/>
  <c r="I72" i="6"/>
  <c r="M74" i="6"/>
  <c r="M72" i="6" s="1"/>
  <c r="I70" i="7"/>
  <c r="G69" i="7"/>
  <c r="G65" i="7"/>
  <c r="I63" i="6"/>
  <c r="M65" i="6"/>
  <c r="I123" i="6"/>
  <c r="BD22" i="6"/>
  <c r="G21" i="6"/>
  <c r="G19" i="6" s="1"/>
  <c r="G17" i="6" s="1"/>
  <c r="AW14" i="6"/>
  <c r="AR14" i="5"/>
  <c r="AR17" i="5" s="1"/>
  <c r="C8" i="10"/>
  <c r="BC10" i="6"/>
  <c r="BC9" i="6" s="1"/>
  <c r="BC8" i="6" s="1"/>
  <c r="L62" i="7"/>
  <c r="J60" i="7"/>
  <c r="J21" i="7" s="1"/>
  <c r="I61" i="7"/>
  <c r="G60" i="7"/>
  <c r="N29" i="11"/>
  <c r="L26" i="16"/>
  <c r="J25" i="16"/>
  <c r="F21" i="6"/>
  <c r="F19" i="6" s="1"/>
  <c r="AQ14" i="6" s="1"/>
  <c r="AW7" i="6"/>
  <c r="AY7" i="6" s="1"/>
  <c r="I22" i="6"/>
  <c r="M23" i="6"/>
  <c r="M22" i="6" s="1"/>
  <c r="G23" i="7"/>
  <c r="BD12" i="6"/>
  <c r="BD10" i="6" s="1"/>
  <c r="BD9" i="6" s="1"/>
  <c r="C121" i="7"/>
  <c r="C125" i="7" s="1"/>
  <c r="AV16" i="5"/>
  <c r="AU16" i="5"/>
  <c r="AW16" i="5"/>
  <c r="AY16" i="5" s="1"/>
  <c r="AZ16" i="5"/>
  <c r="BN30" i="6"/>
  <c r="BH14" i="6" s="1"/>
  <c r="AQ30" i="6"/>
  <c r="AZ30" i="6" s="1"/>
  <c r="BN30" i="10"/>
  <c r="BH14" i="10" s="1"/>
  <c r="BN24" i="6"/>
  <c r="BN22" i="6" s="1"/>
  <c r="BH11" i="6" s="1"/>
  <c r="N21" i="6"/>
  <c r="I111" i="11"/>
  <c r="AE46" i="13"/>
  <c r="AJ46" i="12"/>
  <c r="I118" i="16"/>
  <c r="G117" i="16"/>
  <c r="AI70" i="16"/>
  <c r="L99" i="7"/>
  <c r="J105" i="8"/>
  <c r="N105" i="7"/>
  <c r="N99" i="7" s="1"/>
  <c r="AW16" i="8"/>
  <c r="AY16" i="8" s="1"/>
  <c r="Y158" i="16"/>
  <c r="AA125" i="16"/>
  <c r="AI190" i="16"/>
  <c r="AZ7" i="10"/>
  <c r="AV7" i="10"/>
  <c r="AE132" i="11"/>
  <c r="AG132" i="11" s="1"/>
  <c r="AJ132" i="10"/>
  <c r="AB251" i="16"/>
  <c r="AD243" i="15"/>
  <c r="L76" i="15"/>
  <c r="J75" i="15"/>
  <c r="AH33" i="16"/>
  <c r="AW16" i="6"/>
  <c r="AY16" i="6" s="1"/>
  <c r="AV16" i="6"/>
  <c r="I52" i="14"/>
  <c r="G51" i="14"/>
  <c r="C8" i="11"/>
  <c r="X212" i="16"/>
  <c r="AE134" i="10"/>
  <c r="AG134" i="10" s="1"/>
  <c r="AJ134" i="9"/>
  <c r="AB76" i="16"/>
  <c r="AQ7" i="9"/>
  <c r="AD168" i="13"/>
  <c r="AQ23" i="8"/>
  <c r="BN12" i="8"/>
  <c r="BN9" i="8" s="1"/>
  <c r="L29" i="16"/>
  <c r="J55" i="13"/>
  <c r="L54" i="12"/>
  <c r="AJ50" i="15"/>
  <c r="M103" i="16"/>
  <c r="N103" i="16"/>
  <c r="AI174" i="14"/>
  <c r="AH174" i="14"/>
  <c r="AV7" i="12"/>
  <c r="AZ7" i="12"/>
  <c r="AB178" i="9"/>
  <c r="AD176" i="8"/>
  <c r="AD170" i="8" s="1"/>
  <c r="AI178" i="8"/>
  <c r="AI176" i="8" s="1"/>
  <c r="AI170" i="8" s="1"/>
  <c r="AG160" i="12"/>
  <c r="AV7" i="13"/>
  <c r="AZ7" i="13"/>
  <c r="AU29" i="7"/>
  <c r="AV29" i="7"/>
  <c r="AY29" i="7"/>
  <c r="AQ14" i="8"/>
  <c r="N123" i="6"/>
  <c r="BE22" i="8"/>
  <c r="C123" i="8"/>
  <c r="C121" i="8" s="1"/>
  <c r="C125" i="8" s="1"/>
  <c r="K123" i="8"/>
  <c r="K121" i="8" s="1"/>
  <c r="K125" i="8" s="1"/>
  <c r="Q123" i="8"/>
  <c r="Q121" i="8" s="1"/>
  <c r="Q125" i="8" s="1"/>
  <c r="N29" i="12"/>
  <c r="BN25" i="8"/>
  <c r="BH12" i="8" s="1"/>
  <c r="BP23" i="16"/>
  <c r="E47" i="20" s="1"/>
  <c r="AJ101" i="14"/>
  <c r="AE101" i="15"/>
  <c r="AA93" i="15"/>
  <c r="Y91" i="15"/>
  <c r="AA98" i="16"/>
  <c r="AB229" i="15"/>
  <c r="L22" i="15"/>
  <c r="AX7" i="15"/>
  <c r="AZ7" i="15" s="1"/>
  <c r="J23" i="16"/>
  <c r="N23" i="15"/>
  <c r="N22" i="15" s="1"/>
  <c r="AE178" i="16"/>
  <c r="AG178" i="16" s="1"/>
  <c r="AJ178" i="16" s="1"/>
  <c r="AJ178" i="15"/>
  <c r="W244" i="16"/>
  <c r="X244" i="15"/>
  <c r="BN25" i="7"/>
  <c r="BH12" i="7" s="1"/>
  <c r="D13" i="14"/>
  <c r="F13" i="13"/>
  <c r="AA39" i="15"/>
  <c r="BC10" i="7"/>
  <c r="BC9" i="7" s="1"/>
  <c r="BC8" i="7" s="1"/>
  <c r="AG54" i="13"/>
  <c r="AI212" i="15"/>
  <c r="AI151" i="15"/>
  <c r="AB151" i="16"/>
  <c r="AW16" i="7"/>
  <c r="AY16" i="7" s="1"/>
  <c r="AD116" i="8"/>
  <c r="G47" i="12"/>
  <c r="I45" i="11"/>
  <c r="M47" i="11"/>
  <c r="AU10" i="14"/>
  <c r="AY10" i="14"/>
  <c r="AZ10" i="14"/>
  <c r="AV10" i="14"/>
  <c r="AE22" i="14"/>
  <c r="AJ22" i="13"/>
  <c r="I42" i="16"/>
  <c r="AR10" i="16" s="1"/>
  <c r="AU10" i="16" s="1"/>
  <c r="BD16" i="16"/>
  <c r="D16" i="20" s="1"/>
  <c r="AW10" i="16"/>
  <c r="M43" i="16"/>
  <c r="M42" i="16" s="1"/>
  <c r="AU11" i="16"/>
  <c r="AZ11" i="16"/>
  <c r="AV11" i="16"/>
  <c r="AY11" i="16"/>
  <c r="AB135" i="14"/>
  <c r="AD135" i="14" s="1"/>
  <c r="AI135" i="13"/>
  <c r="AE142" i="16"/>
  <c r="B8" i="10"/>
  <c r="BE22" i="9"/>
  <c r="Q123" i="9"/>
  <c r="Q121" i="9" s="1"/>
  <c r="Q125" i="9" s="1"/>
  <c r="D123" i="9"/>
  <c r="K123" i="9"/>
  <c r="K121" i="9" s="1"/>
  <c r="K125" i="9" s="1"/>
  <c r="H123" i="9"/>
  <c r="H121" i="9" s="1"/>
  <c r="H125" i="9" s="1"/>
  <c r="E123" i="9"/>
  <c r="P123" i="9"/>
  <c r="P121" i="9" s="1"/>
  <c r="P125" i="9" s="1"/>
  <c r="C123" i="9"/>
  <c r="C121" i="9" s="1"/>
  <c r="C125" i="9" s="1"/>
  <c r="BH15" i="7"/>
  <c r="L71" i="15"/>
  <c r="D22" i="16"/>
  <c r="F24" i="16"/>
  <c r="AD46" i="15"/>
  <c r="AB44" i="15"/>
  <c r="AA87" i="15"/>
  <c r="Y83" i="15"/>
  <c r="M49" i="16"/>
  <c r="F48" i="16"/>
  <c r="W172" i="15"/>
  <c r="X174" i="15"/>
  <c r="W174" i="16"/>
  <c r="AZ29" i="6"/>
  <c r="AU29" i="6"/>
  <c r="AV29" i="6"/>
  <c r="AV29" i="8"/>
  <c r="AU29" i="8"/>
  <c r="AH220" i="6"/>
  <c r="BE23" i="7"/>
  <c r="F123" i="8"/>
  <c r="AI229" i="14"/>
  <c r="BH14" i="7"/>
  <c r="BH13" i="7"/>
  <c r="L95" i="12"/>
  <c r="L59" i="15"/>
  <c r="J57" i="15"/>
  <c r="D29" i="16"/>
  <c r="F31" i="16"/>
  <c r="AG129" i="7"/>
  <c r="AE123" i="7"/>
  <c r="AE112" i="7" s="1"/>
  <c r="AZ8" i="6"/>
  <c r="AU8" i="6"/>
  <c r="AV8" i="6"/>
  <c r="AY8" i="6"/>
  <c r="AH244" i="14"/>
  <c r="AI244" i="14"/>
  <c r="AV13" i="8"/>
  <c r="AU13" i="8"/>
  <c r="L111" i="16"/>
  <c r="G34" i="16"/>
  <c r="I32" i="15"/>
  <c r="M34" i="15"/>
  <c r="BD15" i="15"/>
  <c r="G46" i="16"/>
  <c r="Y72" i="16"/>
  <c r="AD92" i="8"/>
  <c r="AB91" i="8"/>
  <c r="AG84" i="13"/>
  <c r="AV7" i="14"/>
  <c r="AB212" i="16"/>
  <c r="BP26" i="15"/>
  <c r="AV7" i="8"/>
  <c r="AZ7" i="8"/>
  <c r="AD38" i="16"/>
  <c r="AY12" i="9"/>
  <c r="AU12" i="9"/>
  <c r="AZ12" i="9"/>
  <c r="AV12" i="9"/>
  <c r="I36" i="16"/>
  <c r="X50" i="16"/>
  <c r="AE177" i="16"/>
  <c r="AG177" i="16" s="1"/>
  <c r="AB127" i="9"/>
  <c r="AI127" i="8"/>
  <c r="Y23" i="12"/>
  <c r="AA20" i="11"/>
  <c r="AH23" i="11"/>
  <c r="C34" i="20"/>
  <c r="AE74" i="13"/>
  <c r="AJ74" i="12"/>
  <c r="AE227" i="8"/>
  <c r="AQ30" i="7"/>
  <c r="AY30" i="7" s="1"/>
  <c r="AI220" i="6"/>
  <c r="AZ7" i="14"/>
  <c r="E123" i="8"/>
  <c r="BF22" i="7"/>
  <c r="N29" i="15"/>
  <c r="I12" i="7"/>
  <c r="G10" i="7"/>
  <c r="BD7" i="6"/>
  <c r="AR16" i="6"/>
  <c r="AU16" i="6" s="1"/>
  <c r="AJ71" i="15"/>
  <c r="AE71" i="16"/>
  <c r="AV7" i="7"/>
  <c r="AZ7" i="7"/>
  <c r="AE229" i="9"/>
  <c r="AG229" i="9" s="1"/>
  <c r="AJ229" i="8"/>
  <c r="AE202" i="10"/>
  <c r="AG202" i="10" s="1"/>
  <c r="AJ202" i="9"/>
  <c r="AE254" i="10"/>
  <c r="AG254" i="10" s="1"/>
  <c r="AJ254" i="9"/>
  <c r="AE189" i="9"/>
  <c r="AG189" i="9" s="1"/>
  <c r="AJ189" i="8"/>
  <c r="G102" i="10"/>
  <c r="I102" i="10" s="1"/>
  <c r="M102" i="9"/>
  <c r="AE251" i="10"/>
  <c r="AG251" i="10" s="1"/>
  <c r="AI200" i="16"/>
  <c r="AE58" i="15"/>
  <c r="AE57" i="15" s="1"/>
  <c r="AG60" i="15"/>
  <c r="N8" i="5"/>
  <c r="N121" i="5" s="1"/>
  <c r="N125" i="5" s="1"/>
  <c r="BE8" i="13"/>
  <c r="W258" i="5"/>
  <c r="AG244" i="8"/>
  <c r="J100" i="13"/>
  <c r="N100" i="12"/>
  <c r="AE107" i="16"/>
  <c r="B116" i="14"/>
  <c r="AU23" i="5"/>
  <c r="AZ23" i="5"/>
  <c r="AV23" i="5"/>
  <c r="AY23" i="5"/>
  <c r="BK8" i="16"/>
  <c r="BQ8" i="16"/>
  <c r="BQ7" i="16" s="1"/>
  <c r="BQ32" i="16" s="1"/>
  <c r="AE188" i="9"/>
  <c r="AJ188" i="8"/>
  <c r="AG187" i="8"/>
  <c r="AG181" i="8"/>
  <c r="AE240" i="10"/>
  <c r="AG240" i="10" s="1"/>
  <c r="AJ240" i="9"/>
  <c r="AJ70" i="16"/>
  <c r="AJ93" i="15"/>
  <c r="AE93" i="16"/>
  <c r="BL10" i="7"/>
  <c r="BL10" i="10" s="1"/>
  <c r="BL10" i="13" s="1"/>
  <c r="BL10" i="16" s="1"/>
  <c r="BK8" i="8"/>
  <c r="BQ8" i="8"/>
  <c r="BQ7" i="8" s="1"/>
  <c r="BQ32" i="8" s="1"/>
  <c r="BQ8" i="11"/>
  <c r="BQ7" i="11" s="1"/>
  <c r="BQ32" i="11" s="1"/>
  <c r="BK8" i="11"/>
  <c r="AE214" i="10"/>
  <c r="AG214" i="10" s="1"/>
  <c r="AJ214" i="9"/>
  <c r="AE238" i="10"/>
  <c r="AG238" i="10" s="1"/>
  <c r="AJ238" i="9"/>
  <c r="AE133" i="16"/>
  <c r="BF9" i="7"/>
  <c r="BF9" i="10" s="1"/>
  <c r="BF9" i="13" s="1"/>
  <c r="BF9" i="16" s="1"/>
  <c r="BE8" i="5"/>
  <c r="BN13" i="7"/>
  <c r="AQ25" i="7"/>
  <c r="AJ185" i="7"/>
  <c r="AE256" i="10"/>
  <c r="AG256" i="10" s="1"/>
  <c r="AJ256" i="9"/>
  <c r="AE239" i="10"/>
  <c r="AG239" i="10" s="1"/>
  <c r="AJ239" i="9"/>
  <c r="AE200" i="10"/>
  <c r="AG200" i="10" s="1"/>
  <c r="AJ200" i="9"/>
  <c r="E121" i="5"/>
  <c r="E125" i="5" s="1"/>
  <c r="AE223" i="9"/>
  <c r="AJ223" i="8"/>
  <c r="AJ37" i="16"/>
  <c r="AY9" i="6"/>
  <c r="AU9" i="6"/>
  <c r="AV9" i="6"/>
  <c r="AZ9" i="6"/>
  <c r="BH9" i="7"/>
  <c r="AE255" i="10"/>
  <c r="AG255" i="10" s="1"/>
  <c r="AJ255" i="9"/>
  <c r="AJ205" i="10"/>
  <c r="AE205" i="11"/>
  <c r="AG205" i="11" s="1"/>
  <c r="AE190" i="10"/>
  <c r="AG190" i="10" s="1"/>
  <c r="AJ190" i="9"/>
  <c r="AE225" i="10"/>
  <c r="AG225" i="10" s="1"/>
  <c r="AJ225" i="9"/>
  <c r="G86" i="8"/>
  <c r="M86" i="7"/>
  <c r="G90" i="9"/>
  <c r="I90" i="9" s="1"/>
  <c r="M90" i="8"/>
  <c r="AR13" i="8"/>
  <c r="AW13" i="8"/>
  <c r="AY13" i="8" s="1"/>
  <c r="F17" i="5"/>
  <c r="AQ14" i="5"/>
  <c r="AQ17" i="5" s="1"/>
  <c r="AE159" i="16"/>
  <c r="AJ40" i="15"/>
  <c r="AE40" i="16"/>
  <c r="Y53" i="15"/>
  <c r="AI130" i="16"/>
  <c r="AJ66" i="16"/>
  <c r="AG186" i="8"/>
  <c r="AE216" i="10"/>
  <c r="AG216" i="10" s="1"/>
  <c r="AJ216" i="9"/>
  <c r="AE182" i="10"/>
  <c r="AG182" i="10" s="1"/>
  <c r="AJ182" i="9"/>
  <c r="AE246" i="10"/>
  <c r="AG246" i="10" s="1"/>
  <c r="AJ246" i="9"/>
  <c r="AE218" i="13"/>
  <c r="AG218" i="13" s="1"/>
  <c r="AJ218" i="12"/>
  <c r="AJ180" i="11"/>
  <c r="AE180" i="12"/>
  <c r="J90" i="8"/>
  <c r="N90" i="7"/>
  <c r="AS13" i="7"/>
  <c r="AX13" i="7"/>
  <c r="AJ249" i="12"/>
  <c r="AE249" i="13"/>
  <c r="AG249" i="13" s="1"/>
  <c r="G100" i="13"/>
  <c r="M100" i="12"/>
  <c r="BH9" i="6"/>
  <c r="G30" i="8"/>
  <c r="I29" i="7"/>
  <c r="I28" i="7" s="1"/>
  <c r="M30" i="7"/>
  <c r="M29" i="7" s="1"/>
  <c r="M28" i="7" s="1"/>
  <c r="BD13" i="7"/>
  <c r="AG212" i="8"/>
  <c r="AE51" i="16"/>
  <c r="I8" i="5"/>
  <c r="I121" i="5" s="1"/>
  <c r="I125" i="5" s="1"/>
  <c r="AE250" i="10"/>
  <c r="AG250" i="10" s="1"/>
  <c r="AJ250" i="9"/>
  <c r="AG204" i="8"/>
  <c r="AE203" i="8"/>
  <c r="AE247" i="13"/>
  <c r="AG247" i="13" s="1"/>
  <c r="AJ247" i="12"/>
  <c r="G105" i="10"/>
  <c r="I105" i="10" s="1"/>
  <c r="AE21" i="16"/>
  <c r="AU9" i="5"/>
  <c r="AV9" i="5"/>
  <c r="AY9" i="5"/>
  <c r="AZ9" i="5"/>
  <c r="AE230" i="13"/>
  <c r="AG230" i="13" s="1"/>
  <c r="AJ230" i="12"/>
  <c r="AG196" i="8"/>
  <c r="AY27" i="7"/>
  <c r="AE217" i="10"/>
  <c r="AG217" i="10" s="1"/>
  <c r="AJ217" i="9"/>
  <c r="AJ151" i="15"/>
  <c r="AE151" i="16"/>
  <c r="O10" i="18"/>
  <c r="BE8" i="16"/>
  <c r="D121" i="6"/>
  <c r="D125" i="6" s="1"/>
  <c r="AV10" i="11"/>
  <c r="AU10" i="11"/>
  <c r="AZ10" i="11"/>
  <c r="AY10" i="11"/>
  <c r="AE253" i="10"/>
  <c r="AG253" i="10" s="1"/>
  <c r="AJ253" i="9"/>
  <c r="F17" i="7"/>
  <c r="AQ14" i="7"/>
  <c r="AE237" i="9"/>
  <c r="AG237" i="9" s="1"/>
  <c r="AJ237" i="8"/>
  <c r="AE228" i="9"/>
  <c r="AG227" i="8"/>
  <c r="AJ228" i="8"/>
  <c r="AE201" i="10"/>
  <c r="AG201" i="10" s="1"/>
  <c r="AJ201" i="9"/>
  <c r="AE115" i="16"/>
  <c r="AW16" i="9"/>
  <c r="AY16" i="9" s="1"/>
  <c r="AE236" i="9"/>
  <c r="AJ236" i="8"/>
  <c r="AE248" i="10"/>
  <c r="AG248" i="10" s="1"/>
  <c r="AJ248" i="9"/>
  <c r="AE191" i="10"/>
  <c r="AG191" i="10" s="1"/>
  <c r="AJ191" i="9"/>
  <c r="AE252" i="10"/>
  <c r="AG252" i="10" s="1"/>
  <c r="AJ252" i="9"/>
  <c r="AE199" i="10"/>
  <c r="AG199" i="10" s="1"/>
  <c r="AJ199" i="9"/>
  <c r="L8" i="5"/>
  <c r="BH8" i="5"/>
  <c r="BH9" i="8"/>
  <c r="AV27" i="5"/>
  <c r="AZ27" i="5"/>
  <c r="AY27" i="5"/>
  <c r="AU27" i="5"/>
  <c r="AE187" i="8"/>
  <c r="AE185" i="8" s="1"/>
  <c r="AE197" i="10"/>
  <c r="AG197" i="10" s="1"/>
  <c r="AJ197" i="9"/>
  <c r="AE215" i="10"/>
  <c r="AG215" i="10" s="1"/>
  <c r="AJ215" i="9"/>
  <c r="G101" i="9"/>
  <c r="M101" i="8"/>
  <c r="BD18" i="8"/>
  <c r="I99" i="8"/>
  <c r="D121" i="7"/>
  <c r="D125" i="7" s="1"/>
  <c r="J12" i="9" l="1"/>
  <c r="L12" i="9" s="1"/>
  <c r="N12" i="8"/>
  <c r="J13" i="10"/>
  <c r="L13" i="10" s="1"/>
  <c r="N13" i="9"/>
  <c r="G82" i="11"/>
  <c r="I82" i="11" s="1"/>
  <c r="M82" i="10"/>
  <c r="Z8" i="16"/>
  <c r="AC258" i="16"/>
  <c r="AY10" i="16"/>
  <c r="AC8" i="15"/>
  <c r="AC258" i="15"/>
  <c r="P32" i="20"/>
  <c r="P31" i="20" s="1"/>
  <c r="P30" i="20" s="1"/>
  <c r="P56" i="20" s="1"/>
  <c r="AQ25" i="8"/>
  <c r="X63" i="8"/>
  <c r="BN13" i="8"/>
  <c r="F10" i="11"/>
  <c r="M14" i="11"/>
  <c r="AB223" i="14"/>
  <c r="AD222" i="13"/>
  <c r="AI223" i="13"/>
  <c r="E27" i="14"/>
  <c r="E25" i="13"/>
  <c r="F27" i="13"/>
  <c r="W230" i="14"/>
  <c r="W227" i="13"/>
  <c r="W220" i="13" s="1"/>
  <c r="X230" i="13"/>
  <c r="AI230" i="13" s="1"/>
  <c r="AA236" i="11"/>
  <c r="Y235" i="11"/>
  <c r="AH239" i="11"/>
  <c r="AI239" i="11"/>
  <c r="X235" i="11"/>
  <c r="AJ159" i="9"/>
  <c r="X157" i="9"/>
  <c r="X155" i="9" s="1"/>
  <c r="BN17" i="9" s="1"/>
  <c r="AH159" i="9"/>
  <c r="AI159" i="9"/>
  <c r="W239" i="13"/>
  <c r="W235" i="12"/>
  <c r="AH245" i="9"/>
  <c r="AI245" i="9"/>
  <c r="E76" i="11"/>
  <c r="E75" i="10"/>
  <c r="F76" i="10"/>
  <c r="L50" i="11"/>
  <c r="J48" i="11"/>
  <c r="V197" i="13"/>
  <c r="V195" i="12"/>
  <c r="V194" i="12" s="1"/>
  <c r="V193" i="12" s="1"/>
  <c r="X197" i="12"/>
  <c r="N82" i="13"/>
  <c r="W197" i="13"/>
  <c r="W195" i="12"/>
  <c r="W194" i="12" s="1"/>
  <c r="W193" i="12" s="1"/>
  <c r="W189" i="14"/>
  <c r="W187" i="13"/>
  <c r="W185" i="13" s="1"/>
  <c r="J67" i="11"/>
  <c r="L66" i="10"/>
  <c r="N67" i="10"/>
  <c r="X94" i="10"/>
  <c r="V91" i="10"/>
  <c r="V90" i="10" s="1"/>
  <c r="V94" i="11"/>
  <c r="E58" i="14"/>
  <c r="E57" i="13"/>
  <c r="F58" i="13"/>
  <c r="F57" i="13" s="1"/>
  <c r="AI115" i="9"/>
  <c r="AH115" i="9"/>
  <c r="AJ115" i="9"/>
  <c r="X114" i="9"/>
  <c r="X112" i="9" s="1"/>
  <c r="V160" i="11"/>
  <c r="X160" i="10"/>
  <c r="V157" i="10"/>
  <c r="V155" i="10" s="1"/>
  <c r="E70" i="15"/>
  <c r="E69" i="14"/>
  <c r="D33" i="13"/>
  <c r="D32" i="12"/>
  <c r="D28" i="12" s="1"/>
  <c r="F33" i="12"/>
  <c r="W46" i="14"/>
  <c r="W44" i="13"/>
  <c r="X46" i="13"/>
  <c r="E52" i="15"/>
  <c r="E51" i="14"/>
  <c r="F52" i="14"/>
  <c r="N52" i="14" s="1"/>
  <c r="I83" i="9"/>
  <c r="G81" i="9"/>
  <c r="J46" i="11"/>
  <c r="L45" i="10"/>
  <c r="N46" i="9"/>
  <c r="N45" i="9" s="1"/>
  <c r="M46" i="9"/>
  <c r="M45" i="9" s="1"/>
  <c r="F45" i="9"/>
  <c r="BC15" i="9"/>
  <c r="D26" i="11"/>
  <c r="D25" i="10"/>
  <c r="F26" i="10"/>
  <c r="AH51" i="9"/>
  <c r="AI51" i="9"/>
  <c r="AJ51" i="9"/>
  <c r="X49" i="9"/>
  <c r="D14" i="13"/>
  <c r="F14" i="12"/>
  <c r="D10" i="12"/>
  <c r="N27" i="12"/>
  <c r="M27" i="12"/>
  <c r="E96" i="14"/>
  <c r="E93" i="13"/>
  <c r="E85" i="13" s="1"/>
  <c r="F96" i="13"/>
  <c r="M96" i="13" s="1"/>
  <c r="J119" i="9"/>
  <c r="L117" i="8"/>
  <c r="N119" i="8"/>
  <c r="AJ160" i="9"/>
  <c r="AI160" i="9"/>
  <c r="V239" i="13"/>
  <c r="X239" i="12"/>
  <c r="V235" i="12"/>
  <c r="W159" i="11"/>
  <c r="W157" i="10"/>
  <c r="W155" i="10" s="1"/>
  <c r="W145" i="10" s="1"/>
  <c r="X159" i="10"/>
  <c r="AD236" i="9"/>
  <c r="AB235" i="9"/>
  <c r="AB234" i="9" s="1"/>
  <c r="AB232" i="9" s="1"/>
  <c r="N76" i="9"/>
  <c r="N75" i="9" s="1"/>
  <c r="F75" i="9"/>
  <c r="AQ9" i="9" s="1"/>
  <c r="AD228" i="11"/>
  <c r="AB227" i="11"/>
  <c r="AB220" i="11" s="1"/>
  <c r="AI197" i="11"/>
  <c r="AH197" i="11"/>
  <c r="X195" i="11"/>
  <c r="X194" i="11" s="1"/>
  <c r="E82" i="15"/>
  <c r="E81" i="14"/>
  <c r="F82" i="14"/>
  <c r="V189" i="15"/>
  <c r="X189" i="14"/>
  <c r="V187" i="14"/>
  <c r="V185" i="14" s="1"/>
  <c r="AH189" i="12"/>
  <c r="AI189" i="12"/>
  <c r="AI187" i="12" s="1"/>
  <c r="X187" i="12"/>
  <c r="X185" i="12" s="1"/>
  <c r="F15" i="16"/>
  <c r="M15" i="16" s="1"/>
  <c r="E10" i="16"/>
  <c r="AG174" i="12"/>
  <c r="D17" i="8"/>
  <c r="AI234" i="8"/>
  <c r="AI232" i="8" s="1"/>
  <c r="X91" i="9"/>
  <c r="AH94" i="9"/>
  <c r="AH91" i="9" s="1"/>
  <c r="AI94" i="9"/>
  <c r="AJ94" i="9"/>
  <c r="X224" i="15"/>
  <c r="AI224" i="15" s="1"/>
  <c r="V224" i="16"/>
  <c r="X224" i="16" s="1"/>
  <c r="AI224" i="16" s="1"/>
  <c r="N58" i="12"/>
  <c r="N57" i="12" s="1"/>
  <c r="M58" i="12"/>
  <c r="W115" i="11"/>
  <c r="W114" i="10"/>
  <c r="W112" i="10" s="1"/>
  <c r="X115" i="10"/>
  <c r="D45" i="16"/>
  <c r="F47" i="16"/>
  <c r="N47" i="16" s="1"/>
  <c r="E32" i="16"/>
  <c r="E28" i="16" s="1"/>
  <c r="F34" i="16"/>
  <c r="N34" i="16" s="1"/>
  <c r="M33" i="11"/>
  <c r="M32" i="11" s="1"/>
  <c r="N33" i="11"/>
  <c r="N32" i="11" s="1"/>
  <c r="BC13" i="11"/>
  <c r="F32" i="11"/>
  <c r="F28" i="11" s="1"/>
  <c r="AR30" i="8"/>
  <c r="AW30" i="8" s="1"/>
  <c r="BP29" i="8"/>
  <c r="BJ13" i="8" s="1"/>
  <c r="V245" i="11"/>
  <c r="X245" i="10"/>
  <c r="V243" i="10"/>
  <c r="V234" i="10" s="1"/>
  <c r="V232" i="10" s="1"/>
  <c r="AI46" i="12"/>
  <c r="AH46" i="12"/>
  <c r="G37" i="12"/>
  <c r="I35" i="11"/>
  <c r="M37" i="11"/>
  <c r="M35" i="11" s="1"/>
  <c r="BP30" i="10"/>
  <c r="BJ14" i="10" s="1"/>
  <c r="D70" i="11"/>
  <c r="D69" i="10"/>
  <c r="F70" i="10"/>
  <c r="F69" i="10" s="1"/>
  <c r="N52" i="13"/>
  <c r="M52" i="13"/>
  <c r="E46" i="11"/>
  <c r="E45" i="10"/>
  <c r="F46" i="10"/>
  <c r="BC11" i="9"/>
  <c r="M26" i="9"/>
  <c r="M25" i="9" s="1"/>
  <c r="F25" i="9"/>
  <c r="AQ8" i="9" s="1"/>
  <c r="N26" i="9"/>
  <c r="N25" i="9" s="1"/>
  <c r="W51" i="11"/>
  <c r="W49" i="10"/>
  <c r="W43" i="10" s="1"/>
  <c r="W14" i="10" s="1"/>
  <c r="X51" i="10"/>
  <c r="X220" i="12"/>
  <c r="BN30" i="12" s="1"/>
  <c r="BH14" i="12" s="1"/>
  <c r="E21" i="9"/>
  <c r="E19" i="9" s="1"/>
  <c r="E17" i="9" s="1"/>
  <c r="E8" i="9" s="1"/>
  <c r="E121" i="9" s="1"/>
  <c r="E125" i="9" s="1"/>
  <c r="X189" i="13"/>
  <c r="AE117" i="8"/>
  <c r="AJ117" i="7"/>
  <c r="AJ114" i="7" s="1"/>
  <c r="AG114" i="7"/>
  <c r="D21" i="9"/>
  <c r="D19" i="9" s="1"/>
  <c r="V63" i="9"/>
  <c r="V12" i="9" s="1"/>
  <c r="V10" i="9" s="1"/>
  <c r="V8" i="9" s="1"/>
  <c r="AE241" i="8"/>
  <c r="AJ241" i="7"/>
  <c r="AJ235" i="7" s="1"/>
  <c r="AG235" i="7"/>
  <c r="AE213" i="8"/>
  <c r="AJ213" i="7"/>
  <c r="AJ211" i="7" s="1"/>
  <c r="AJ210" i="7" s="1"/>
  <c r="AJ209" i="7" s="1"/>
  <c r="AJ207" i="7" s="1"/>
  <c r="AG211" i="7"/>
  <c r="AG210" i="7" s="1"/>
  <c r="AG209" i="7" s="1"/>
  <c r="AG207" i="7" s="1"/>
  <c r="AS29" i="7" s="1"/>
  <c r="AX29" i="7" s="1"/>
  <c r="AZ29" i="7" s="1"/>
  <c r="AC8" i="10"/>
  <c r="BQ32" i="10"/>
  <c r="I56" i="20"/>
  <c r="BL12" i="10"/>
  <c r="BL12" i="13" s="1"/>
  <c r="BL12" i="16" s="1"/>
  <c r="AC258" i="7"/>
  <c r="J15" i="9"/>
  <c r="L15" i="9" s="1"/>
  <c r="N15" i="8"/>
  <c r="W8" i="7"/>
  <c r="AV24" i="6"/>
  <c r="V258" i="7"/>
  <c r="E121" i="8"/>
  <c r="E125" i="8" s="1"/>
  <c r="AH14" i="6"/>
  <c r="AB14" i="7"/>
  <c r="AY30" i="6"/>
  <c r="AU30" i="7"/>
  <c r="AQ27" i="8"/>
  <c r="AJ110" i="6"/>
  <c r="G56" i="20"/>
  <c r="G57" i="20" s="1"/>
  <c r="H8" i="20" s="1"/>
  <c r="V12" i="8"/>
  <c r="V10" i="8" s="1"/>
  <c r="V8" i="8" s="1"/>
  <c r="AJ63" i="6"/>
  <c r="AS25" i="6"/>
  <c r="AX25" i="6" s="1"/>
  <c r="AZ25" i="6" s="1"/>
  <c r="N85" i="6"/>
  <c r="M123" i="6"/>
  <c r="G64" i="10"/>
  <c r="I64" i="10" s="1"/>
  <c r="BD14" i="9"/>
  <c r="M64" i="9"/>
  <c r="I50" i="7"/>
  <c r="G48" i="7"/>
  <c r="N56" i="9"/>
  <c r="N54" i="9" s="1"/>
  <c r="M56" i="9"/>
  <c r="F54" i="9"/>
  <c r="W217" i="11"/>
  <c r="W211" i="10"/>
  <c r="W210" i="10" s="1"/>
  <c r="W209" i="10" s="1"/>
  <c r="W207" i="10" s="1"/>
  <c r="X217" i="10"/>
  <c r="AJ173" i="12"/>
  <c r="AH173" i="12"/>
  <c r="AH172" i="12" s="1"/>
  <c r="X172" i="12"/>
  <c r="AI173" i="12"/>
  <c r="AI172" i="12" s="1"/>
  <c r="D61" i="11"/>
  <c r="D60" i="10"/>
  <c r="F61" i="10"/>
  <c r="X243" i="9"/>
  <c r="X234" i="9" s="1"/>
  <c r="X232" i="9" s="1"/>
  <c r="AI251" i="9"/>
  <c r="AI243" i="9" s="1"/>
  <c r="AH251" i="9"/>
  <c r="BC18" i="8"/>
  <c r="BC9" i="8" s="1"/>
  <c r="BC8" i="8" s="1"/>
  <c r="M105" i="8"/>
  <c r="F99" i="8"/>
  <c r="F17" i="8" s="1"/>
  <c r="X35" i="9"/>
  <c r="BN31" i="9"/>
  <c r="BH15" i="9" s="1"/>
  <c r="AJ41" i="9"/>
  <c r="AI41" i="9"/>
  <c r="AJ150" i="9"/>
  <c r="AJ149" i="9" s="1"/>
  <c r="AJ147" i="9" s="1"/>
  <c r="AI150" i="9"/>
  <c r="AH150" i="9"/>
  <c r="X149" i="9"/>
  <c r="X147" i="9" s="1"/>
  <c r="V24" i="12"/>
  <c r="X24" i="11"/>
  <c r="V20" i="11"/>
  <c r="V16" i="11" s="1"/>
  <c r="AQ12" i="12"/>
  <c r="N89" i="12"/>
  <c r="M89" i="12"/>
  <c r="W100" i="11"/>
  <c r="W96" i="10"/>
  <c r="W90" i="10" s="1"/>
  <c r="X100" i="10"/>
  <c r="W95" i="15"/>
  <c r="W91" i="14"/>
  <c r="X95" i="14"/>
  <c r="AI45" i="9"/>
  <c r="AI44" i="9" s="1"/>
  <c r="X44" i="9"/>
  <c r="X43" i="9" s="1"/>
  <c r="G68" i="8"/>
  <c r="I66" i="7"/>
  <c r="M68" i="7"/>
  <c r="M66" i="7" s="1"/>
  <c r="AI53" i="13"/>
  <c r="AH53" i="13"/>
  <c r="AJ53" i="13"/>
  <c r="V106" i="11"/>
  <c r="V105" i="10"/>
  <c r="V104" i="10" s="1"/>
  <c r="X106" i="10"/>
  <c r="J53" i="9"/>
  <c r="L51" i="8"/>
  <c r="N53" i="8"/>
  <c r="N51" i="8" s="1"/>
  <c r="AU15" i="5"/>
  <c r="AW15" i="5"/>
  <c r="AY15" i="5" s="1"/>
  <c r="AZ15" i="5"/>
  <c r="AV15" i="5"/>
  <c r="AH158" i="13"/>
  <c r="AI158" i="13"/>
  <c r="AJ158" i="13"/>
  <c r="L42" i="16"/>
  <c r="AS10" i="16" s="1"/>
  <c r="AV10" i="16" s="1"/>
  <c r="AX10" i="16"/>
  <c r="AZ10" i="16" s="1"/>
  <c r="N43" i="16"/>
  <c r="N42" i="16" s="1"/>
  <c r="X83" i="11"/>
  <c r="AI87" i="11"/>
  <c r="AH87" i="11"/>
  <c r="AJ87" i="11"/>
  <c r="V159" i="13"/>
  <c r="J33" i="14"/>
  <c r="L32" i="13"/>
  <c r="D79" i="13"/>
  <c r="F79" i="12"/>
  <c r="D78" i="12"/>
  <c r="F78" i="12" s="1"/>
  <c r="AE97" i="9"/>
  <c r="AJ97" i="8"/>
  <c r="AE149" i="13"/>
  <c r="AE147" i="13" s="1"/>
  <c r="AG152" i="13"/>
  <c r="AG106" i="13"/>
  <c r="AE105" i="13"/>
  <c r="AE104" i="13" s="1"/>
  <c r="E105" i="11"/>
  <c r="E99" i="10"/>
  <c r="E68" i="11"/>
  <c r="E66" i="10"/>
  <c r="F68" i="10"/>
  <c r="AJ107" i="13"/>
  <c r="AH107" i="13"/>
  <c r="AI107" i="13"/>
  <c r="D118" i="9"/>
  <c r="D117" i="8"/>
  <c r="D108" i="8" s="1"/>
  <c r="F118" i="8"/>
  <c r="K49" i="20"/>
  <c r="K56" i="20" s="1"/>
  <c r="R52" i="20"/>
  <c r="R49" i="20" s="1"/>
  <c r="AH84" i="12"/>
  <c r="AJ84" i="12"/>
  <c r="AH225" i="13"/>
  <c r="AI225" i="13"/>
  <c r="AI222" i="13" s="1"/>
  <c r="X222" i="13"/>
  <c r="J70" i="9"/>
  <c r="L69" i="8"/>
  <c r="N70" i="8"/>
  <c r="N69" i="8" s="1"/>
  <c r="V229" i="16"/>
  <c r="X229" i="16" s="1"/>
  <c r="AH229" i="16" s="1"/>
  <c r="X229" i="15"/>
  <c r="AH229" i="15" s="1"/>
  <c r="V99" i="15"/>
  <c r="V96" i="14"/>
  <c r="X99" i="14"/>
  <c r="AH213" i="9"/>
  <c r="AI213" i="9"/>
  <c r="X211" i="9"/>
  <c r="X210" i="9" s="1"/>
  <c r="X209" i="9" s="1"/>
  <c r="Y212" i="9"/>
  <c r="AH212" i="8"/>
  <c r="AH211" i="8" s="1"/>
  <c r="AH210" i="8" s="1"/>
  <c r="AH209" i="8" s="1"/>
  <c r="AH207" i="8" s="1"/>
  <c r="AA211" i="8"/>
  <c r="AA210" i="8" s="1"/>
  <c r="AA209" i="8" s="1"/>
  <c r="J49" i="14"/>
  <c r="N49" i="13"/>
  <c r="AV12" i="11"/>
  <c r="AU12" i="11"/>
  <c r="AZ12" i="11"/>
  <c r="AY12" i="11"/>
  <c r="M67" i="11"/>
  <c r="AG52" i="7"/>
  <c r="AE49" i="7"/>
  <c r="AA101" i="12"/>
  <c r="Y96" i="12"/>
  <c r="Y90" i="12" s="1"/>
  <c r="J37" i="9"/>
  <c r="L35" i="8"/>
  <c r="L28" i="8" s="1"/>
  <c r="AS9" i="8" s="1"/>
  <c r="AV9" i="8" s="1"/>
  <c r="AX9" i="8"/>
  <c r="AZ9" i="8" s="1"/>
  <c r="N37" i="8"/>
  <c r="N35" i="8" s="1"/>
  <c r="N28" i="8" s="1"/>
  <c r="AJ251" i="9"/>
  <c r="BD8" i="6"/>
  <c r="BD23" i="6" s="1"/>
  <c r="R32" i="20"/>
  <c r="R31" i="20" s="1"/>
  <c r="R30" i="20" s="1"/>
  <c r="AH222" i="12"/>
  <c r="V76" i="11"/>
  <c r="V69" i="10"/>
  <c r="V65" i="10" s="1"/>
  <c r="X76" i="10"/>
  <c r="W158" i="15"/>
  <c r="X158" i="14"/>
  <c r="V116" i="13"/>
  <c r="V114" i="12"/>
  <c r="V112" i="12" s="1"/>
  <c r="X116" i="12"/>
  <c r="E56" i="11"/>
  <c r="E54" i="10"/>
  <c r="F56" i="10"/>
  <c r="W181" i="11"/>
  <c r="W176" i="10"/>
  <c r="W170" i="10" s="1"/>
  <c r="X181" i="10"/>
  <c r="D73" i="11"/>
  <c r="D72" i="10"/>
  <c r="F73" i="10"/>
  <c r="AH217" i="9"/>
  <c r="AI217" i="9"/>
  <c r="AJ76" i="9"/>
  <c r="AI76" i="9"/>
  <c r="AH76" i="9"/>
  <c r="V173" i="14"/>
  <c r="V172" i="13"/>
  <c r="V170" i="13" s="1"/>
  <c r="X173" i="13"/>
  <c r="AD37" i="13"/>
  <c r="AG116" i="9"/>
  <c r="AA190" i="12"/>
  <c r="Y187" i="12"/>
  <c r="Y185" i="12" s="1"/>
  <c r="N61" i="9"/>
  <c r="BC17" i="9"/>
  <c r="F60" i="9"/>
  <c r="W251" i="11"/>
  <c r="W243" i="10"/>
  <c r="W234" i="10" s="1"/>
  <c r="W232" i="10" s="1"/>
  <c r="X251" i="10"/>
  <c r="AA224" i="13"/>
  <c r="Y222" i="13"/>
  <c r="G95" i="8"/>
  <c r="I93" i="7"/>
  <c r="M95" i="7"/>
  <c r="M93" i="7" s="1"/>
  <c r="M85" i="7" s="1"/>
  <c r="D105" i="10"/>
  <c r="D99" i="9"/>
  <c r="D17" i="9" s="1"/>
  <c r="F105" i="9"/>
  <c r="F93" i="9"/>
  <c r="M94" i="9"/>
  <c r="N94" i="9"/>
  <c r="W75" i="11"/>
  <c r="W69" i="10"/>
  <c r="W65" i="10" s="1"/>
  <c r="X75" i="10"/>
  <c r="V255" i="13"/>
  <c r="X255" i="12"/>
  <c r="V41" i="11"/>
  <c r="V35" i="10"/>
  <c r="X41" i="10"/>
  <c r="V150" i="11"/>
  <c r="V149" i="10"/>
  <c r="V147" i="10" s="1"/>
  <c r="V145" i="10" s="1"/>
  <c r="V110" i="10" s="1"/>
  <c r="X150" i="10"/>
  <c r="AG86" i="9"/>
  <c r="AE83" i="9"/>
  <c r="AH24" i="10"/>
  <c r="AH20" i="10" s="1"/>
  <c r="AJ24" i="10"/>
  <c r="X20" i="10"/>
  <c r="X16" i="10" s="1"/>
  <c r="AI24" i="10"/>
  <c r="J14" i="8"/>
  <c r="L10" i="7"/>
  <c r="AS16" i="7" s="1"/>
  <c r="AV16" i="7" s="1"/>
  <c r="N14" i="7"/>
  <c r="N10" i="7" s="1"/>
  <c r="V143" i="15"/>
  <c r="V141" i="14"/>
  <c r="X143" i="14"/>
  <c r="BN29" i="8"/>
  <c r="BH13" i="8" s="1"/>
  <c r="AQ30" i="8"/>
  <c r="I59" i="8"/>
  <c r="G57" i="8"/>
  <c r="BN16" i="8"/>
  <c r="BN15" i="8" s="1"/>
  <c r="BH10" i="8" s="1"/>
  <c r="X145" i="8"/>
  <c r="X110" i="8" s="1"/>
  <c r="AQ26" i="8" s="1"/>
  <c r="BC22" i="9"/>
  <c r="M63" i="6"/>
  <c r="M21" i="6" s="1"/>
  <c r="M19" i="6" s="1"/>
  <c r="M17" i="6" s="1"/>
  <c r="AE258" i="6" s="1"/>
  <c r="Y12" i="6"/>
  <c r="Y10" i="6" s="1"/>
  <c r="Y8" i="6" s="1"/>
  <c r="AH63" i="6"/>
  <c r="W258" i="8"/>
  <c r="D89" i="14"/>
  <c r="F89" i="13"/>
  <c r="E118" i="15"/>
  <c r="E117" i="14"/>
  <c r="E108" i="14" s="1"/>
  <c r="AH181" i="9"/>
  <c r="AI181" i="9"/>
  <c r="X176" i="9"/>
  <c r="X170" i="9" s="1"/>
  <c r="N73" i="9"/>
  <c r="N72" i="9" s="1"/>
  <c r="M73" i="9"/>
  <c r="F72" i="9"/>
  <c r="AD207" i="8"/>
  <c r="AR29" i="8" s="1"/>
  <c r="AW29" i="8" s="1"/>
  <c r="AY29" i="8" s="1"/>
  <c r="BP27" i="8"/>
  <c r="D94" i="11"/>
  <c r="D93" i="10"/>
  <c r="D85" i="10" s="1"/>
  <c r="F94" i="10"/>
  <c r="AI75" i="9"/>
  <c r="AH75" i="9"/>
  <c r="AJ75" i="9"/>
  <c r="X69" i="9"/>
  <c r="X65" i="9" s="1"/>
  <c r="AH255" i="11"/>
  <c r="AI255" i="11"/>
  <c r="AE143" i="9"/>
  <c r="AG141" i="8"/>
  <c r="AJ143" i="8"/>
  <c r="AJ141" i="8" s="1"/>
  <c r="AB173" i="15"/>
  <c r="AD172" i="14"/>
  <c r="AH143" i="13"/>
  <c r="AI143" i="13"/>
  <c r="AE222" i="7"/>
  <c r="AE220" i="7" s="1"/>
  <c r="AG224" i="7"/>
  <c r="AE99" i="8"/>
  <c r="AJ99" i="7"/>
  <c r="AJ96" i="7" s="1"/>
  <c r="AG96" i="7"/>
  <c r="BC20" i="13"/>
  <c r="M109" i="13"/>
  <c r="N109" i="13"/>
  <c r="AJ100" i="9"/>
  <c r="AI100" i="9"/>
  <c r="X96" i="9"/>
  <c r="X90" i="9" s="1"/>
  <c r="AH100" i="9"/>
  <c r="AH96" i="9" s="1"/>
  <c r="AH90" i="9" s="1"/>
  <c r="AJ95" i="13"/>
  <c r="AH95" i="13"/>
  <c r="AI95" i="13"/>
  <c r="V45" i="11"/>
  <c r="V44" i="10"/>
  <c r="V43" i="10" s="1"/>
  <c r="X45" i="10"/>
  <c r="W53" i="15"/>
  <c r="X53" i="14"/>
  <c r="AD215" i="9"/>
  <c r="AB211" i="9"/>
  <c r="AB210" i="9" s="1"/>
  <c r="AB209" i="9" s="1"/>
  <c r="AB207" i="9" s="1"/>
  <c r="AJ106" i="9"/>
  <c r="AJ105" i="9" s="1"/>
  <c r="AJ104" i="9" s="1"/>
  <c r="AH106" i="9"/>
  <c r="AH105" i="9" s="1"/>
  <c r="AH104" i="9" s="1"/>
  <c r="X105" i="9"/>
  <c r="X104" i="9" s="1"/>
  <c r="V87" i="13"/>
  <c r="V83" i="12"/>
  <c r="X87" i="12"/>
  <c r="AA230" i="9"/>
  <c r="Y227" i="9"/>
  <c r="Y220" i="9" s="1"/>
  <c r="L64" i="16"/>
  <c r="J63" i="16"/>
  <c r="AD39" i="8"/>
  <c r="AB35" i="8"/>
  <c r="AB117" i="8"/>
  <c r="AI117" i="7"/>
  <c r="AI114" i="7" s="1"/>
  <c r="AD114" i="7"/>
  <c r="BC21" i="6"/>
  <c r="BC23" i="6" s="1"/>
  <c r="F108" i="6"/>
  <c r="AQ15" i="6" s="1"/>
  <c r="AZ15" i="6" s="1"/>
  <c r="D56" i="13"/>
  <c r="D54" i="12"/>
  <c r="AE72" i="14"/>
  <c r="AG72" i="14" s="1"/>
  <c r="AJ72" i="13"/>
  <c r="N68" i="9"/>
  <c r="N66" i="9" s="1"/>
  <c r="F66" i="9"/>
  <c r="W107" i="15"/>
  <c r="W105" i="14"/>
  <c r="W104" i="14" s="1"/>
  <c r="X107" i="14"/>
  <c r="F117" i="7"/>
  <c r="M118" i="7"/>
  <c r="M117" i="7" s="1"/>
  <c r="N118" i="7"/>
  <c r="N117" i="7" s="1"/>
  <c r="N108" i="7" s="1"/>
  <c r="I55" i="8"/>
  <c r="G54" i="8"/>
  <c r="W84" i="14"/>
  <c r="W83" i="13"/>
  <c r="X84" i="13"/>
  <c r="V222" i="14"/>
  <c r="X225" i="14"/>
  <c r="V225" i="15"/>
  <c r="E60" i="16"/>
  <c r="F62" i="16"/>
  <c r="M62" i="16" s="1"/>
  <c r="AH99" i="13"/>
  <c r="AI99" i="13"/>
  <c r="V213" i="11"/>
  <c r="V211" i="10"/>
  <c r="V210" i="10" s="1"/>
  <c r="V209" i="10" s="1"/>
  <c r="V207" i="10" s="1"/>
  <c r="X213" i="10"/>
  <c r="Y249" i="9"/>
  <c r="AA243" i="8"/>
  <c r="AA234" i="8" s="1"/>
  <c r="AA232" i="8" s="1"/>
  <c r="BO29" i="8" s="1"/>
  <c r="BI13" i="8" s="1"/>
  <c r="AH249" i="8"/>
  <c r="AH243" i="8" s="1"/>
  <c r="AH234" i="8" s="1"/>
  <c r="AH232" i="8" s="1"/>
  <c r="AB22" i="10"/>
  <c r="AD20" i="9"/>
  <c r="AI22" i="9"/>
  <c r="AI20" i="9" s="1"/>
  <c r="D67" i="13"/>
  <c r="D66" i="12"/>
  <c r="F67" i="12"/>
  <c r="AE135" i="11"/>
  <c r="AG135" i="11" s="1"/>
  <c r="AJ135" i="10"/>
  <c r="AA237" i="13"/>
  <c r="D109" i="15"/>
  <c r="F109" i="14"/>
  <c r="AE43" i="7"/>
  <c r="M99" i="8"/>
  <c r="F123" i="9"/>
  <c r="N19" i="6"/>
  <c r="N17" i="6" s="1"/>
  <c r="AF258" i="6" s="1"/>
  <c r="BQ33" i="6" s="1"/>
  <c r="AB112" i="7"/>
  <c r="W63" i="9"/>
  <c r="W12" i="9" s="1"/>
  <c r="W10" i="9" s="1"/>
  <c r="AH83" i="11"/>
  <c r="AE31" i="14"/>
  <c r="AG31" i="14" s="1"/>
  <c r="AJ31" i="13"/>
  <c r="AE245" i="8"/>
  <c r="AJ245" i="7"/>
  <c r="AJ243" i="7" s="1"/>
  <c r="AJ234" i="7" s="1"/>
  <c r="AJ232" i="7" s="1"/>
  <c r="AG243" i="7"/>
  <c r="AG234" i="7" s="1"/>
  <c r="AG232" i="7" s="1"/>
  <c r="AI110" i="6"/>
  <c r="AI205" i="15"/>
  <c r="AB205" i="16"/>
  <c r="AD205" i="16" s="1"/>
  <c r="AI205" i="16" s="1"/>
  <c r="AD193" i="6"/>
  <c r="AR28" i="6" s="1"/>
  <c r="AW28" i="6" s="1"/>
  <c r="AY28" i="6" s="1"/>
  <c r="BP28" i="6"/>
  <c r="BP25" i="6" s="1"/>
  <c r="BJ12" i="6" s="1"/>
  <c r="AD204" i="7"/>
  <c r="AB203" i="7"/>
  <c r="AB194" i="7" s="1"/>
  <c r="AB193" i="7" s="1"/>
  <c r="AG198" i="7"/>
  <c r="AE195" i="7"/>
  <c r="AE194" i="7" s="1"/>
  <c r="AE193" i="7" s="1"/>
  <c r="AD198" i="10"/>
  <c r="AB195" i="10"/>
  <c r="AZ28" i="6"/>
  <c r="AV28" i="6"/>
  <c r="Y196" i="8"/>
  <c r="BO26" i="7"/>
  <c r="AA195" i="7"/>
  <c r="AA194" i="7" s="1"/>
  <c r="AH196" i="7"/>
  <c r="AH195" i="7" s="1"/>
  <c r="AH194" i="7" s="1"/>
  <c r="AH193" i="7" s="1"/>
  <c r="AB191" i="10"/>
  <c r="AI191" i="9"/>
  <c r="AI185" i="9" s="1"/>
  <c r="AD185" i="9"/>
  <c r="AU27" i="7"/>
  <c r="AE183" i="8"/>
  <c r="AJ183" i="7"/>
  <c r="AJ176" i="7" s="1"/>
  <c r="AJ170" i="7" s="1"/>
  <c r="AG176" i="7"/>
  <c r="AG170" i="7" s="1"/>
  <c r="AS27" i="7" s="1"/>
  <c r="AV27" i="7" s="1"/>
  <c r="AB183" i="14"/>
  <c r="AD183" i="14" s="1"/>
  <c r="AI183" i="13"/>
  <c r="BO22" i="6"/>
  <c r="BI11" i="6" s="1"/>
  <c r="AA177" i="7"/>
  <c r="Y176" i="7"/>
  <c r="Y170" i="7" s="1"/>
  <c r="AV27" i="6"/>
  <c r="AB174" i="16"/>
  <c r="AC258" i="5"/>
  <c r="U10" i="12"/>
  <c r="U8" i="12" s="1"/>
  <c r="AE168" i="10"/>
  <c r="AG168" i="10" s="1"/>
  <c r="AJ168" i="9"/>
  <c r="AG258" i="5"/>
  <c r="AS31" i="5" s="1"/>
  <c r="AS32" i="5" s="1"/>
  <c r="AF258" i="5"/>
  <c r="BQ33" i="5" s="1"/>
  <c r="AV26" i="6"/>
  <c r="AA110" i="6"/>
  <c r="AH10" i="5"/>
  <c r="AH8" i="5" s="1"/>
  <c r="AE162" i="8"/>
  <c r="AG157" i="7"/>
  <c r="AG155" i="7" s="1"/>
  <c r="AG145" i="7" s="1"/>
  <c r="AJ162" i="7"/>
  <c r="AJ157" i="7" s="1"/>
  <c r="AJ155" i="7" s="1"/>
  <c r="AJ145" i="7" s="1"/>
  <c r="AE110" i="7"/>
  <c r="AB162" i="11"/>
  <c r="AD157" i="10"/>
  <c r="AD155" i="10" s="1"/>
  <c r="AI162" i="10"/>
  <c r="BO15" i="6"/>
  <c r="BI10" i="6" s="1"/>
  <c r="U10" i="10"/>
  <c r="U8" i="10" s="1"/>
  <c r="AB10" i="6"/>
  <c r="AB8" i="6" s="1"/>
  <c r="U10" i="14"/>
  <c r="U8" i="14" s="1"/>
  <c r="AI10" i="5"/>
  <c r="AI8" i="5" s="1"/>
  <c r="Y160" i="8"/>
  <c r="AA157" i="7"/>
  <c r="AA155" i="7" s="1"/>
  <c r="AH160" i="7"/>
  <c r="AH157" i="7" s="1"/>
  <c r="Y145" i="7"/>
  <c r="Y110" i="7" s="1"/>
  <c r="AY26" i="5"/>
  <c r="BH7" i="5"/>
  <c r="BH16" i="5" s="1"/>
  <c r="BH17" i="5" s="1"/>
  <c r="BN7" i="5"/>
  <c r="BN32" i="5" s="1"/>
  <c r="AJ10" i="5"/>
  <c r="AJ8" i="5" s="1"/>
  <c r="AU26" i="5"/>
  <c r="AV26" i="5"/>
  <c r="U10" i="6"/>
  <c r="U8" i="6" s="1"/>
  <c r="X10" i="5"/>
  <c r="X8" i="5" s="1"/>
  <c r="U1" i="5" s="1"/>
  <c r="AH110" i="6"/>
  <c r="Y156" i="8"/>
  <c r="BO18" i="7"/>
  <c r="AH156" i="7"/>
  <c r="U10" i="15"/>
  <c r="U8" i="15" s="1"/>
  <c r="M119" i="13"/>
  <c r="V177" i="15"/>
  <c r="V176" i="14"/>
  <c r="X177" i="14"/>
  <c r="AJ165" i="13"/>
  <c r="AI165" i="13"/>
  <c r="AH165" i="13"/>
  <c r="V21" i="15"/>
  <c r="X21" i="14"/>
  <c r="D63" i="14"/>
  <c r="F65" i="14"/>
  <c r="D65" i="15"/>
  <c r="D83" i="15"/>
  <c r="D81" i="14"/>
  <c r="F83" i="14"/>
  <c r="AI28" i="15"/>
  <c r="AH28" i="15"/>
  <c r="AJ28" i="15"/>
  <c r="AH133" i="13"/>
  <c r="AI133" i="13"/>
  <c r="AJ133" i="13"/>
  <c r="Y246" i="13"/>
  <c r="AH246" i="12"/>
  <c r="AE53" i="16"/>
  <c r="AG53" i="16" s="1"/>
  <c r="E100" i="15"/>
  <c r="D100" i="16"/>
  <c r="F100" i="15"/>
  <c r="X188" i="16"/>
  <c r="AH60" i="13"/>
  <c r="AH58" i="13" s="1"/>
  <c r="AH57" i="13" s="1"/>
  <c r="X58" i="13"/>
  <c r="X57" i="13" s="1"/>
  <c r="AI60" i="13"/>
  <c r="AJ60" i="13"/>
  <c r="AJ58" i="13" s="1"/>
  <c r="AJ57" i="13" s="1"/>
  <c r="F114" i="16"/>
  <c r="AI148" i="14"/>
  <c r="AJ148" i="14"/>
  <c r="AH148" i="14"/>
  <c r="BN18" i="14"/>
  <c r="AJ39" i="13"/>
  <c r="AH39" i="13"/>
  <c r="V214" i="15"/>
  <c r="X214" i="14"/>
  <c r="L85" i="6"/>
  <c r="L19" i="6" s="1"/>
  <c r="L17" i="6" s="1"/>
  <c r="L8" i="6" s="1"/>
  <c r="BP13" i="6"/>
  <c r="W142" i="15"/>
  <c r="W141" i="14"/>
  <c r="X142" i="14"/>
  <c r="V74" i="15"/>
  <c r="X74" i="14"/>
  <c r="V228" i="15"/>
  <c r="V227" i="14"/>
  <c r="V220" i="14" s="1"/>
  <c r="X228" i="14"/>
  <c r="N65" i="13"/>
  <c r="N63" i="13" s="1"/>
  <c r="F63" i="13"/>
  <c r="D59" i="15"/>
  <c r="D57" i="14"/>
  <c r="F59" i="14"/>
  <c r="N83" i="13"/>
  <c r="N81" i="13" s="1"/>
  <c r="F81" i="13"/>
  <c r="V46" i="16"/>
  <c r="D80" i="16"/>
  <c r="F80" i="15"/>
  <c r="D51" i="14"/>
  <c r="D53" i="15"/>
  <c r="F53" i="14"/>
  <c r="D92" i="15"/>
  <c r="F92" i="14"/>
  <c r="AA199" i="13"/>
  <c r="V127" i="15"/>
  <c r="V123" i="14"/>
  <c r="X127" i="14"/>
  <c r="AI237" i="13"/>
  <c r="AH237" i="13"/>
  <c r="M71" i="13"/>
  <c r="N71" i="13"/>
  <c r="D119" i="15"/>
  <c r="F119" i="14"/>
  <c r="D75" i="14"/>
  <c r="F77" i="14"/>
  <c r="D77" i="15"/>
  <c r="AI177" i="13"/>
  <c r="BN23" i="13"/>
  <c r="AJ177" i="13"/>
  <c r="D97" i="15"/>
  <c r="F97" i="14"/>
  <c r="AH21" i="13"/>
  <c r="AI21" i="13"/>
  <c r="AJ21" i="13"/>
  <c r="V51" i="15"/>
  <c r="V49" i="14"/>
  <c r="W20" i="16"/>
  <c r="W16" i="16" s="1"/>
  <c r="X28" i="16"/>
  <c r="M53" i="13"/>
  <c r="F51" i="13"/>
  <c r="X133" i="14"/>
  <c r="W133" i="15"/>
  <c r="W123" i="14"/>
  <c r="AH188" i="15"/>
  <c r="AI188" i="15"/>
  <c r="V60" i="15"/>
  <c r="V58" i="14"/>
  <c r="V57" i="14" s="1"/>
  <c r="X60" i="14"/>
  <c r="M114" i="15"/>
  <c r="N114" i="15"/>
  <c r="W148" i="16"/>
  <c r="W147" i="15"/>
  <c r="X148" i="15"/>
  <c r="D104" i="16"/>
  <c r="F104" i="16" s="1"/>
  <c r="F104" i="15"/>
  <c r="V39" i="15"/>
  <c r="X39" i="14"/>
  <c r="AH214" i="13"/>
  <c r="AI214" i="13"/>
  <c r="F100" i="14"/>
  <c r="M77" i="13"/>
  <c r="N77" i="13"/>
  <c r="X141" i="13"/>
  <c r="BN20" i="13" s="1"/>
  <c r="AH142" i="13"/>
  <c r="AJ142" i="13"/>
  <c r="AB142" i="13"/>
  <c r="AD141" i="12"/>
  <c r="BP20" i="12" s="1"/>
  <c r="AI142" i="12"/>
  <c r="AI141" i="12" s="1"/>
  <c r="AI74" i="13"/>
  <c r="AH74" i="13"/>
  <c r="M97" i="13"/>
  <c r="N97" i="13"/>
  <c r="W165" i="15"/>
  <c r="X165" i="14"/>
  <c r="AH228" i="13"/>
  <c r="N59" i="13"/>
  <c r="N80" i="14"/>
  <c r="M80" i="14"/>
  <c r="M92" i="13"/>
  <c r="N92" i="13"/>
  <c r="AH127" i="13"/>
  <c r="AJ127" i="13"/>
  <c r="X123" i="13"/>
  <c r="N104" i="14"/>
  <c r="M104" i="14"/>
  <c r="V237" i="15"/>
  <c r="X237" i="14"/>
  <c r="D71" i="15"/>
  <c r="F71" i="14"/>
  <c r="BP16" i="6"/>
  <c r="AD145" i="6"/>
  <c r="AD110" i="6" s="1"/>
  <c r="AR26" i="6" s="1"/>
  <c r="AD152" i="7"/>
  <c r="AB149" i="7"/>
  <c r="AB147" i="7" s="1"/>
  <c r="AB145" i="7" s="1"/>
  <c r="BP15" i="6"/>
  <c r="BJ10" i="6" s="1"/>
  <c r="X10" i="6"/>
  <c r="X8" i="6" s="1"/>
  <c r="Y151" i="8"/>
  <c r="AA149" i="7"/>
  <c r="AA147" i="7" s="1"/>
  <c r="AH151" i="7"/>
  <c r="AH149" i="7" s="1"/>
  <c r="AH147" i="7" s="1"/>
  <c r="U10" i="13"/>
  <c r="U258" i="13" s="1"/>
  <c r="U10" i="11"/>
  <c r="U8" i="11" s="1"/>
  <c r="AB134" i="11"/>
  <c r="AD134" i="11" s="1"/>
  <c r="AI134" i="10"/>
  <c r="Y134" i="11"/>
  <c r="AA134" i="11" s="1"/>
  <c r="AH134" i="10"/>
  <c r="AE126" i="10"/>
  <c r="AG126" i="10" s="1"/>
  <c r="AJ126" i="9"/>
  <c r="AB126" i="10"/>
  <c r="AD126" i="10" s="1"/>
  <c r="BP19" i="9"/>
  <c r="AI126" i="9"/>
  <c r="Y126" i="8"/>
  <c r="BO19" i="7"/>
  <c r="AA123" i="7"/>
  <c r="AH126" i="7"/>
  <c r="AH123" i="7" s="1"/>
  <c r="AH112" i="7" s="1"/>
  <c r="AZ26" i="6"/>
  <c r="AE124" i="11"/>
  <c r="AG124" i="11" s="1"/>
  <c r="AJ124" i="10"/>
  <c r="AB124" i="8"/>
  <c r="AD123" i="7"/>
  <c r="AI124" i="7"/>
  <c r="AI123" i="7" s="1"/>
  <c r="X10" i="7"/>
  <c r="X8" i="7" s="1"/>
  <c r="Y116" i="10"/>
  <c r="AA114" i="9"/>
  <c r="AH116" i="9"/>
  <c r="AH114" i="9" s="1"/>
  <c r="U8" i="8"/>
  <c r="U10" i="7"/>
  <c r="U8" i="7" s="1"/>
  <c r="AD106" i="7"/>
  <c r="AB105" i="7"/>
  <c r="AB104" i="7" s="1"/>
  <c r="AC1" i="5"/>
  <c r="AD258" i="5"/>
  <c r="BP33" i="5" s="1"/>
  <c r="AR25" i="6"/>
  <c r="AW25" i="6" s="1"/>
  <c r="AY25" i="6" s="1"/>
  <c r="AZ25" i="5"/>
  <c r="AB100" i="12"/>
  <c r="AD100" i="12" s="1"/>
  <c r="Y1" i="5"/>
  <c r="AY25" i="5"/>
  <c r="U258" i="9"/>
  <c r="AB98" i="12"/>
  <c r="AD98" i="12" s="1"/>
  <c r="AI98" i="11"/>
  <c r="AI63" i="6"/>
  <c r="AI12" i="6" s="1"/>
  <c r="AD97" i="7"/>
  <c r="AB96" i="7"/>
  <c r="AB90" i="7" s="1"/>
  <c r="X12" i="8"/>
  <c r="AG63" i="6"/>
  <c r="AA258" i="5"/>
  <c r="BO33" i="5" s="1"/>
  <c r="AG92" i="7"/>
  <c r="AE91" i="7"/>
  <c r="AE90" i="7" s="1"/>
  <c r="AE63" i="7" s="1"/>
  <c r="AB86" i="13"/>
  <c r="AD86" i="13" s="1"/>
  <c r="AI86" i="12"/>
  <c r="AD84" i="7"/>
  <c r="AB83" i="7"/>
  <c r="BP14" i="6"/>
  <c r="BJ9" i="6" s="1"/>
  <c r="AR24" i="6"/>
  <c r="AE81" i="11"/>
  <c r="AG81" i="11" s="1"/>
  <c r="AJ81" i="10"/>
  <c r="Y81" i="12"/>
  <c r="AA81" i="12" s="1"/>
  <c r="AH81" i="11"/>
  <c r="BL8" i="7"/>
  <c r="BL8" i="10" s="1"/>
  <c r="BL8" i="13" s="1"/>
  <c r="BL8" i="16" s="1"/>
  <c r="AD79" i="7"/>
  <c r="AB69" i="7"/>
  <c r="AB65" i="7" s="1"/>
  <c r="AD63" i="6"/>
  <c r="AD12" i="6" s="1"/>
  <c r="AR23" i="6"/>
  <c r="BP12" i="6"/>
  <c r="BP9" i="6" s="1"/>
  <c r="AE77" i="8"/>
  <c r="AG69" i="7"/>
  <c r="AG65" i="7" s="1"/>
  <c r="AJ77" i="7"/>
  <c r="AJ69" i="7" s="1"/>
  <c r="AJ65" i="7" s="1"/>
  <c r="Y77" i="16"/>
  <c r="AA77" i="16" s="1"/>
  <c r="AH77" i="16" s="1"/>
  <c r="AH77" i="15"/>
  <c r="Y70" i="8"/>
  <c r="AA69" i="7"/>
  <c r="AA65" i="7" s="1"/>
  <c r="AH70" i="7"/>
  <c r="AH69" i="7" s="1"/>
  <c r="AH65" i="7" s="1"/>
  <c r="AH63" i="7" s="1"/>
  <c r="BI8" i="6"/>
  <c r="AE67" i="9"/>
  <c r="AJ67" i="8"/>
  <c r="AB67" i="10"/>
  <c r="AD67" i="10" s="1"/>
  <c r="BP11" i="9"/>
  <c r="AI67" i="9"/>
  <c r="AD66" i="8"/>
  <c r="AR22" i="8" s="1"/>
  <c r="U8" i="16"/>
  <c r="AB59" i="8"/>
  <c r="AI59" i="7"/>
  <c r="AI58" i="7" s="1"/>
  <c r="AI57" i="7" s="1"/>
  <c r="AD58" i="7"/>
  <c r="AD57" i="7" s="1"/>
  <c r="Y55" i="10"/>
  <c r="AA55" i="10" s="1"/>
  <c r="AH55" i="9"/>
  <c r="AB50" i="8"/>
  <c r="AD49" i="7"/>
  <c r="AD43" i="7" s="1"/>
  <c r="AI50" i="7"/>
  <c r="AI49" i="7" s="1"/>
  <c r="AI43" i="7" s="1"/>
  <c r="Y50" i="8"/>
  <c r="AA49" i="7"/>
  <c r="AH50" i="7"/>
  <c r="AH49" i="7" s="1"/>
  <c r="Y43" i="7"/>
  <c r="AJ14" i="6"/>
  <c r="BN8" i="6"/>
  <c r="BN7" i="6" s="1"/>
  <c r="BN32" i="6" s="1"/>
  <c r="BH8" i="8"/>
  <c r="AE45" i="8"/>
  <c r="AG44" i="7"/>
  <c r="AJ45" i="7"/>
  <c r="AJ44" i="7" s="1"/>
  <c r="Y45" i="8"/>
  <c r="AA44" i="7"/>
  <c r="AH45" i="7"/>
  <c r="AH44" i="7" s="1"/>
  <c r="AA41" i="7"/>
  <c r="Y35" i="7"/>
  <c r="BO14" i="6"/>
  <c r="AA14" i="6"/>
  <c r="AA12" i="6" s="1"/>
  <c r="BH7" i="6"/>
  <c r="BH16" i="6" s="1"/>
  <c r="AE38" i="8"/>
  <c r="AG35" i="7"/>
  <c r="AS24" i="7" s="1"/>
  <c r="AJ38" i="7"/>
  <c r="AJ35" i="7" s="1"/>
  <c r="AB33" i="10"/>
  <c r="AD33" i="10" s="1"/>
  <c r="BP31" i="9"/>
  <c r="BJ15" i="9" s="1"/>
  <c r="AI33" i="9"/>
  <c r="AS23" i="6"/>
  <c r="AG14" i="6"/>
  <c r="AG23" i="7"/>
  <c r="AE20" i="7"/>
  <c r="AE16" i="7" s="1"/>
  <c r="BN8" i="8"/>
  <c r="AZ22" i="7"/>
  <c r="AE17" i="9"/>
  <c r="AS22" i="8"/>
  <c r="AJ17" i="8"/>
  <c r="AB17" i="9"/>
  <c r="AD16" i="8"/>
  <c r="AI17" i="8"/>
  <c r="AI16" i="8" s="1"/>
  <c r="Y17" i="9"/>
  <c r="BO10" i="8"/>
  <c r="AA16" i="8"/>
  <c r="AH17" i="8"/>
  <c r="AH16" i="8" s="1"/>
  <c r="J113" i="15"/>
  <c r="L113" i="15" s="1"/>
  <c r="N113" i="14"/>
  <c r="I113" i="7"/>
  <c r="G108" i="7"/>
  <c r="J116" i="9"/>
  <c r="L108" i="8"/>
  <c r="AS15" i="8" s="1"/>
  <c r="N116" i="8"/>
  <c r="L96" i="7"/>
  <c r="J93" i="7"/>
  <c r="J85" i="7" s="1"/>
  <c r="J19" i="7" s="1"/>
  <c r="J17" i="7" s="1"/>
  <c r="G8" i="6"/>
  <c r="G121" i="6" s="1"/>
  <c r="G125" i="6" s="1"/>
  <c r="M8" i="5"/>
  <c r="M121" i="5" s="1"/>
  <c r="M125" i="5" s="1"/>
  <c r="L86" i="7"/>
  <c r="L79" i="8"/>
  <c r="J78" i="8"/>
  <c r="L78" i="8" s="1"/>
  <c r="N78" i="8" s="1"/>
  <c r="I79" i="8"/>
  <c r="G78" i="8"/>
  <c r="I78" i="8" s="1"/>
  <c r="M78" i="8" s="1"/>
  <c r="G76" i="8"/>
  <c r="M76" i="7"/>
  <c r="M75" i="7" s="1"/>
  <c r="I75" i="7"/>
  <c r="AR9" i="7" s="1"/>
  <c r="AU9" i="7" s="1"/>
  <c r="L74" i="16"/>
  <c r="J72" i="16"/>
  <c r="I74" i="7"/>
  <c r="G72" i="7"/>
  <c r="G70" i="8"/>
  <c r="I69" i="7"/>
  <c r="M70" i="7"/>
  <c r="M69" i="7" s="1"/>
  <c r="I65" i="7"/>
  <c r="G63" i="7"/>
  <c r="G123" i="7"/>
  <c r="J62" i="8"/>
  <c r="L60" i="7"/>
  <c r="L21" i="7" s="1"/>
  <c r="N62" i="7"/>
  <c r="L123" i="7"/>
  <c r="G61" i="8"/>
  <c r="I60" i="7"/>
  <c r="M61" i="7"/>
  <c r="M60" i="7" s="1"/>
  <c r="BD17" i="7"/>
  <c r="L25" i="16"/>
  <c r="AS8" i="16" s="1"/>
  <c r="AX8" i="16"/>
  <c r="F17" i="6"/>
  <c r="I23" i="7"/>
  <c r="G22" i="7"/>
  <c r="AR7" i="6"/>
  <c r="AU7" i="6" s="1"/>
  <c r="I21" i="6"/>
  <c r="I19" i="6" s="1"/>
  <c r="AJ50" i="16"/>
  <c r="M31" i="16"/>
  <c r="N31" i="16"/>
  <c r="N29" i="16" s="1"/>
  <c r="F29" i="16"/>
  <c r="Y87" i="16"/>
  <c r="AA83" i="15"/>
  <c r="Y39" i="16"/>
  <c r="AH98" i="16"/>
  <c r="AD178" i="9"/>
  <c r="AB176" i="9"/>
  <c r="AB170" i="9" s="1"/>
  <c r="AH125" i="16"/>
  <c r="M36" i="16"/>
  <c r="AD212" i="16"/>
  <c r="AI212" i="16" s="1"/>
  <c r="I34" i="16"/>
  <c r="G32" i="16"/>
  <c r="AE129" i="8"/>
  <c r="AJ129" i="7"/>
  <c r="AJ123" i="7" s="1"/>
  <c r="AJ112" i="7" s="1"/>
  <c r="AG123" i="7"/>
  <c r="AG112" i="7" s="1"/>
  <c r="J59" i="16"/>
  <c r="L57" i="15"/>
  <c r="AG22" i="14"/>
  <c r="I47" i="12"/>
  <c r="G45" i="12"/>
  <c r="AD151" i="16"/>
  <c r="X244" i="16"/>
  <c r="AS7" i="15"/>
  <c r="AV7" i="15" s="1"/>
  <c r="AA91" i="15"/>
  <c r="Y93" i="16"/>
  <c r="AH93" i="15"/>
  <c r="AR27" i="8"/>
  <c r="BP24" i="8"/>
  <c r="BP22" i="8" s="1"/>
  <c r="BJ11" i="8" s="1"/>
  <c r="AD76" i="16"/>
  <c r="J76" i="16"/>
  <c r="L75" i="15"/>
  <c r="AE132" i="12"/>
  <c r="AG132" i="12" s="1"/>
  <c r="AJ132" i="11"/>
  <c r="I117" i="16"/>
  <c r="BD21" i="16" s="1"/>
  <c r="D24" i="20" s="1"/>
  <c r="AB46" i="16"/>
  <c r="AD44" i="15"/>
  <c r="D13" i="15"/>
  <c r="F13" i="14"/>
  <c r="AA23" i="12"/>
  <c r="Y20" i="12"/>
  <c r="AA72" i="16"/>
  <c r="AH174" i="15"/>
  <c r="AI174" i="15"/>
  <c r="B8" i="11"/>
  <c r="D123" i="10"/>
  <c r="C123" i="10"/>
  <c r="C121" i="10" s="1"/>
  <c r="C125" i="10" s="1"/>
  <c r="K123" i="10"/>
  <c r="BC22" i="10"/>
  <c r="F123" i="10"/>
  <c r="BE22" i="10"/>
  <c r="BF22" i="10" s="1"/>
  <c r="E123" i="10"/>
  <c r="P123" i="10"/>
  <c r="Q123" i="10"/>
  <c r="Q121" i="10" s="1"/>
  <c r="Q125" i="10" s="1"/>
  <c r="H123" i="10"/>
  <c r="AG142" i="16"/>
  <c r="AB135" i="15"/>
  <c r="AD135" i="15" s="1"/>
  <c r="AI135" i="14"/>
  <c r="AE54" i="14"/>
  <c r="AJ54" i="13"/>
  <c r="M13" i="13"/>
  <c r="I25" i="20"/>
  <c r="I26" i="20" s="1"/>
  <c r="BE23" i="8"/>
  <c r="AE160" i="13"/>
  <c r="L55" i="13"/>
  <c r="J54" i="13"/>
  <c r="AE134" i="11"/>
  <c r="AG134" i="11" s="1"/>
  <c r="AJ134" i="10"/>
  <c r="I51" i="14"/>
  <c r="M52" i="14"/>
  <c r="G52" i="15"/>
  <c r="AG46" i="13"/>
  <c r="G111" i="12"/>
  <c r="M111" i="11"/>
  <c r="AY27" i="6"/>
  <c r="AJ187" i="8"/>
  <c r="AU27" i="6"/>
  <c r="AE174" i="13"/>
  <c r="AG172" i="12"/>
  <c r="AJ174" i="12"/>
  <c r="AJ172" i="12" s="1"/>
  <c r="AZ7" i="9"/>
  <c r="AV7" i="9"/>
  <c r="BN26" i="16"/>
  <c r="C50" i="20" s="1"/>
  <c r="AG74" i="13"/>
  <c r="AE84" i="14"/>
  <c r="AJ84" i="13"/>
  <c r="AD127" i="9"/>
  <c r="AI38" i="16"/>
  <c r="AB92" i="9"/>
  <c r="AD91" i="8"/>
  <c r="AI92" i="8"/>
  <c r="AI91" i="8" s="1"/>
  <c r="I46" i="16"/>
  <c r="N111" i="16"/>
  <c r="J95" i="13"/>
  <c r="N95" i="12"/>
  <c r="W172" i="16"/>
  <c r="X174" i="16"/>
  <c r="M24" i="16"/>
  <c r="F22" i="16"/>
  <c r="N24" i="16"/>
  <c r="J71" i="16"/>
  <c r="J25" i="20"/>
  <c r="J26" i="20" s="1"/>
  <c r="J57" i="20" s="1"/>
  <c r="K8" i="20" s="1"/>
  <c r="BE23" i="9"/>
  <c r="AB116" i="9"/>
  <c r="AI116" i="8"/>
  <c r="AH244" i="15"/>
  <c r="AI244" i="15"/>
  <c r="L23" i="16"/>
  <c r="J22" i="16"/>
  <c r="AD229" i="15"/>
  <c r="AG101" i="15"/>
  <c r="AB168" i="14"/>
  <c r="AI168" i="13"/>
  <c r="AD251" i="16"/>
  <c r="AB243" i="16"/>
  <c r="AA158" i="16"/>
  <c r="L105" i="8"/>
  <c r="J99" i="8"/>
  <c r="AV30" i="6"/>
  <c r="AJ227" i="8"/>
  <c r="AU30" i="6"/>
  <c r="AX16" i="6"/>
  <c r="G12" i="8"/>
  <c r="I10" i="7"/>
  <c r="M12" i="7"/>
  <c r="M10" i="7" s="1"/>
  <c r="L121" i="5"/>
  <c r="L125" i="5" s="1"/>
  <c r="K1" i="5"/>
  <c r="J5" i="5"/>
  <c r="AE199" i="11"/>
  <c r="AG199" i="11" s="1"/>
  <c r="AJ199" i="10"/>
  <c r="AG236" i="9"/>
  <c r="AU17" i="5"/>
  <c r="AV17" i="5"/>
  <c r="AG21" i="16"/>
  <c r="AE247" i="14"/>
  <c r="AG247" i="14" s="1"/>
  <c r="AJ247" i="13"/>
  <c r="AJ250" i="10"/>
  <c r="AE250" i="11"/>
  <c r="AG250" i="11" s="1"/>
  <c r="L90" i="8"/>
  <c r="AG159" i="16"/>
  <c r="AU14" i="5"/>
  <c r="AV14" i="5"/>
  <c r="AZ14" i="5"/>
  <c r="AZ17" i="5" s="1"/>
  <c r="AY14" i="5"/>
  <c r="AY17" i="5" s="1"/>
  <c r="I86" i="8"/>
  <c r="AE225" i="11"/>
  <c r="AG225" i="11" s="1"/>
  <c r="AJ225" i="10"/>
  <c r="AG223" i="9"/>
  <c r="AE200" i="11"/>
  <c r="AG200" i="11" s="1"/>
  <c r="AJ200" i="10"/>
  <c r="AE239" i="11"/>
  <c r="AG239" i="11" s="1"/>
  <c r="AJ239" i="10"/>
  <c r="BH8" i="7"/>
  <c r="BK7" i="8"/>
  <c r="BK16" i="8" s="1"/>
  <c r="AE181" i="9"/>
  <c r="AJ181" i="8"/>
  <c r="AE229" i="10"/>
  <c r="AG229" i="10" s="1"/>
  <c r="AJ229" i="9"/>
  <c r="I101" i="9"/>
  <c r="G99" i="9"/>
  <c r="AE191" i="11"/>
  <c r="AG191" i="11" s="1"/>
  <c r="AJ191" i="10"/>
  <c r="AG115" i="16"/>
  <c r="AG228" i="9"/>
  <c r="AE227" i="9"/>
  <c r="AE237" i="10"/>
  <c r="AG237" i="10" s="1"/>
  <c r="AJ237" i="9"/>
  <c r="AJ253" i="10"/>
  <c r="AE253" i="11"/>
  <c r="AG253" i="11" s="1"/>
  <c r="AG151" i="16"/>
  <c r="AE196" i="9"/>
  <c r="AJ196" i="8"/>
  <c r="AZ14" i="6"/>
  <c r="AY14" i="6"/>
  <c r="I30" i="8"/>
  <c r="G29" i="8"/>
  <c r="G28" i="8" s="1"/>
  <c r="AJ249" i="13"/>
  <c r="AE249" i="14"/>
  <c r="AG249" i="14" s="1"/>
  <c r="AJ246" i="10"/>
  <c r="AE246" i="11"/>
  <c r="AG246" i="11" s="1"/>
  <c r="AE182" i="11"/>
  <c r="AG182" i="11" s="1"/>
  <c r="AJ182" i="10"/>
  <c r="AE186" i="9"/>
  <c r="AG185" i="8"/>
  <c r="AJ186" i="8"/>
  <c r="F8" i="5"/>
  <c r="AE190" i="11"/>
  <c r="AG190" i="11" s="1"/>
  <c r="AJ190" i="10"/>
  <c r="AE255" i="11"/>
  <c r="AG255" i="11" s="1"/>
  <c r="AJ255" i="10"/>
  <c r="BE23" i="5"/>
  <c r="BF8" i="7"/>
  <c r="BF8" i="10" s="1"/>
  <c r="BF8" i="13" s="1"/>
  <c r="BF8" i="16" s="1"/>
  <c r="AG133" i="16"/>
  <c r="BK7" i="11"/>
  <c r="BR7" i="16"/>
  <c r="AE244" i="9"/>
  <c r="AJ244" i="8"/>
  <c r="AE189" i="10"/>
  <c r="AG189" i="10" s="1"/>
  <c r="AJ189" i="9"/>
  <c r="AG71" i="16"/>
  <c r="AE197" i="11"/>
  <c r="AG197" i="11" s="1"/>
  <c r="AJ197" i="10"/>
  <c r="AE201" i="11"/>
  <c r="AG201" i="11" s="1"/>
  <c r="AJ201" i="10"/>
  <c r="AE204" i="9"/>
  <c r="AG203" i="8"/>
  <c r="AJ204" i="8"/>
  <c r="AJ203" i="8" s="1"/>
  <c r="BK16" i="10"/>
  <c r="AG51" i="16"/>
  <c r="AE212" i="9"/>
  <c r="AJ212" i="8"/>
  <c r="BL7" i="7"/>
  <c r="BK16" i="6"/>
  <c r="BL16" i="7" s="1"/>
  <c r="G90" i="10"/>
  <c r="I90" i="10" s="1"/>
  <c r="M90" i="9"/>
  <c r="AW13" i="9"/>
  <c r="AY13" i="9" s="1"/>
  <c r="AR13" i="9"/>
  <c r="AJ205" i="11"/>
  <c r="AE205" i="12"/>
  <c r="AG205" i="12" s="1"/>
  <c r="AE256" i="11"/>
  <c r="AG256" i="11" s="1"/>
  <c r="AJ256" i="10"/>
  <c r="AE214" i="11"/>
  <c r="AG214" i="11" s="1"/>
  <c r="AJ214" i="10"/>
  <c r="AG93" i="16"/>
  <c r="AE240" i="11"/>
  <c r="AG240" i="11" s="1"/>
  <c r="AJ240" i="10"/>
  <c r="BK7" i="16"/>
  <c r="L100" i="13"/>
  <c r="AE60" i="16"/>
  <c r="AG58" i="15"/>
  <c r="AG57" i="15" s="1"/>
  <c r="AE202" i="11"/>
  <c r="AG202" i="11" s="1"/>
  <c r="AJ202" i="10"/>
  <c r="AE215" i="11"/>
  <c r="AG215" i="11" s="1"/>
  <c r="AJ215" i="10"/>
  <c r="AE252" i="11"/>
  <c r="AG252" i="11" s="1"/>
  <c r="AJ252" i="10"/>
  <c r="AE248" i="11"/>
  <c r="AG248" i="11" s="1"/>
  <c r="AJ248" i="10"/>
  <c r="AE217" i="11"/>
  <c r="AG217" i="11" s="1"/>
  <c r="AJ217" i="10"/>
  <c r="AE230" i="14"/>
  <c r="AG230" i="14" s="1"/>
  <c r="AJ230" i="13"/>
  <c r="G105" i="11"/>
  <c r="I105" i="11" s="1"/>
  <c r="I100" i="13"/>
  <c r="AG180" i="12"/>
  <c r="AE218" i="14"/>
  <c r="AG218" i="14" s="1"/>
  <c r="AJ218" i="13"/>
  <c r="AE216" i="11"/>
  <c r="AG216" i="11" s="1"/>
  <c r="AJ216" i="10"/>
  <c r="AA53" i="15"/>
  <c r="AG40" i="16"/>
  <c r="BN8" i="7"/>
  <c r="BN7" i="7" s="1"/>
  <c r="BN32" i="7" s="1"/>
  <c r="AQ17" i="6"/>
  <c r="AE238" i="11"/>
  <c r="AG238" i="11" s="1"/>
  <c r="AJ238" i="10"/>
  <c r="AG188" i="9"/>
  <c r="AE187" i="9"/>
  <c r="B116" i="15"/>
  <c r="AG107" i="16"/>
  <c r="AE251" i="11"/>
  <c r="AG251" i="11" s="1"/>
  <c r="AJ251" i="10"/>
  <c r="G102" i="11"/>
  <c r="I102" i="11" s="1"/>
  <c r="M102" i="10"/>
  <c r="AJ254" i="10"/>
  <c r="AE254" i="11"/>
  <c r="AG254" i="11" s="1"/>
  <c r="J13" i="11" l="1"/>
  <c r="L13" i="11" s="1"/>
  <c r="N13" i="10"/>
  <c r="J12" i="10"/>
  <c r="L12" i="10" s="1"/>
  <c r="N12" i="9"/>
  <c r="G82" i="12"/>
  <c r="I82" i="12" s="1"/>
  <c r="M82" i="11"/>
  <c r="W110" i="10"/>
  <c r="E21" i="10"/>
  <c r="E19" i="10" s="1"/>
  <c r="AH189" i="13"/>
  <c r="AI189" i="13"/>
  <c r="AI187" i="13" s="1"/>
  <c r="X187" i="13"/>
  <c r="X185" i="13" s="1"/>
  <c r="F45" i="10"/>
  <c r="N46" i="10"/>
  <c r="N45" i="10" s="1"/>
  <c r="M46" i="10"/>
  <c r="M45" i="10" s="1"/>
  <c r="BC15" i="10"/>
  <c r="I37" i="12"/>
  <c r="G35" i="12"/>
  <c r="AH245" i="10"/>
  <c r="AI245" i="10"/>
  <c r="AJ115" i="10"/>
  <c r="AH115" i="10"/>
  <c r="AI115" i="10"/>
  <c r="X114" i="10"/>
  <c r="X112" i="10" s="1"/>
  <c r="V239" i="14"/>
  <c r="X239" i="13"/>
  <c r="V235" i="13"/>
  <c r="E93" i="14"/>
  <c r="E85" i="14" s="1"/>
  <c r="E96" i="15"/>
  <c r="F96" i="14"/>
  <c r="M96" i="14" s="1"/>
  <c r="M14" i="12"/>
  <c r="F10" i="12"/>
  <c r="D26" i="12"/>
  <c r="D25" i="11"/>
  <c r="F26" i="11"/>
  <c r="G83" i="10"/>
  <c r="I81" i="9"/>
  <c r="M83" i="9"/>
  <c r="M81" i="9" s="1"/>
  <c r="AI46" i="13"/>
  <c r="AH46" i="13"/>
  <c r="AH94" i="10"/>
  <c r="AH91" i="10" s="1"/>
  <c r="AI94" i="10"/>
  <c r="AJ94" i="10"/>
  <c r="X91" i="10"/>
  <c r="V197" i="14"/>
  <c r="V195" i="13"/>
  <c r="V194" i="13" s="1"/>
  <c r="V193" i="13" s="1"/>
  <c r="X197" i="13"/>
  <c r="E27" i="15"/>
  <c r="E25" i="14"/>
  <c r="F27" i="14"/>
  <c r="BC10" i="9"/>
  <c r="E52" i="16"/>
  <c r="E51" i="15"/>
  <c r="F52" i="15"/>
  <c r="N52" i="15" s="1"/>
  <c r="L67" i="11"/>
  <c r="J66" i="11"/>
  <c r="W197" i="14"/>
  <c r="W195" i="13"/>
  <c r="W194" i="13" s="1"/>
  <c r="W193" i="13" s="1"/>
  <c r="N76" i="10"/>
  <c r="N75" i="10" s="1"/>
  <c r="F75" i="10"/>
  <c r="AQ9" i="10" s="1"/>
  <c r="E46" i="12"/>
  <c r="E45" i="11"/>
  <c r="F46" i="11"/>
  <c r="W115" i="12"/>
  <c r="W114" i="11"/>
  <c r="W112" i="11" s="1"/>
  <c r="X115" i="11"/>
  <c r="V189" i="16"/>
  <c r="V187" i="15"/>
  <c r="V185" i="15" s="1"/>
  <c r="X193" i="11"/>
  <c r="AQ28" i="11" s="1"/>
  <c r="BN28" i="11"/>
  <c r="AB228" i="12"/>
  <c r="AD227" i="11"/>
  <c r="AD220" i="11" s="1"/>
  <c r="AI228" i="11"/>
  <c r="AI227" i="11" s="1"/>
  <c r="AI220" i="11" s="1"/>
  <c r="AB236" i="10"/>
  <c r="AD235" i="9"/>
  <c r="AD234" i="9" s="1"/>
  <c r="AD232" i="9" s="1"/>
  <c r="AI236" i="9"/>
  <c r="AI235" i="9" s="1"/>
  <c r="AI234" i="9" s="1"/>
  <c r="AI232" i="9" s="1"/>
  <c r="BC11" i="10"/>
  <c r="F25" i="10"/>
  <c r="AQ8" i="10" s="1"/>
  <c r="M26" i="10"/>
  <c r="M25" i="10" s="1"/>
  <c r="N26" i="10"/>
  <c r="N25" i="10" s="1"/>
  <c r="L46" i="11"/>
  <c r="J45" i="11"/>
  <c r="W46" i="15"/>
  <c r="W44" i="14"/>
  <c r="X46" i="14"/>
  <c r="V160" i="12"/>
  <c r="X160" i="11"/>
  <c r="V157" i="11"/>
  <c r="V155" i="11" s="1"/>
  <c r="X94" i="11"/>
  <c r="V94" i="12"/>
  <c r="V91" i="11"/>
  <c r="V90" i="11" s="1"/>
  <c r="AI197" i="12"/>
  <c r="AH197" i="12"/>
  <c r="X195" i="12"/>
  <c r="X194" i="12" s="1"/>
  <c r="J50" i="12"/>
  <c r="L48" i="11"/>
  <c r="N50" i="11"/>
  <c r="N48" i="11" s="1"/>
  <c r="Y236" i="12"/>
  <c r="AA235" i="11"/>
  <c r="AH236" i="11"/>
  <c r="AH235" i="11" s="1"/>
  <c r="M27" i="13"/>
  <c r="N27" i="13"/>
  <c r="X227" i="13"/>
  <c r="X220" i="13" s="1"/>
  <c r="AH141" i="13"/>
  <c r="E17" i="10"/>
  <c r="V63" i="10"/>
  <c r="AI157" i="9"/>
  <c r="AI155" i="9" s="1"/>
  <c r="W51" i="12"/>
  <c r="W49" i="11"/>
  <c r="W43" i="11" s="1"/>
  <c r="W14" i="11" s="1"/>
  <c r="X51" i="11"/>
  <c r="D70" i="12"/>
  <c r="F70" i="11"/>
  <c r="F69" i="11" s="1"/>
  <c r="D69" i="11"/>
  <c r="N82" i="14"/>
  <c r="AJ159" i="10"/>
  <c r="AH159" i="10"/>
  <c r="AI159" i="10"/>
  <c r="X157" i="10"/>
  <c r="X155" i="10" s="1"/>
  <c r="BN17" i="10" s="1"/>
  <c r="AI239" i="12"/>
  <c r="AH239" i="12"/>
  <c r="X235" i="12"/>
  <c r="M33" i="12"/>
  <c r="M32" i="12" s="1"/>
  <c r="F32" i="12"/>
  <c r="F28" i="12" s="1"/>
  <c r="N33" i="12"/>
  <c r="N32" i="12" s="1"/>
  <c r="BC13" i="12"/>
  <c r="E70" i="16"/>
  <c r="E69" i="16" s="1"/>
  <c r="E69" i="15"/>
  <c r="N58" i="13"/>
  <c r="M58" i="13"/>
  <c r="AD223" i="14"/>
  <c r="AB222" i="14"/>
  <c r="AH51" i="10"/>
  <c r="AI51" i="10"/>
  <c r="X49" i="10"/>
  <c r="AJ51" i="10"/>
  <c r="AV8" i="9"/>
  <c r="AY8" i="9"/>
  <c r="AU8" i="9"/>
  <c r="AZ8" i="9"/>
  <c r="V245" i="12"/>
  <c r="X245" i="11"/>
  <c r="V243" i="11"/>
  <c r="V234" i="11" s="1"/>
  <c r="V232" i="11" s="1"/>
  <c r="AH189" i="14"/>
  <c r="AI189" i="14"/>
  <c r="AI187" i="14" s="1"/>
  <c r="X187" i="14"/>
  <c r="X185" i="14" s="1"/>
  <c r="E82" i="16"/>
  <c r="E81" i="15"/>
  <c r="F82" i="15"/>
  <c r="W159" i="12"/>
  <c r="W157" i="11"/>
  <c r="W155" i="11" s="1"/>
  <c r="W145" i="11" s="1"/>
  <c r="W110" i="11" s="1"/>
  <c r="X159" i="11"/>
  <c r="L119" i="9"/>
  <c r="J117" i="9"/>
  <c r="D14" i="14"/>
  <c r="F14" i="13"/>
  <c r="D10" i="13"/>
  <c r="D33" i="14"/>
  <c r="D32" i="13"/>
  <c r="D28" i="13" s="1"/>
  <c r="F33" i="13"/>
  <c r="AJ160" i="10"/>
  <c r="AI160" i="10"/>
  <c r="E58" i="15"/>
  <c r="E57" i="14"/>
  <c r="F58" i="14"/>
  <c r="W189" i="15"/>
  <c r="X189" i="15" s="1"/>
  <c r="W187" i="14"/>
  <c r="W185" i="14" s="1"/>
  <c r="E76" i="12"/>
  <c r="E75" i="11"/>
  <c r="F76" i="11"/>
  <c r="W239" i="14"/>
  <c r="W235" i="13"/>
  <c r="W230" i="15"/>
  <c r="W227" i="14"/>
  <c r="W220" i="14" s="1"/>
  <c r="X230" i="14"/>
  <c r="AI230" i="14" s="1"/>
  <c r="BC7" i="11"/>
  <c r="AQ16" i="11"/>
  <c r="AW16" i="11" s="1"/>
  <c r="AY16" i="11" s="1"/>
  <c r="N57" i="13"/>
  <c r="M51" i="13"/>
  <c r="AG241" i="8"/>
  <c r="AE235" i="8"/>
  <c r="AG213" i="8"/>
  <c r="AE211" i="8"/>
  <c r="AE210" i="8" s="1"/>
  <c r="AE209" i="8" s="1"/>
  <c r="AE207" i="8" s="1"/>
  <c r="AG117" i="8"/>
  <c r="AE114" i="8"/>
  <c r="I57" i="20"/>
  <c r="J8" i="20" s="1"/>
  <c r="J15" i="10"/>
  <c r="L15" i="10" s="1"/>
  <c r="N15" i="9"/>
  <c r="AJ110" i="7"/>
  <c r="AH12" i="6"/>
  <c r="AH10" i="6" s="1"/>
  <c r="AH8" i="6" s="1"/>
  <c r="AI14" i="7"/>
  <c r="BJ8" i="6"/>
  <c r="R56" i="20"/>
  <c r="X10" i="8"/>
  <c r="X8" i="8" s="1"/>
  <c r="BN7" i="8"/>
  <c r="BN32" i="8" s="1"/>
  <c r="AI112" i="7"/>
  <c r="BH7" i="8"/>
  <c r="BH16" i="8" s="1"/>
  <c r="V258" i="8"/>
  <c r="AJ12" i="6"/>
  <c r="AJ10" i="6" s="1"/>
  <c r="AJ258" i="6" s="1"/>
  <c r="AG12" i="6"/>
  <c r="AG10" i="6" s="1"/>
  <c r="AG258" i="6" s="1"/>
  <c r="AS31" i="6" s="1"/>
  <c r="AS32" i="6" s="1"/>
  <c r="AE14" i="7"/>
  <c r="AE12" i="7" s="1"/>
  <c r="AE10" i="7" s="1"/>
  <c r="AE8" i="7" s="1"/>
  <c r="AV25" i="6"/>
  <c r="V14" i="10"/>
  <c r="V12" i="10" s="1"/>
  <c r="V10" i="10" s="1"/>
  <c r="V8" i="10" s="1"/>
  <c r="M8" i="6"/>
  <c r="M121" i="6" s="1"/>
  <c r="M125" i="6" s="1"/>
  <c r="N8" i="6"/>
  <c r="N121" i="6" s="1"/>
  <c r="N125" i="6" s="1"/>
  <c r="AS14" i="6"/>
  <c r="G64" i="11"/>
  <c r="I64" i="11" s="1"/>
  <c r="BD14" i="10"/>
  <c r="M64" i="10"/>
  <c r="N109" i="14"/>
  <c r="M109" i="14"/>
  <c r="BC20" i="14"/>
  <c r="D67" i="14"/>
  <c r="D66" i="13"/>
  <c r="F67" i="13"/>
  <c r="AH225" i="14"/>
  <c r="AI225" i="14"/>
  <c r="X222" i="14"/>
  <c r="W84" i="15"/>
  <c r="W83" i="14"/>
  <c r="X84" i="14"/>
  <c r="W107" i="16"/>
  <c r="X107" i="15"/>
  <c r="W105" i="15"/>
  <c r="W104" i="15" s="1"/>
  <c r="D56" i="14"/>
  <c r="D54" i="13"/>
  <c r="AJ87" i="12"/>
  <c r="AH87" i="12"/>
  <c r="AI87" i="12"/>
  <c r="AI53" i="14"/>
  <c r="AH53" i="14"/>
  <c r="AJ53" i="14"/>
  <c r="AG143" i="9"/>
  <c r="AE141" i="9"/>
  <c r="AQ12" i="13"/>
  <c r="N89" i="13"/>
  <c r="M89" i="13"/>
  <c r="AH143" i="14"/>
  <c r="AI143" i="14"/>
  <c r="AJ150" i="10"/>
  <c r="AJ149" i="10" s="1"/>
  <c r="AJ147" i="10" s="1"/>
  <c r="AI150" i="10"/>
  <c r="AH150" i="10"/>
  <c r="X149" i="10"/>
  <c r="X147" i="10" s="1"/>
  <c r="V255" i="14"/>
  <c r="X255" i="13"/>
  <c r="I95" i="8"/>
  <c r="G93" i="8"/>
  <c r="G85" i="8" s="1"/>
  <c r="AB37" i="14"/>
  <c r="AI37" i="13"/>
  <c r="AI181" i="10"/>
  <c r="AH181" i="10"/>
  <c r="X176" i="10"/>
  <c r="X170" i="10" s="1"/>
  <c r="E8" i="10"/>
  <c r="E121" i="10" s="1"/>
  <c r="E125" i="10" s="1"/>
  <c r="AJ76" i="10"/>
  <c r="AI76" i="10"/>
  <c r="AH76" i="10"/>
  <c r="L37" i="9"/>
  <c r="J35" i="9"/>
  <c r="J28" i="9" s="1"/>
  <c r="AE52" i="8"/>
  <c r="AG49" i="7"/>
  <c r="AG43" i="7" s="1"/>
  <c r="AJ52" i="7"/>
  <c r="AJ49" i="7" s="1"/>
  <c r="AJ43" i="7" s="1"/>
  <c r="L70" i="9"/>
  <c r="J69" i="9"/>
  <c r="M118" i="8"/>
  <c r="M117" i="8" s="1"/>
  <c r="N118" i="8"/>
  <c r="N117" i="8" s="1"/>
  <c r="F117" i="8"/>
  <c r="E68" i="12"/>
  <c r="E66" i="11"/>
  <c r="F68" i="11"/>
  <c r="AG105" i="13"/>
  <c r="AG104" i="13" s="1"/>
  <c r="AE106" i="14"/>
  <c r="D79" i="14"/>
  <c r="F79" i="13"/>
  <c r="D78" i="13"/>
  <c r="F78" i="13" s="1"/>
  <c r="L33" i="14"/>
  <c r="J32" i="14"/>
  <c r="L53" i="9"/>
  <c r="J51" i="9"/>
  <c r="AH95" i="14"/>
  <c r="AI95" i="14"/>
  <c r="AJ95" i="14"/>
  <c r="AY12" i="12"/>
  <c r="AU12" i="12"/>
  <c r="AV12" i="12"/>
  <c r="AZ12" i="12"/>
  <c r="X145" i="9"/>
  <c r="X110" i="9" s="1"/>
  <c r="AQ26" i="9" s="1"/>
  <c r="BN16" i="9"/>
  <c r="BN15" i="9" s="1"/>
  <c r="BH10" i="9" s="1"/>
  <c r="D61" i="12"/>
  <c r="D60" i="11"/>
  <c r="F61" i="11"/>
  <c r="G50" i="8"/>
  <c r="I48" i="7"/>
  <c r="M50" i="7"/>
  <c r="M48" i="7" s="1"/>
  <c r="BH17" i="6"/>
  <c r="X83" i="12"/>
  <c r="F21" i="9"/>
  <c r="Y237" i="14"/>
  <c r="AD22" i="10"/>
  <c r="AB20" i="10"/>
  <c r="AI213" i="10"/>
  <c r="AH213" i="10"/>
  <c r="X211" i="10"/>
  <c r="X210" i="10" s="1"/>
  <c r="X209" i="10" s="1"/>
  <c r="V222" i="15"/>
  <c r="V225" i="16"/>
  <c r="X225" i="15"/>
  <c r="AB39" i="9"/>
  <c r="AD35" i="8"/>
  <c r="AI39" i="8"/>
  <c r="AI35" i="8" s="1"/>
  <c r="Y230" i="10"/>
  <c r="AA227" i="9"/>
  <c r="AA220" i="9" s="1"/>
  <c r="BO30" i="9" s="1"/>
  <c r="BI14" i="9" s="1"/>
  <c r="AH230" i="9"/>
  <c r="AH227" i="9" s="1"/>
  <c r="AH220" i="9" s="1"/>
  <c r="AB215" i="10"/>
  <c r="AD211" i="9"/>
  <c r="AD210" i="9" s="1"/>
  <c r="AD209" i="9" s="1"/>
  <c r="AI215" i="9"/>
  <c r="AI45" i="10"/>
  <c r="AI44" i="10" s="1"/>
  <c r="X44" i="10"/>
  <c r="AG222" i="7"/>
  <c r="AG220" i="7" s="1"/>
  <c r="AS30" i="7" s="1"/>
  <c r="AE224" i="8"/>
  <c r="AJ224" i="7"/>
  <c r="AJ222" i="7" s="1"/>
  <c r="AJ220" i="7" s="1"/>
  <c r="AQ23" i="9"/>
  <c r="X63" i="9"/>
  <c r="BN12" i="9"/>
  <c r="BN9" i="9" s="1"/>
  <c r="N94" i="10"/>
  <c r="M94" i="10"/>
  <c r="F93" i="10"/>
  <c r="AQ27" i="9"/>
  <c r="BN24" i="9"/>
  <c r="BN22" i="9" s="1"/>
  <c r="BH11" i="9" s="1"/>
  <c r="E118" i="16"/>
  <c r="E117" i="16" s="1"/>
  <c r="E108" i="16" s="1"/>
  <c r="E117" i="15"/>
  <c r="E108" i="15" s="1"/>
  <c r="AE86" i="10"/>
  <c r="AG83" i="9"/>
  <c r="AJ86" i="9"/>
  <c r="AJ83" i="9" s="1"/>
  <c r="AI41" i="10"/>
  <c r="AJ41" i="10"/>
  <c r="BN31" i="10"/>
  <c r="BH15" i="10" s="1"/>
  <c r="X35" i="10"/>
  <c r="W75" i="12"/>
  <c r="W69" i="11"/>
  <c r="W65" i="11" s="1"/>
  <c r="X75" i="11"/>
  <c r="BC18" i="9"/>
  <c r="F99" i="9"/>
  <c r="M105" i="9"/>
  <c r="BD19" i="7"/>
  <c r="I85" i="7"/>
  <c r="AH251" i="10"/>
  <c r="AI251" i="10"/>
  <c r="AI243" i="10" s="1"/>
  <c r="X243" i="10"/>
  <c r="X234" i="10" s="1"/>
  <c r="X232" i="10" s="1"/>
  <c r="V173" i="15"/>
  <c r="V172" i="14"/>
  <c r="V170" i="14" s="1"/>
  <c r="X173" i="14"/>
  <c r="D73" i="12"/>
  <c r="D72" i="11"/>
  <c r="F73" i="11"/>
  <c r="N56" i="10"/>
  <c r="N54" i="10" s="1"/>
  <c r="M56" i="10"/>
  <c r="F54" i="10"/>
  <c r="W158" i="16"/>
  <c r="X158" i="16" s="1"/>
  <c r="AH158" i="16" s="1"/>
  <c r="X158" i="15"/>
  <c r="AA207" i="8"/>
  <c r="BO27" i="8"/>
  <c r="V99" i="16"/>
  <c r="V96" i="15"/>
  <c r="X99" i="15"/>
  <c r="V159" i="14"/>
  <c r="V106" i="12"/>
  <c r="V105" i="11"/>
  <c r="V104" i="11" s="1"/>
  <c r="X106" i="11"/>
  <c r="AJ100" i="10"/>
  <c r="AH100" i="10"/>
  <c r="AH96" i="10" s="1"/>
  <c r="AH90" i="10" s="1"/>
  <c r="X96" i="10"/>
  <c r="X90" i="10" s="1"/>
  <c r="AI100" i="10"/>
  <c r="V24" i="13"/>
  <c r="X24" i="12"/>
  <c r="V20" i="12"/>
  <c r="V16" i="12" s="1"/>
  <c r="BN14" i="9"/>
  <c r="BH9" i="9" s="1"/>
  <c r="AQ24" i="9"/>
  <c r="X14" i="9"/>
  <c r="W217" i="12"/>
  <c r="W211" i="11"/>
  <c r="W210" i="11" s="1"/>
  <c r="W209" i="11" s="1"/>
  <c r="W207" i="11" s="1"/>
  <c r="X217" i="11"/>
  <c r="N108" i="8"/>
  <c r="BL7" i="10"/>
  <c r="BL7" i="13" s="1"/>
  <c r="BL7" i="16" s="1"/>
  <c r="AJ185" i="8"/>
  <c r="Y14" i="7"/>
  <c r="Y12" i="7" s="1"/>
  <c r="Y10" i="7" s="1"/>
  <c r="Y8" i="7" s="1"/>
  <c r="AI211" i="9"/>
  <c r="AI210" i="9" s="1"/>
  <c r="AI209" i="9" s="1"/>
  <c r="AI207" i="9" s="1"/>
  <c r="D21" i="10"/>
  <c r="D19" i="10" s="1"/>
  <c r="W258" i="9"/>
  <c r="W8" i="9"/>
  <c r="M67" i="12"/>
  <c r="AA249" i="9"/>
  <c r="Y243" i="9"/>
  <c r="Y234" i="9" s="1"/>
  <c r="Y232" i="9" s="1"/>
  <c r="AH84" i="13"/>
  <c r="G55" i="9"/>
  <c r="I54" i="8"/>
  <c r="M55" i="8"/>
  <c r="M54" i="8" s="1"/>
  <c r="AH107" i="14"/>
  <c r="AI107" i="14"/>
  <c r="AJ107" i="14"/>
  <c r="V87" i="14"/>
  <c r="V83" i="13"/>
  <c r="X87" i="13"/>
  <c r="X83" i="13" s="1"/>
  <c r="W53" i="16"/>
  <c r="X53" i="15"/>
  <c r="AG99" i="8"/>
  <c r="AE96" i="8"/>
  <c r="AU30" i="8"/>
  <c r="AY30" i="8"/>
  <c r="V143" i="16"/>
  <c r="V141" i="15"/>
  <c r="X143" i="15"/>
  <c r="V150" i="12"/>
  <c r="V149" i="11"/>
  <c r="V147" i="11" s="1"/>
  <c r="V145" i="11" s="1"/>
  <c r="V110" i="11" s="1"/>
  <c r="X150" i="11"/>
  <c r="AH255" i="12"/>
  <c r="AI255" i="12"/>
  <c r="BC19" i="9"/>
  <c r="F85" i="9"/>
  <c r="Y224" i="14"/>
  <c r="AA222" i="13"/>
  <c r="AH224" i="13"/>
  <c r="AH222" i="13" s="1"/>
  <c r="Y190" i="13"/>
  <c r="AA187" i="12"/>
  <c r="AA185" i="12" s="1"/>
  <c r="AH190" i="12"/>
  <c r="AH187" i="12" s="1"/>
  <c r="AH185" i="12" s="1"/>
  <c r="AE116" i="10"/>
  <c r="AJ116" i="9"/>
  <c r="W181" i="12"/>
  <c r="W176" i="11"/>
  <c r="W170" i="11" s="1"/>
  <c r="X181" i="11"/>
  <c r="AH158" i="14"/>
  <c r="AJ158" i="14"/>
  <c r="AI158" i="14"/>
  <c r="V76" i="12"/>
  <c r="X76" i="11"/>
  <c r="V69" i="11"/>
  <c r="V65" i="11" s="1"/>
  <c r="Y101" i="13"/>
  <c r="AH101" i="12"/>
  <c r="AA96" i="12"/>
  <c r="AA90" i="12" s="1"/>
  <c r="L49" i="14"/>
  <c r="BN27" i="9"/>
  <c r="BN25" i="9" s="1"/>
  <c r="BH12" i="9" s="1"/>
  <c r="X207" i="9"/>
  <c r="AQ29" i="9" s="1"/>
  <c r="D118" i="10"/>
  <c r="D117" i="9"/>
  <c r="D108" i="9" s="1"/>
  <c r="D8" i="9" s="1"/>
  <c r="D121" i="9" s="1"/>
  <c r="D125" i="9" s="1"/>
  <c r="F118" i="9"/>
  <c r="N68" i="10"/>
  <c r="N66" i="10" s="1"/>
  <c r="F66" i="10"/>
  <c r="E105" i="12"/>
  <c r="E99" i="11"/>
  <c r="BN13" i="9"/>
  <c r="AQ25" i="9"/>
  <c r="W95" i="16"/>
  <c r="W91" i="15"/>
  <c r="X95" i="15"/>
  <c r="AJ24" i="11"/>
  <c r="AI24" i="11"/>
  <c r="AH24" i="11"/>
  <c r="AH20" i="11" s="1"/>
  <c r="X20" i="11"/>
  <c r="X16" i="11" s="1"/>
  <c r="F60" i="10"/>
  <c r="N61" i="10"/>
  <c r="BC17" i="10"/>
  <c r="BC10" i="10" s="1"/>
  <c r="AB110" i="7"/>
  <c r="W63" i="10"/>
  <c r="W12" i="10" s="1"/>
  <c r="W10" i="10" s="1"/>
  <c r="W8" i="10" s="1"/>
  <c r="D8" i="8"/>
  <c r="D121" i="8" s="1"/>
  <c r="D125" i="8" s="1"/>
  <c r="F109" i="15"/>
  <c r="D109" i="16"/>
  <c r="F109" i="16" s="1"/>
  <c r="AE135" i="12"/>
  <c r="AG135" i="12" s="1"/>
  <c r="AJ135" i="11"/>
  <c r="V213" i="12"/>
  <c r="V211" i="11"/>
  <c r="V210" i="11" s="1"/>
  <c r="V209" i="11" s="1"/>
  <c r="V207" i="11" s="1"/>
  <c r="X213" i="11"/>
  <c r="BC21" i="7"/>
  <c r="BC23" i="7" s="1"/>
  <c r="F108" i="7"/>
  <c r="AE72" i="15"/>
  <c r="AG72" i="15" s="1"/>
  <c r="AJ72" i="14"/>
  <c r="AW15" i="6"/>
  <c r="AY15" i="6" s="1"/>
  <c r="AY17" i="6" s="1"/>
  <c r="AU15" i="6"/>
  <c r="AV15" i="6"/>
  <c r="AD117" i="8"/>
  <c r="AB114" i="8"/>
  <c r="L63" i="16"/>
  <c r="N64" i="16"/>
  <c r="V45" i="12"/>
  <c r="V44" i="11"/>
  <c r="V43" i="11" s="1"/>
  <c r="X45" i="11"/>
  <c r="AD173" i="15"/>
  <c r="AB172" i="15"/>
  <c r="D94" i="12"/>
  <c r="F94" i="11"/>
  <c r="D93" i="11"/>
  <c r="D85" i="11" s="1"/>
  <c r="D89" i="15"/>
  <c r="F89" i="14"/>
  <c r="G59" i="9"/>
  <c r="I57" i="8"/>
  <c r="M59" i="8"/>
  <c r="M57" i="8" s="1"/>
  <c r="L14" i="8"/>
  <c r="J10" i="8"/>
  <c r="V41" i="12"/>
  <c r="X41" i="11"/>
  <c r="V35" i="11"/>
  <c r="AH75" i="10"/>
  <c r="X69" i="10"/>
  <c r="X65" i="10" s="1"/>
  <c r="AJ75" i="10"/>
  <c r="AI75" i="10"/>
  <c r="D105" i="11"/>
  <c r="D99" i="10"/>
  <c r="F105" i="10"/>
  <c r="W251" i="12"/>
  <c r="W243" i="11"/>
  <c r="W234" i="11" s="1"/>
  <c r="W232" i="11" s="1"/>
  <c r="X251" i="11"/>
  <c r="AJ173" i="13"/>
  <c r="AH173" i="13"/>
  <c r="AH172" i="13" s="1"/>
  <c r="AI173" i="13"/>
  <c r="AI172" i="13" s="1"/>
  <c r="X172" i="13"/>
  <c r="M73" i="10"/>
  <c r="N73" i="10"/>
  <c r="N72" i="10" s="1"/>
  <c r="F72" i="10"/>
  <c r="E56" i="12"/>
  <c r="E54" i="11"/>
  <c r="E21" i="11" s="1"/>
  <c r="E19" i="11" s="1"/>
  <c r="E17" i="11" s="1"/>
  <c r="F56" i="11"/>
  <c r="V116" i="14"/>
  <c r="V114" i="13"/>
  <c r="V112" i="13" s="1"/>
  <c r="X116" i="13"/>
  <c r="AA212" i="9"/>
  <c r="Y211" i="9"/>
  <c r="Y210" i="9" s="1"/>
  <c r="Y209" i="9" s="1"/>
  <c r="Y207" i="9" s="1"/>
  <c r="AI99" i="14"/>
  <c r="AH99" i="14"/>
  <c r="AE152" i="14"/>
  <c r="AJ152" i="13"/>
  <c r="AG149" i="13"/>
  <c r="AG147" i="13" s="1"/>
  <c r="AG97" i="9"/>
  <c r="X105" i="10"/>
  <c r="X104" i="10" s="1"/>
  <c r="AH106" i="10"/>
  <c r="AH105" i="10" s="1"/>
  <c r="AH104" i="10" s="1"/>
  <c r="AJ106" i="10"/>
  <c r="AJ105" i="10" s="1"/>
  <c r="AJ104" i="10" s="1"/>
  <c r="I68" i="8"/>
  <c r="G66" i="8"/>
  <c r="W100" i="12"/>
  <c r="W96" i="11"/>
  <c r="W90" i="11" s="1"/>
  <c r="X100" i="11"/>
  <c r="BN29" i="9"/>
  <c r="BH13" i="9" s="1"/>
  <c r="AQ30" i="9"/>
  <c r="AH217" i="10"/>
  <c r="AI217" i="10"/>
  <c r="AH83" i="12"/>
  <c r="AJ31" i="14"/>
  <c r="AE31" i="15"/>
  <c r="AG31" i="15" s="1"/>
  <c r="AG245" i="8"/>
  <c r="AE243" i="8"/>
  <c r="AE234" i="8" s="1"/>
  <c r="AE232" i="8" s="1"/>
  <c r="AI10" i="6"/>
  <c r="AI258" i="6" s="1"/>
  <c r="AB204" i="8"/>
  <c r="AD203" i="7"/>
  <c r="AD194" i="7" s="1"/>
  <c r="AI204" i="7"/>
  <c r="AI203" i="7" s="1"/>
  <c r="AI194" i="7" s="1"/>
  <c r="AI193" i="7" s="1"/>
  <c r="AU28" i="6"/>
  <c r="AE198" i="8"/>
  <c r="AJ198" i="7"/>
  <c r="AJ195" i="7" s="1"/>
  <c r="AJ194" i="7" s="1"/>
  <c r="AJ193" i="7" s="1"/>
  <c r="AG195" i="7"/>
  <c r="AG194" i="7" s="1"/>
  <c r="AG193" i="7" s="1"/>
  <c r="AS28" i="7" s="1"/>
  <c r="AB198" i="11"/>
  <c r="AD195" i="10"/>
  <c r="AI198" i="10"/>
  <c r="AI195" i="10" s="1"/>
  <c r="BO28" i="7"/>
  <c r="BO25" i="7" s="1"/>
  <c r="BI12" i="7" s="1"/>
  <c r="AA193" i="7"/>
  <c r="AA196" i="8"/>
  <c r="Y195" i="8"/>
  <c r="Y194" i="8" s="1"/>
  <c r="Y193" i="8" s="1"/>
  <c r="AD191" i="10"/>
  <c r="BP31" i="10" s="1"/>
  <c r="BJ15" i="10" s="1"/>
  <c r="AB185" i="10"/>
  <c r="AG183" i="8"/>
  <c r="AE176" i="8"/>
  <c r="AE170" i="8" s="1"/>
  <c r="AB183" i="15"/>
  <c r="AD183" i="15" s="1"/>
  <c r="AI183" i="14"/>
  <c r="Y177" i="8"/>
  <c r="BO23" i="7"/>
  <c r="AA176" i="7"/>
  <c r="AA170" i="7" s="1"/>
  <c r="BO24" i="7" s="1"/>
  <c r="AH177" i="7"/>
  <c r="AH176" i="7" s="1"/>
  <c r="AH170" i="7" s="1"/>
  <c r="AD174" i="16"/>
  <c r="AW27" i="8"/>
  <c r="AY27" i="8" s="1"/>
  <c r="AU27" i="8"/>
  <c r="AH258" i="5"/>
  <c r="U258" i="12"/>
  <c r="AE168" i="11"/>
  <c r="AG168" i="11" s="1"/>
  <c r="AJ168" i="10"/>
  <c r="AA10" i="6"/>
  <c r="AA8" i="6" s="1"/>
  <c r="U1" i="6" s="1"/>
  <c r="X258" i="5"/>
  <c r="BN33" i="5" s="1"/>
  <c r="U258" i="10"/>
  <c r="AG162" i="8"/>
  <c r="AE157" i="8"/>
  <c r="AE155" i="8" s="1"/>
  <c r="AE145" i="8" s="1"/>
  <c r="AG110" i="7"/>
  <c r="AS26" i="7" s="1"/>
  <c r="AX26" i="7" s="1"/>
  <c r="AZ26" i="7" s="1"/>
  <c r="AD162" i="11"/>
  <c r="AB157" i="11"/>
  <c r="AB155" i="11" s="1"/>
  <c r="U258" i="14"/>
  <c r="AB258" i="6"/>
  <c r="AJ258" i="5"/>
  <c r="U258" i="6"/>
  <c r="AI258" i="5"/>
  <c r="AA160" i="8"/>
  <c r="Y157" i="8"/>
  <c r="Y155" i="8" s="1"/>
  <c r="AH155" i="7"/>
  <c r="AH145" i="7" s="1"/>
  <c r="AH110" i="7" s="1"/>
  <c r="U258" i="15"/>
  <c r="AA156" i="8"/>
  <c r="Y258" i="6"/>
  <c r="D71" i="16"/>
  <c r="F71" i="15"/>
  <c r="W165" i="16"/>
  <c r="X165" i="15"/>
  <c r="AD142" i="13"/>
  <c r="AB141" i="13"/>
  <c r="V39" i="16"/>
  <c r="X39" i="15"/>
  <c r="V60" i="16"/>
  <c r="V58" i="15"/>
  <c r="V57" i="15" s="1"/>
  <c r="X60" i="15"/>
  <c r="AH133" i="14"/>
  <c r="AI133" i="14"/>
  <c r="AJ133" i="14"/>
  <c r="AH28" i="16"/>
  <c r="AI28" i="16"/>
  <c r="AJ28" i="16"/>
  <c r="V51" i="16"/>
  <c r="V49" i="15"/>
  <c r="M119" i="14"/>
  <c r="AJ127" i="14"/>
  <c r="AH127" i="14"/>
  <c r="X123" i="14"/>
  <c r="Y199" i="14"/>
  <c r="AH199" i="13"/>
  <c r="F53" i="15"/>
  <c r="D51" i="15"/>
  <c r="D53" i="16"/>
  <c r="F80" i="16"/>
  <c r="D59" i="16"/>
  <c r="D57" i="15"/>
  <c r="F59" i="15"/>
  <c r="AH74" i="14"/>
  <c r="AI74" i="14"/>
  <c r="N114" i="16"/>
  <c r="M114" i="16"/>
  <c r="D63" i="15"/>
  <c r="F65" i="15"/>
  <c r="D65" i="16"/>
  <c r="M71" i="14"/>
  <c r="N71" i="14"/>
  <c r="V237" i="16"/>
  <c r="X237" i="15"/>
  <c r="AH148" i="15"/>
  <c r="AJ148" i="15"/>
  <c r="AI148" i="15"/>
  <c r="BN18" i="15"/>
  <c r="X133" i="15"/>
  <c r="W133" i="16"/>
  <c r="W123" i="15"/>
  <c r="D97" i="16"/>
  <c r="F97" i="15"/>
  <c r="M53" i="14"/>
  <c r="M51" i="14" s="1"/>
  <c r="F51" i="14"/>
  <c r="V228" i="16"/>
  <c r="V227" i="15"/>
  <c r="X228" i="15"/>
  <c r="W142" i="16"/>
  <c r="W141" i="15"/>
  <c r="X142" i="15"/>
  <c r="AA246" i="13"/>
  <c r="D83" i="16"/>
  <c r="F83" i="15"/>
  <c r="D81" i="15"/>
  <c r="AI21" i="14"/>
  <c r="AH21" i="14"/>
  <c r="AJ21" i="14"/>
  <c r="V177" i="16"/>
  <c r="X177" i="15"/>
  <c r="V176" i="15"/>
  <c r="AI165" i="14"/>
  <c r="AH165" i="14"/>
  <c r="AJ165" i="14"/>
  <c r="AJ39" i="14"/>
  <c r="AH39" i="14"/>
  <c r="N104" i="16"/>
  <c r="M104" i="16"/>
  <c r="AI60" i="14"/>
  <c r="AJ60" i="14"/>
  <c r="AJ58" i="14" s="1"/>
  <c r="AJ57" i="14" s="1"/>
  <c r="X58" i="14"/>
  <c r="X57" i="14" s="1"/>
  <c r="AH60" i="14"/>
  <c r="AH58" i="14" s="1"/>
  <c r="AH57" i="14" s="1"/>
  <c r="M97" i="14"/>
  <c r="N97" i="14"/>
  <c r="N77" i="14"/>
  <c r="M77" i="14"/>
  <c r="D119" i="16"/>
  <c r="F119" i="15"/>
  <c r="V123" i="15"/>
  <c r="X127" i="15"/>
  <c r="V127" i="16"/>
  <c r="D92" i="16"/>
  <c r="F92" i="15"/>
  <c r="N80" i="15"/>
  <c r="M80" i="15"/>
  <c r="F57" i="14"/>
  <c r="N59" i="14"/>
  <c r="V74" i="16"/>
  <c r="X74" i="15"/>
  <c r="V214" i="16"/>
  <c r="X214" i="15"/>
  <c r="E100" i="16"/>
  <c r="AI237" i="14"/>
  <c r="BN30" i="13"/>
  <c r="BH14" i="13" s="1"/>
  <c r="M104" i="15"/>
  <c r="N104" i="15"/>
  <c r="X148" i="16"/>
  <c r="W147" i="16"/>
  <c r="F77" i="15"/>
  <c r="D77" i="16"/>
  <c r="D75" i="15"/>
  <c r="N92" i="14"/>
  <c r="M92" i="14"/>
  <c r="AH228" i="14"/>
  <c r="AH142" i="14"/>
  <c r="X141" i="14"/>
  <c r="BN20" i="14" s="1"/>
  <c r="AJ142" i="14"/>
  <c r="AH214" i="14"/>
  <c r="AI214" i="14"/>
  <c r="AI188" i="16"/>
  <c r="AH188" i="16"/>
  <c r="N83" i="14"/>
  <c r="F81" i="14"/>
  <c r="N65" i="14"/>
  <c r="N63" i="14" s="1"/>
  <c r="F63" i="14"/>
  <c r="V21" i="16"/>
  <c r="X21" i="15"/>
  <c r="BN23" i="14"/>
  <c r="AI177" i="14"/>
  <c r="AJ177" i="14"/>
  <c r="U258" i="11"/>
  <c r="AW26" i="6"/>
  <c r="AY26" i="6" s="1"/>
  <c r="AU26" i="6"/>
  <c r="AB152" i="8"/>
  <c r="AD149" i="7"/>
  <c r="AD147" i="7" s="1"/>
  <c r="AI152" i="7"/>
  <c r="AI149" i="7" s="1"/>
  <c r="AI147" i="7" s="1"/>
  <c r="AI145" i="7" s="1"/>
  <c r="AD10" i="6"/>
  <c r="AD8" i="6" s="1"/>
  <c r="X258" i="6"/>
  <c r="BN33" i="6" s="1"/>
  <c r="AA151" i="8"/>
  <c r="Y149" i="8"/>
  <c r="Y147" i="8" s="1"/>
  <c r="AA145" i="7"/>
  <c r="BO16" i="7"/>
  <c r="U8" i="13"/>
  <c r="AB134" i="12"/>
  <c r="AD134" i="12" s="1"/>
  <c r="AI134" i="11"/>
  <c r="Y134" i="12"/>
  <c r="AA134" i="12" s="1"/>
  <c r="AH134" i="11"/>
  <c r="AE126" i="11"/>
  <c r="AG126" i="11" s="1"/>
  <c r="AJ126" i="10"/>
  <c r="AB126" i="11"/>
  <c r="AD126" i="11" s="1"/>
  <c r="BP19" i="10"/>
  <c r="AI126" i="10"/>
  <c r="AA126" i="8"/>
  <c r="Y123" i="8"/>
  <c r="Y112" i="8" s="1"/>
  <c r="AA112" i="7"/>
  <c r="BO17" i="7"/>
  <c r="AE124" i="12"/>
  <c r="AG124" i="12" s="1"/>
  <c r="AJ124" i="11"/>
  <c r="AD124" i="8"/>
  <c r="AB123" i="8"/>
  <c r="AB112" i="8" s="1"/>
  <c r="BP17" i="7"/>
  <c r="AD112" i="7"/>
  <c r="X258" i="7"/>
  <c r="BN33" i="7" s="1"/>
  <c r="AR31" i="5"/>
  <c r="AR32" i="5" s="1"/>
  <c r="AU35" i="5" s="1"/>
  <c r="AA116" i="10"/>
  <c r="Y114" i="10"/>
  <c r="U258" i="7"/>
  <c r="AB106" i="8"/>
  <c r="AD105" i="7"/>
  <c r="AD104" i="7" s="1"/>
  <c r="AI106" i="7"/>
  <c r="AI105" i="7" s="1"/>
  <c r="AI104" i="7" s="1"/>
  <c r="AU25" i="6"/>
  <c r="AB100" i="13"/>
  <c r="AD100" i="13" s="1"/>
  <c r="AB98" i="13"/>
  <c r="AD98" i="13" s="1"/>
  <c r="AI98" i="12"/>
  <c r="AB97" i="8"/>
  <c r="AD96" i="7"/>
  <c r="AD90" i="7" s="1"/>
  <c r="AI97" i="7"/>
  <c r="AI96" i="7" s="1"/>
  <c r="AI90" i="7" s="1"/>
  <c r="AE92" i="8"/>
  <c r="AG91" i="7"/>
  <c r="AG90" i="7" s="1"/>
  <c r="AJ92" i="7"/>
  <c r="AJ91" i="7" s="1"/>
  <c r="AJ90" i="7" s="1"/>
  <c r="AJ63" i="7" s="1"/>
  <c r="AI86" i="13"/>
  <c r="AB86" i="14"/>
  <c r="AD86" i="14" s="1"/>
  <c r="BP8" i="6"/>
  <c r="BP7" i="6" s="1"/>
  <c r="BP32" i="6" s="1"/>
  <c r="BJ7" i="6"/>
  <c r="BJ16" i="6" s="1"/>
  <c r="AB84" i="8"/>
  <c r="AD83" i="7"/>
  <c r="AI84" i="7"/>
  <c r="AI83" i="7" s="1"/>
  <c r="AW24" i="6"/>
  <c r="AY24" i="6" s="1"/>
  <c r="AU24" i="6"/>
  <c r="AB63" i="7"/>
  <c r="AB12" i="7" s="1"/>
  <c r="AE81" i="12"/>
  <c r="AG81" i="12" s="1"/>
  <c r="AJ81" i="11"/>
  <c r="Y81" i="13"/>
  <c r="AA81" i="13" s="1"/>
  <c r="AH81" i="12"/>
  <c r="AB79" i="8"/>
  <c r="AI79" i="7"/>
  <c r="AI69" i="7" s="1"/>
  <c r="AI65" i="7" s="1"/>
  <c r="AD69" i="7"/>
  <c r="AD65" i="7" s="1"/>
  <c r="AW23" i="6"/>
  <c r="AY23" i="6" s="1"/>
  <c r="AU23" i="6"/>
  <c r="AG77" i="8"/>
  <c r="AE69" i="8"/>
  <c r="AE65" i="8" s="1"/>
  <c r="AA70" i="8"/>
  <c r="Y69" i="8"/>
  <c r="Y65" i="8" s="1"/>
  <c r="Y63" i="8" s="1"/>
  <c r="AA63" i="7"/>
  <c r="BO12" i="7"/>
  <c r="BO9" i="7" s="1"/>
  <c r="AG67" i="9"/>
  <c r="AB67" i="11"/>
  <c r="AD67" i="11" s="1"/>
  <c r="BP11" i="10"/>
  <c r="AI67" i="10"/>
  <c r="AB66" i="9"/>
  <c r="AI66" i="8"/>
  <c r="BP10" i="8"/>
  <c r="AD59" i="8"/>
  <c r="AB58" i="8"/>
  <c r="AB57" i="8" s="1"/>
  <c r="Y55" i="11"/>
  <c r="AA55" i="11" s="1"/>
  <c r="AH55" i="10"/>
  <c r="AH43" i="7"/>
  <c r="AD50" i="8"/>
  <c r="AB49" i="8"/>
  <c r="AB43" i="8" s="1"/>
  <c r="AD14" i="7"/>
  <c r="AA43" i="7"/>
  <c r="BO13" i="7" s="1"/>
  <c r="AA50" i="8"/>
  <c r="Y49" i="8"/>
  <c r="AG45" i="8"/>
  <c r="AE44" i="8"/>
  <c r="AA45" i="8"/>
  <c r="Y44" i="8"/>
  <c r="BI9" i="6"/>
  <c r="BI7" i="6" s="1"/>
  <c r="BI16" i="6" s="1"/>
  <c r="BO8" i="6"/>
  <c r="BO7" i="6" s="1"/>
  <c r="BO32" i="6" s="1"/>
  <c r="Y41" i="8"/>
  <c r="BO31" i="7"/>
  <c r="AA35" i="7"/>
  <c r="AH41" i="7"/>
  <c r="AH35" i="7" s="1"/>
  <c r="AG38" i="8"/>
  <c r="AE35" i="8"/>
  <c r="AX24" i="7"/>
  <c r="AZ24" i="7" s="1"/>
  <c r="AV24" i="7"/>
  <c r="AB33" i="11"/>
  <c r="AD33" i="11" s="1"/>
  <c r="AI33" i="10"/>
  <c r="AE23" i="8"/>
  <c r="AG20" i="7"/>
  <c r="AG16" i="7" s="1"/>
  <c r="AJ23" i="7"/>
  <c r="AJ20" i="7" s="1"/>
  <c r="AJ16" i="7" s="1"/>
  <c r="AX23" i="6"/>
  <c r="AZ23" i="6" s="1"/>
  <c r="AV23" i="6"/>
  <c r="AG17" i="9"/>
  <c r="AX22" i="8"/>
  <c r="AZ22" i="8" s="1"/>
  <c r="AV22" i="8"/>
  <c r="AW22" i="8"/>
  <c r="AY22" i="8" s="1"/>
  <c r="AU22" i="8"/>
  <c r="AD17" i="9"/>
  <c r="AB16" i="9"/>
  <c r="AA17" i="9"/>
  <c r="Y16" i="9"/>
  <c r="J113" i="16"/>
  <c r="L113" i="16" s="1"/>
  <c r="N113" i="16" s="1"/>
  <c r="N113" i="15"/>
  <c r="G113" i="8"/>
  <c r="BD20" i="7"/>
  <c r="M113" i="7"/>
  <c r="M108" i="7" s="1"/>
  <c r="I108" i="7"/>
  <c r="AR15" i="7" s="1"/>
  <c r="L116" i="9"/>
  <c r="J108" i="9"/>
  <c r="J8" i="7"/>
  <c r="J121" i="7" s="1"/>
  <c r="J125" i="7" s="1"/>
  <c r="J96" i="8"/>
  <c r="L93" i="7"/>
  <c r="AX14" i="7" s="1"/>
  <c r="AZ14" i="7" s="1"/>
  <c r="N96" i="7"/>
  <c r="N93" i="7" s="1"/>
  <c r="J86" i="8"/>
  <c r="N86" i="7"/>
  <c r="L85" i="7"/>
  <c r="L19" i="7" s="1"/>
  <c r="J79" i="9"/>
  <c r="N79" i="8"/>
  <c r="G79" i="9"/>
  <c r="M79" i="8"/>
  <c r="I76" i="8"/>
  <c r="AW9" i="8" s="1"/>
  <c r="AY9" i="8" s="1"/>
  <c r="G75" i="8"/>
  <c r="L72" i="16"/>
  <c r="N74" i="16"/>
  <c r="G74" i="8"/>
  <c r="I72" i="7"/>
  <c r="M74" i="7"/>
  <c r="M72" i="7" s="1"/>
  <c r="G21" i="7"/>
  <c r="G19" i="7" s="1"/>
  <c r="G17" i="7" s="1"/>
  <c r="G8" i="7" s="1"/>
  <c r="G121" i="7" s="1"/>
  <c r="G125" i="7" s="1"/>
  <c r="I70" i="8"/>
  <c r="G69" i="8"/>
  <c r="G65" i="8"/>
  <c r="I63" i="7"/>
  <c r="M65" i="7"/>
  <c r="I123" i="7"/>
  <c r="BD22" i="7"/>
  <c r="AW14" i="7"/>
  <c r="AY14" i="7" s="1"/>
  <c r="L62" i="8"/>
  <c r="J60" i="8"/>
  <c r="J21" i="8" s="1"/>
  <c r="J123" i="8"/>
  <c r="N60" i="7"/>
  <c r="N21" i="7" s="1"/>
  <c r="N123" i="7"/>
  <c r="I61" i="8"/>
  <c r="G60" i="8"/>
  <c r="F8" i="6"/>
  <c r="F121" i="6" s="1"/>
  <c r="F125" i="6" s="1"/>
  <c r="G23" i="8"/>
  <c r="M23" i="7"/>
  <c r="M22" i="7" s="1"/>
  <c r="AW7" i="7"/>
  <c r="AY7" i="7" s="1"/>
  <c r="I22" i="7"/>
  <c r="BD12" i="7"/>
  <c r="BD10" i="7" s="1"/>
  <c r="BD9" i="7" s="1"/>
  <c r="I17" i="6"/>
  <c r="AR14" i="6"/>
  <c r="L95" i="13"/>
  <c r="I111" i="12"/>
  <c r="AA39" i="16"/>
  <c r="L99" i="8"/>
  <c r="N105" i="8"/>
  <c r="N99" i="8" s="1"/>
  <c r="J105" i="9"/>
  <c r="AD243" i="16"/>
  <c r="AD168" i="14"/>
  <c r="AI229" i="15"/>
  <c r="AB229" i="16"/>
  <c r="L71" i="16"/>
  <c r="AH174" i="16"/>
  <c r="BD15" i="16"/>
  <c r="D15" i="20" s="1"/>
  <c r="AE74" i="14"/>
  <c r="AJ74" i="13"/>
  <c r="G51" i="15"/>
  <c r="I52" i="15"/>
  <c r="AE134" i="12"/>
  <c r="AG134" i="12" s="1"/>
  <c r="AJ134" i="11"/>
  <c r="H121" i="10"/>
  <c r="H125" i="10" s="1"/>
  <c r="AH72" i="16"/>
  <c r="D13" i="16"/>
  <c r="F13" i="15"/>
  <c r="AH244" i="16"/>
  <c r="AI244" i="16"/>
  <c r="AI151" i="16"/>
  <c r="AJ22" i="14"/>
  <c r="AE22" i="15"/>
  <c r="AB178" i="10"/>
  <c r="AI178" i="9"/>
  <c r="AI176" i="9" s="1"/>
  <c r="AI170" i="9" s="1"/>
  <c r="AD176" i="9"/>
  <c r="AD170" i="9" s="1"/>
  <c r="J55" i="14"/>
  <c r="L54" i="13"/>
  <c r="N55" i="13"/>
  <c r="AD116" i="9"/>
  <c r="AD92" i="9"/>
  <c r="AB91" i="9"/>
  <c r="B8" i="12"/>
  <c r="E123" i="11"/>
  <c r="Q123" i="11"/>
  <c r="BE22" i="11"/>
  <c r="BC22" i="11"/>
  <c r="K123" i="11"/>
  <c r="K121" i="11" s="1"/>
  <c r="K125" i="11" s="1"/>
  <c r="F123" i="11"/>
  <c r="C123" i="11"/>
  <c r="C121" i="11" s="1"/>
  <c r="C125" i="11" s="1"/>
  <c r="P123" i="11"/>
  <c r="P121" i="11" s="1"/>
  <c r="P125" i="11" s="1"/>
  <c r="H123" i="11"/>
  <c r="H121" i="11" s="1"/>
  <c r="H125" i="11" s="1"/>
  <c r="D123" i="11"/>
  <c r="AD46" i="16"/>
  <c r="AB44" i="16"/>
  <c r="AE132" i="13"/>
  <c r="AG132" i="13" s="1"/>
  <c r="AJ132" i="12"/>
  <c r="L76" i="16"/>
  <c r="J75" i="16"/>
  <c r="AA93" i="16"/>
  <c r="Y91" i="16"/>
  <c r="M34" i="16"/>
  <c r="I32" i="16"/>
  <c r="BP26" i="16"/>
  <c r="E50" i="20" s="1"/>
  <c r="AA87" i="16"/>
  <c r="Y83" i="16"/>
  <c r="AG84" i="14"/>
  <c r="Y23" i="13"/>
  <c r="AA20" i="12"/>
  <c r="AH23" i="12"/>
  <c r="AG129" i="8"/>
  <c r="AE123" i="8"/>
  <c r="AE112" i="8" s="1"/>
  <c r="AB127" i="10"/>
  <c r="AI127" i="9"/>
  <c r="AE46" i="14"/>
  <c r="AJ46" i="13"/>
  <c r="AB135" i="16"/>
  <c r="AD135" i="16" s="1"/>
  <c r="AI135" i="16" s="1"/>
  <c r="AI135" i="15"/>
  <c r="AJ101" i="15"/>
  <c r="AE101" i="16"/>
  <c r="L22" i="16"/>
  <c r="N23" i="16"/>
  <c r="N22" i="16" s="1"/>
  <c r="AX7" i="16"/>
  <c r="AQ7" i="16"/>
  <c r="AE172" i="13"/>
  <c r="AG174" i="13"/>
  <c r="AG160" i="13"/>
  <c r="AG54" i="14"/>
  <c r="P121" i="10"/>
  <c r="P125" i="10" s="1"/>
  <c r="K25" i="20"/>
  <c r="K26" i="20" s="1"/>
  <c r="K57" i="20" s="1"/>
  <c r="L8" i="20" s="1"/>
  <c r="BE23" i="10"/>
  <c r="K121" i="10"/>
  <c r="K125" i="10" s="1"/>
  <c r="M13" i="14"/>
  <c r="G47" i="13"/>
  <c r="I45" i="12"/>
  <c r="M47" i="12"/>
  <c r="L59" i="16"/>
  <c r="J57" i="16"/>
  <c r="BL16" i="10"/>
  <c r="AR16" i="7"/>
  <c r="BD7" i="7"/>
  <c r="I12" i="8"/>
  <c r="G10" i="8"/>
  <c r="AW17" i="6"/>
  <c r="AX17" i="6"/>
  <c r="AZ16" i="6"/>
  <c r="AZ17" i="6" s="1"/>
  <c r="AJ254" i="11"/>
  <c r="AE254" i="12"/>
  <c r="AG254" i="12" s="1"/>
  <c r="G102" i="12"/>
  <c r="I102" i="12" s="1"/>
  <c r="M102" i="11"/>
  <c r="B116" i="16"/>
  <c r="AE218" i="15"/>
  <c r="AG218" i="15" s="1"/>
  <c r="AJ218" i="14"/>
  <c r="G105" i="12"/>
  <c r="I105" i="12" s="1"/>
  <c r="AE230" i="15"/>
  <c r="AG230" i="15" s="1"/>
  <c r="AJ230" i="14"/>
  <c r="AJ248" i="11"/>
  <c r="AE248" i="12"/>
  <c r="AG248" i="12" s="1"/>
  <c r="BK16" i="16"/>
  <c r="AE240" i="12"/>
  <c r="AG240" i="12" s="1"/>
  <c r="AJ240" i="11"/>
  <c r="AJ214" i="11"/>
  <c r="AE214" i="12"/>
  <c r="AG214" i="12" s="1"/>
  <c r="AE256" i="12"/>
  <c r="AG256" i="12" s="1"/>
  <c r="AJ256" i="11"/>
  <c r="G90" i="11"/>
  <c r="I90" i="11" s="1"/>
  <c r="M90" i="10"/>
  <c r="AR13" i="10"/>
  <c r="AW13" i="10"/>
  <c r="AY13" i="10" s="1"/>
  <c r="AG212" i="9"/>
  <c r="AE189" i="11"/>
  <c r="AG189" i="11" s="1"/>
  <c r="AJ189" i="10"/>
  <c r="AG244" i="9"/>
  <c r="AE255" i="12"/>
  <c r="AG255" i="12" s="1"/>
  <c r="AJ255" i="11"/>
  <c r="AE225" i="12"/>
  <c r="AG225" i="12" s="1"/>
  <c r="AJ225" i="11"/>
  <c r="AJ250" i="11"/>
  <c r="AE250" i="12"/>
  <c r="AG250" i="12" s="1"/>
  <c r="AE236" i="10"/>
  <c r="AJ236" i="9"/>
  <c r="AJ201" i="11"/>
  <c r="AE201" i="12"/>
  <c r="AG201" i="12" s="1"/>
  <c r="AJ197" i="11"/>
  <c r="AE197" i="12"/>
  <c r="AG197" i="12" s="1"/>
  <c r="AJ182" i="11"/>
  <c r="AE182" i="12"/>
  <c r="AG182" i="12" s="1"/>
  <c r="G30" i="9"/>
  <c r="I29" i="8"/>
  <c r="I28" i="8" s="1"/>
  <c r="BD13" i="8"/>
  <c r="M30" i="8"/>
  <c r="M29" i="8" s="1"/>
  <c r="M28" i="8" s="1"/>
  <c r="AJ151" i="16"/>
  <c r="AE237" i="11"/>
  <c r="AG237" i="11" s="1"/>
  <c r="AJ237" i="10"/>
  <c r="G101" i="10"/>
  <c r="M101" i="9"/>
  <c r="I99" i="9"/>
  <c r="BD18" i="9"/>
  <c r="BH7" i="7"/>
  <c r="BH16" i="7" s="1"/>
  <c r="AJ239" i="11"/>
  <c r="AE239" i="12"/>
  <c r="AG239" i="12" s="1"/>
  <c r="AE223" i="10"/>
  <c r="AJ223" i="9"/>
  <c r="AE251" i="12"/>
  <c r="AG251" i="12" s="1"/>
  <c r="AE188" i="10"/>
  <c r="AG187" i="9"/>
  <c r="AJ188" i="9"/>
  <c r="AJ187" i="9" s="1"/>
  <c r="AJ40" i="16"/>
  <c r="AJ216" i="11"/>
  <c r="AE216" i="12"/>
  <c r="AG216" i="12" s="1"/>
  <c r="AE180" i="13"/>
  <c r="AJ180" i="12"/>
  <c r="AE217" i="12"/>
  <c r="AG217" i="12" s="1"/>
  <c r="AJ217" i="11"/>
  <c r="AE252" i="12"/>
  <c r="AG252" i="12" s="1"/>
  <c r="AJ252" i="11"/>
  <c r="AJ202" i="11"/>
  <c r="AE202" i="12"/>
  <c r="AG202" i="12" s="1"/>
  <c r="AG60" i="16"/>
  <c r="AE58" i="16"/>
  <c r="AE57" i="16" s="1"/>
  <c r="AE205" i="13"/>
  <c r="AG205" i="13" s="1"/>
  <c r="AJ205" i="12"/>
  <c r="AJ71" i="16"/>
  <c r="BK16" i="11"/>
  <c r="AE190" i="12"/>
  <c r="AG190" i="12" s="1"/>
  <c r="AJ190" i="11"/>
  <c r="AE246" i="12"/>
  <c r="AG246" i="12" s="1"/>
  <c r="AJ246" i="11"/>
  <c r="AJ249" i="14"/>
  <c r="AE249" i="15"/>
  <c r="AG249" i="15" s="1"/>
  <c r="AJ253" i="11"/>
  <c r="AE253" i="12"/>
  <c r="AG253" i="12" s="1"/>
  <c r="AJ229" i="10"/>
  <c r="AE229" i="11"/>
  <c r="AG229" i="11" s="1"/>
  <c r="G86" i="9"/>
  <c r="M86" i="8"/>
  <c r="J90" i="9"/>
  <c r="N90" i="8"/>
  <c r="AX13" i="8"/>
  <c r="AS13" i="8"/>
  <c r="AJ238" i="11"/>
  <c r="AE238" i="12"/>
  <c r="AG238" i="12" s="1"/>
  <c r="AH53" i="15"/>
  <c r="Y53" i="16"/>
  <c r="G100" i="14"/>
  <c r="M100" i="13"/>
  <c r="AJ215" i="11"/>
  <c r="AE215" i="12"/>
  <c r="AG215" i="12" s="1"/>
  <c r="N100" i="13"/>
  <c r="J100" i="14"/>
  <c r="AJ93" i="16"/>
  <c r="L121" i="6"/>
  <c r="L125" i="6" s="1"/>
  <c r="AG204" i="9"/>
  <c r="AE203" i="9"/>
  <c r="A1" i="5"/>
  <c r="F121" i="5"/>
  <c r="F125" i="5" s="1"/>
  <c r="T15" i="5"/>
  <c r="AG186" i="9"/>
  <c r="AE185" i="9"/>
  <c r="AG196" i="9"/>
  <c r="AE228" i="10"/>
  <c r="AG227" i="9"/>
  <c r="AJ228" i="9"/>
  <c r="AJ227" i="9" s="1"/>
  <c r="AE191" i="12"/>
  <c r="AG191" i="12" s="1"/>
  <c r="AJ191" i="11"/>
  <c r="AG181" i="9"/>
  <c r="AJ200" i="11"/>
  <c r="AE200" i="12"/>
  <c r="AG200" i="12" s="1"/>
  <c r="AJ247" i="14"/>
  <c r="AE247" i="15"/>
  <c r="AG247" i="15" s="1"/>
  <c r="AE199" i="12"/>
  <c r="AG199" i="12" s="1"/>
  <c r="AJ199" i="11"/>
  <c r="AX27" i="7"/>
  <c r="J12" i="11" l="1"/>
  <c r="L12" i="11" s="1"/>
  <c r="N12" i="10"/>
  <c r="J13" i="12"/>
  <c r="L13" i="12" s="1"/>
  <c r="N13" i="11"/>
  <c r="G82" i="13"/>
  <c r="I82" i="13" s="1"/>
  <c r="M82" i="12"/>
  <c r="AI157" i="10"/>
  <c r="AI155" i="10" s="1"/>
  <c r="F75" i="11"/>
  <c r="AQ9" i="11" s="1"/>
  <c r="N76" i="11"/>
  <c r="N75" i="11" s="1"/>
  <c r="W189" i="16"/>
  <c r="W187" i="16" s="1"/>
  <c r="W185" i="16" s="1"/>
  <c r="W187" i="15"/>
  <c r="W185" i="15" s="1"/>
  <c r="D33" i="15"/>
  <c r="D32" i="14"/>
  <c r="D28" i="14" s="1"/>
  <c r="F33" i="14"/>
  <c r="W159" i="13"/>
  <c r="W157" i="12"/>
  <c r="W155" i="12" s="1"/>
  <c r="W145" i="12" s="1"/>
  <c r="X159" i="12"/>
  <c r="AI245" i="11"/>
  <c r="AH245" i="11"/>
  <c r="X49" i="11"/>
  <c r="AJ51" i="11"/>
  <c r="AI51" i="11"/>
  <c r="AH51" i="11"/>
  <c r="AA236" i="12"/>
  <c r="Y235" i="12"/>
  <c r="BN28" i="12"/>
  <c r="X193" i="12"/>
  <c r="AQ28" i="12" s="1"/>
  <c r="V91" i="12"/>
  <c r="V90" i="12" s="1"/>
  <c r="V94" i="13"/>
  <c r="X94" i="12"/>
  <c r="V160" i="13"/>
  <c r="X160" i="12"/>
  <c r="V157" i="12"/>
  <c r="V155" i="12" s="1"/>
  <c r="AV8" i="10"/>
  <c r="AU8" i="10"/>
  <c r="AZ8" i="10"/>
  <c r="AY8" i="10"/>
  <c r="AD236" i="10"/>
  <c r="AB235" i="10"/>
  <c r="AB234" i="10" s="1"/>
  <c r="AB232" i="10" s="1"/>
  <c r="X189" i="16"/>
  <c r="V187" i="16"/>
  <c r="V185" i="16" s="1"/>
  <c r="BC15" i="11"/>
  <c r="N46" i="11"/>
  <c r="N45" i="11" s="1"/>
  <c r="M46" i="11"/>
  <c r="M45" i="11" s="1"/>
  <c r="F45" i="11"/>
  <c r="J67" i="12"/>
  <c r="L66" i="11"/>
  <c r="N67" i="11"/>
  <c r="N27" i="14"/>
  <c r="M27" i="14"/>
  <c r="AH239" i="13"/>
  <c r="AI239" i="13"/>
  <c r="X235" i="13"/>
  <c r="N81" i="14"/>
  <c r="V220" i="15"/>
  <c r="W239" i="15"/>
  <c r="W235" i="14"/>
  <c r="E58" i="16"/>
  <c r="E57" i="15"/>
  <c r="F58" i="15"/>
  <c r="D14" i="15"/>
  <c r="F14" i="14"/>
  <c r="D10" i="14"/>
  <c r="E81" i="16"/>
  <c r="F82" i="16"/>
  <c r="AB223" i="15"/>
  <c r="AD222" i="14"/>
  <c r="AI223" i="14"/>
  <c r="AI222" i="14" s="1"/>
  <c r="E76" i="13"/>
  <c r="E75" i="12"/>
  <c r="F76" i="12"/>
  <c r="M33" i="13"/>
  <c r="M32" i="13" s="1"/>
  <c r="BC13" i="13"/>
  <c r="F32" i="13"/>
  <c r="F28" i="13" s="1"/>
  <c r="N33" i="13"/>
  <c r="N32" i="13" s="1"/>
  <c r="M14" i="13"/>
  <c r="F10" i="13"/>
  <c r="X157" i="11"/>
  <c r="X155" i="11" s="1"/>
  <c r="BN17" i="11" s="1"/>
  <c r="AI159" i="11"/>
  <c r="AH159" i="11"/>
  <c r="AJ159" i="11"/>
  <c r="W51" i="13"/>
  <c r="W49" i="12"/>
  <c r="W43" i="12" s="1"/>
  <c r="W14" i="12" s="1"/>
  <c r="X51" i="12"/>
  <c r="BP30" i="11"/>
  <c r="BJ14" i="11" s="1"/>
  <c r="E46" i="13"/>
  <c r="E45" i="12"/>
  <c r="F46" i="12"/>
  <c r="W197" i="15"/>
  <c r="W195" i="14"/>
  <c r="W194" i="14" s="1"/>
  <c r="W193" i="14" s="1"/>
  <c r="E27" i="16"/>
  <c r="E25" i="15"/>
  <c r="F27" i="15"/>
  <c r="I83" i="10"/>
  <c r="G81" i="10"/>
  <c r="BC7" i="12"/>
  <c r="AQ16" i="12"/>
  <c r="AW16" i="12" s="1"/>
  <c r="AY16" i="12" s="1"/>
  <c r="X227" i="14"/>
  <c r="X220" i="14" s="1"/>
  <c r="V63" i="11"/>
  <c r="BC9" i="9"/>
  <c r="X43" i="10"/>
  <c r="X14" i="10" s="1"/>
  <c r="D70" i="13"/>
  <c r="F70" i="12"/>
  <c r="F69" i="12" s="1"/>
  <c r="D69" i="12"/>
  <c r="L50" i="12"/>
  <c r="J48" i="12"/>
  <c r="AI160" i="11"/>
  <c r="AJ160" i="11"/>
  <c r="W46" i="16"/>
  <c r="W44" i="15"/>
  <c r="X46" i="15"/>
  <c r="AR30" i="9"/>
  <c r="AW30" i="9" s="1"/>
  <c r="AY30" i="9" s="1"/>
  <c r="BP29" i="9"/>
  <c r="BJ13" i="9" s="1"/>
  <c r="AD228" i="12"/>
  <c r="AB227" i="12"/>
  <c r="AB220" i="12" s="1"/>
  <c r="AI189" i="15"/>
  <c r="AI187" i="15" s="1"/>
  <c r="AH189" i="15"/>
  <c r="X187" i="15"/>
  <c r="X185" i="15" s="1"/>
  <c r="W115" i="13"/>
  <c r="W114" i="12"/>
  <c r="W112" i="12" s="1"/>
  <c r="W110" i="12" s="1"/>
  <c r="X115" i="12"/>
  <c r="E51" i="16"/>
  <c r="F52" i="16"/>
  <c r="N52" i="16" s="1"/>
  <c r="AH197" i="13"/>
  <c r="AI197" i="13"/>
  <c r="X195" i="13"/>
  <c r="X194" i="13" s="1"/>
  <c r="F25" i="11"/>
  <c r="AQ8" i="11" s="1"/>
  <c r="M26" i="11"/>
  <c r="M25" i="11" s="1"/>
  <c r="BC11" i="11"/>
  <c r="N26" i="11"/>
  <c r="N25" i="11" s="1"/>
  <c r="W230" i="16"/>
  <c r="W227" i="15"/>
  <c r="W220" i="15" s="1"/>
  <c r="X230" i="15"/>
  <c r="AI230" i="15" s="1"/>
  <c r="N58" i="14"/>
  <c r="M58" i="14"/>
  <c r="J119" i="10"/>
  <c r="L117" i="9"/>
  <c r="N119" i="9"/>
  <c r="N82" i="15"/>
  <c r="V245" i="13"/>
  <c r="X245" i="12"/>
  <c r="V243" i="12"/>
  <c r="V234" i="12" s="1"/>
  <c r="V232" i="12" s="1"/>
  <c r="X91" i="11"/>
  <c r="AI94" i="11"/>
  <c r="AJ94" i="11"/>
  <c r="AH94" i="11"/>
  <c r="AH91" i="11" s="1"/>
  <c r="AH46" i="14"/>
  <c r="AI46" i="14"/>
  <c r="J46" i="12"/>
  <c r="L45" i="11"/>
  <c r="AJ115" i="11"/>
  <c r="AI115" i="11"/>
  <c r="AH115" i="11"/>
  <c r="X114" i="11"/>
  <c r="X112" i="11" s="1"/>
  <c r="V197" i="15"/>
  <c r="V195" i="14"/>
  <c r="V194" i="14" s="1"/>
  <c r="V193" i="14" s="1"/>
  <c r="X197" i="14"/>
  <c r="D26" i="13"/>
  <c r="D25" i="12"/>
  <c r="F26" i="12"/>
  <c r="E96" i="16"/>
  <c r="F96" i="15"/>
  <c r="M96" i="15" s="1"/>
  <c r="E93" i="15"/>
  <c r="E85" i="15" s="1"/>
  <c r="V239" i="15"/>
  <c r="X239" i="14"/>
  <c r="V235" i="14"/>
  <c r="G37" i="13"/>
  <c r="I35" i="12"/>
  <c r="M37" i="12"/>
  <c r="M35" i="12" s="1"/>
  <c r="AH141" i="14"/>
  <c r="N57" i="14"/>
  <c r="V258" i="9"/>
  <c r="AE213" i="9"/>
  <c r="AJ213" i="8"/>
  <c r="AJ211" i="8" s="1"/>
  <c r="AJ210" i="8" s="1"/>
  <c r="AJ209" i="8" s="1"/>
  <c r="AJ207" i="8" s="1"/>
  <c r="AG211" i="8"/>
  <c r="AG210" i="8" s="1"/>
  <c r="AG209" i="8" s="1"/>
  <c r="AG207" i="8" s="1"/>
  <c r="AS29" i="8" s="1"/>
  <c r="AX29" i="8" s="1"/>
  <c r="AZ29" i="8" s="1"/>
  <c r="BC8" i="9"/>
  <c r="AE117" i="9"/>
  <c r="AJ117" i="8"/>
  <c r="AJ114" i="8" s="1"/>
  <c r="AG114" i="8"/>
  <c r="V14" i="11"/>
  <c r="V12" i="11" s="1"/>
  <c r="V10" i="11" s="1"/>
  <c r="V8" i="11" s="1"/>
  <c r="AE241" i="9"/>
  <c r="AJ241" i="8"/>
  <c r="AJ235" i="8" s="1"/>
  <c r="AG235" i="8"/>
  <c r="BP13" i="7"/>
  <c r="M99" i="9"/>
  <c r="BH17" i="7"/>
  <c r="J15" i="11"/>
  <c r="L15" i="11" s="1"/>
  <c r="N15" i="10"/>
  <c r="AB10" i="7"/>
  <c r="AB8" i="7" s="1"/>
  <c r="AI110" i="7"/>
  <c r="AJ8" i="6"/>
  <c r="AG8" i="6"/>
  <c r="AC1" i="6" s="1"/>
  <c r="AJ14" i="7"/>
  <c r="AJ12" i="7" s="1"/>
  <c r="AJ10" i="7" s="1"/>
  <c r="AJ258" i="7" s="1"/>
  <c r="AS25" i="7"/>
  <c r="AV25" i="7" s="1"/>
  <c r="AS17" i="6"/>
  <c r="AV17" i="6" s="1"/>
  <c r="AV14" i="6"/>
  <c r="G64" i="12"/>
  <c r="I64" i="12" s="1"/>
  <c r="BD14" i="11"/>
  <c r="M64" i="11"/>
  <c r="AX30" i="7"/>
  <c r="AZ30" i="7" s="1"/>
  <c r="AV30" i="7"/>
  <c r="AJ100" i="11"/>
  <c r="AH100" i="11"/>
  <c r="AH96" i="11" s="1"/>
  <c r="AH90" i="11" s="1"/>
  <c r="X96" i="11"/>
  <c r="X90" i="11" s="1"/>
  <c r="AI100" i="11"/>
  <c r="G68" i="9"/>
  <c r="I66" i="8"/>
  <c r="M68" i="8"/>
  <c r="M66" i="8" s="1"/>
  <c r="AE149" i="14"/>
  <c r="AE147" i="14" s="1"/>
  <c r="AG152" i="14"/>
  <c r="V116" i="15"/>
  <c r="V114" i="14"/>
  <c r="V112" i="14" s="1"/>
  <c r="X116" i="14"/>
  <c r="D105" i="12"/>
  <c r="D99" i="11"/>
  <c r="F105" i="11"/>
  <c r="I59" i="9"/>
  <c r="G57" i="9"/>
  <c r="M94" i="11"/>
  <c r="N94" i="11"/>
  <c r="F93" i="11"/>
  <c r="X44" i="11"/>
  <c r="X43" i="11" s="1"/>
  <c r="AI45" i="11"/>
  <c r="AI44" i="11" s="1"/>
  <c r="AQ15" i="7"/>
  <c r="F8" i="7"/>
  <c r="V213" i="13"/>
  <c r="X213" i="12"/>
  <c r="V211" i="12"/>
  <c r="V210" i="12" s="1"/>
  <c r="V209" i="12" s="1"/>
  <c r="V207" i="12" s="1"/>
  <c r="M109" i="15"/>
  <c r="N109" i="15"/>
  <c r="BC20" i="15"/>
  <c r="J49" i="15"/>
  <c r="N49" i="14"/>
  <c r="AH181" i="11"/>
  <c r="AI181" i="11"/>
  <c r="X176" i="11"/>
  <c r="X170" i="11" s="1"/>
  <c r="AA190" i="13"/>
  <c r="Y187" i="13"/>
  <c r="Y185" i="13" s="1"/>
  <c r="AH150" i="11"/>
  <c r="AJ150" i="11"/>
  <c r="AJ149" i="11" s="1"/>
  <c r="AJ147" i="11" s="1"/>
  <c r="AI150" i="11"/>
  <c r="X149" i="11"/>
  <c r="X147" i="11" s="1"/>
  <c r="X53" i="16"/>
  <c r="W217" i="13"/>
  <c r="X217" i="12"/>
  <c r="W211" i="12"/>
  <c r="W210" i="12" s="1"/>
  <c r="W209" i="12" s="1"/>
  <c r="W207" i="12" s="1"/>
  <c r="V159" i="15"/>
  <c r="AH173" i="14"/>
  <c r="AH172" i="14" s="1"/>
  <c r="AI173" i="14"/>
  <c r="AI172" i="14" s="1"/>
  <c r="AJ173" i="14"/>
  <c r="X172" i="14"/>
  <c r="AG86" i="10"/>
  <c r="AE83" i="10"/>
  <c r="F85" i="10"/>
  <c r="BC19" i="10"/>
  <c r="AD207" i="9"/>
  <c r="AR29" i="9" s="1"/>
  <c r="AW29" i="9" s="1"/>
  <c r="BP27" i="9"/>
  <c r="AA230" i="10"/>
  <c r="Y227" i="10"/>
  <c r="Y220" i="10" s="1"/>
  <c r="X222" i="15"/>
  <c r="AH225" i="15"/>
  <c r="AI225" i="15"/>
  <c r="J53" i="10"/>
  <c r="N53" i="9"/>
  <c r="N51" i="9" s="1"/>
  <c r="L51" i="9"/>
  <c r="N68" i="11"/>
  <c r="N66" i="11" s="1"/>
  <c r="F66" i="11"/>
  <c r="J37" i="10"/>
  <c r="L35" i="9"/>
  <c r="L28" i="9" s="1"/>
  <c r="AS9" i="9" s="1"/>
  <c r="AV9" i="9" s="1"/>
  <c r="AX9" i="9"/>
  <c r="AZ9" i="9" s="1"/>
  <c r="N37" i="9"/>
  <c r="N35" i="9" s="1"/>
  <c r="N28" i="9" s="1"/>
  <c r="AY12" i="13"/>
  <c r="AV12" i="13"/>
  <c r="AZ12" i="13"/>
  <c r="AU12" i="13"/>
  <c r="AI8" i="6"/>
  <c r="W63" i="11"/>
  <c r="W12" i="11" s="1"/>
  <c r="W10" i="11" s="1"/>
  <c r="W8" i="11" s="1"/>
  <c r="D21" i="11"/>
  <c r="D19" i="11" s="1"/>
  <c r="D17" i="11" s="1"/>
  <c r="W258" i="10"/>
  <c r="AB173" i="16"/>
  <c r="AD172" i="15"/>
  <c r="W91" i="16"/>
  <c r="X95" i="16"/>
  <c r="M118" i="9"/>
  <c r="M117" i="9" s="1"/>
  <c r="N118" i="9"/>
  <c r="N117" i="9" s="1"/>
  <c r="F117" i="9"/>
  <c r="AH143" i="15"/>
  <c r="AI143" i="15"/>
  <c r="W100" i="13"/>
  <c r="W96" i="12"/>
  <c r="W90" i="12" s="1"/>
  <c r="X100" i="12"/>
  <c r="E8" i="11"/>
  <c r="BC18" i="10"/>
  <c r="F99" i="10"/>
  <c r="M105" i="10"/>
  <c r="AI41" i="11"/>
  <c r="AJ41" i="11"/>
  <c r="BN31" i="11"/>
  <c r="BH15" i="11" s="1"/>
  <c r="X35" i="11"/>
  <c r="X14" i="11" s="1"/>
  <c r="D89" i="16"/>
  <c r="F89" i="16" s="1"/>
  <c r="F89" i="15"/>
  <c r="V45" i="13"/>
  <c r="X45" i="12"/>
  <c r="V44" i="12"/>
  <c r="V43" i="12" s="1"/>
  <c r="AB117" i="9"/>
  <c r="AI117" i="8"/>
  <c r="AI114" i="8" s="1"/>
  <c r="AD114" i="8"/>
  <c r="AI213" i="11"/>
  <c r="AH213" i="11"/>
  <c r="X211" i="11"/>
  <c r="X210" i="11" s="1"/>
  <c r="X209" i="11" s="1"/>
  <c r="AE135" i="13"/>
  <c r="AG135" i="13" s="1"/>
  <c r="AJ135" i="12"/>
  <c r="V76" i="13"/>
  <c r="X76" i="12"/>
  <c r="V69" i="12"/>
  <c r="V65" i="12" s="1"/>
  <c r="W181" i="13"/>
  <c r="W176" i="12"/>
  <c r="W170" i="12" s="1"/>
  <c r="X181" i="12"/>
  <c r="V150" i="13"/>
  <c r="V149" i="12"/>
  <c r="V147" i="12" s="1"/>
  <c r="X150" i="12"/>
  <c r="AI53" i="15"/>
  <c r="AJ53" i="15"/>
  <c r="AH217" i="11"/>
  <c r="AI217" i="11"/>
  <c r="V24" i="14"/>
  <c r="X24" i="13"/>
  <c r="V20" i="13"/>
  <c r="V16" i="13" s="1"/>
  <c r="AI158" i="15"/>
  <c r="AJ158" i="15"/>
  <c r="AH158" i="15"/>
  <c r="V173" i="16"/>
  <c r="V172" i="15"/>
  <c r="V170" i="15" s="1"/>
  <c r="X173" i="15"/>
  <c r="BN14" i="10"/>
  <c r="BH9" i="10" s="1"/>
  <c r="AQ24" i="10"/>
  <c r="I50" i="8"/>
  <c r="G48" i="8"/>
  <c r="J33" i="15"/>
  <c r="L32" i="14"/>
  <c r="N33" i="14"/>
  <c r="N32" i="14" s="1"/>
  <c r="AE105" i="14"/>
  <c r="AE104" i="14" s="1"/>
  <c r="AG106" i="14"/>
  <c r="E68" i="13"/>
  <c r="E66" i="12"/>
  <c r="F68" i="12"/>
  <c r="AG52" i="8"/>
  <c r="AE49" i="8"/>
  <c r="AE43" i="8" s="1"/>
  <c r="AQ27" i="10"/>
  <c r="BN24" i="10"/>
  <c r="BN22" i="10" s="1"/>
  <c r="BH11" i="10" s="1"/>
  <c r="V255" i="15"/>
  <c r="X255" i="14"/>
  <c r="AE143" i="10"/>
  <c r="AG141" i="9"/>
  <c r="AJ143" i="9"/>
  <c r="AJ141" i="9" s="1"/>
  <c r="X107" i="16"/>
  <c r="W105" i="16"/>
  <c r="W104" i="16" s="1"/>
  <c r="X63" i="10"/>
  <c r="BO15" i="7"/>
  <c r="BI10" i="7" s="1"/>
  <c r="BC9" i="10"/>
  <c r="BC8" i="10" s="1"/>
  <c r="F21" i="10"/>
  <c r="F19" i="10" s="1"/>
  <c r="AQ23" i="10"/>
  <c r="F19" i="9"/>
  <c r="E56" i="13"/>
  <c r="E54" i="12"/>
  <c r="E21" i="12" s="1"/>
  <c r="E19" i="12" s="1"/>
  <c r="F56" i="12"/>
  <c r="AI251" i="11"/>
  <c r="AI243" i="11" s="1"/>
  <c r="AH251" i="11"/>
  <c r="X243" i="11"/>
  <c r="X234" i="11" s="1"/>
  <c r="X232" i="11" s="1"/>
  <c r="V41" i="13"/>
  <c r="X41" i="12"/>
  <c r="V35" i="12"/>
  <c r="AE72" i="16"/>
  <c r="AG72" i="16" s="1"/>
  <c r="AJ72" i="16" s="1"/>
  <c r="AJ72" i="15"/>
  <c r="M109" i="16"/>
  <c r="N109" i="16"/>
  <c r="E105" i="13"/>
  <c r="E99" i="12"/>
  <c r="AA101" i="13"/>
  <c r="Y96" i="13"/>
  <c r="Y90" i="13" s="1"/>
  <c r="AA224" i="14"/>
  <c r="Y222" i="14"/>
  <c r="V87" i="15"/>
  <c r="V83" i="14"/>
  <c r="X87" i="14"/>
  <c r="AH106" i="11"/>
  <c r="AH105" i="11" s="1"/>
  <c r="AH104" i="11" s="1"/>
  <c r="AJ106" i="11"/>
  <c r="AJ105" i="11" s="1"/>
  <c r="AJ104" i="11" s="1"/>
  <c r="X105" i="11"/>
  <c r="X104" i="11" s="1"/>
  <c r="V96" i="16"/>
  <c r="X99" i="16"/>
  <c r="AI158" i="16"/>
  <c r="AJ158" i="16"/>
  <c r="D73" i="13"/>
  <c r="D72" i="12"/>
  <c r="F73" i="12"/>
  <c r="BN29" i="10"/>
  <c r="BH13" i="10" s="1"/>
  <c r="AQ30" i="10"/>
  <c r="AJ75" i="11"/>
  <c r="AI75" i="11"/>
  <c r="AH75" i="11"/>
  <c r="X69" i="11"/>
  <c r="X65" i="11" s="1"/>
  <c r="BN12" i="11" s="1"/>
  <c r="BN9" i="11" s="1"/>
  <c r="AG224" i="8"/>
  <c r="AE222" i="8"/>
  <c r="AE220" i="8" s="1"/>
  <c r="AD39" i="9"/>
  <c r="AB35" i="9"/>
  <c r="BN27" i="10"/>
  <c r="BN25" i="10" s="1"/>
  <c r="BH12" i="10" s="1"/>
  <c r="X207" i="10"/>
  <c r="AQ29" i="10" s="1"/>
  <c r="AB22" i="11"/>
  <c r="AI22" i="10"/>
  <c r="AI20" i="10" s="1"/>
  <c r="AD20" i="10"/>
  <c r="N61" i="11"/>
  <c r="F60" i="11"/>
  <c r="BC17" i="11"/>
  <c r="BC10" i="11" s="1"/>
  <c r="BC21" i="8"/>
  <c r="BC23" i="8" s="1"/>
  <c r="BH17" i="8" s="1"/>
  <c r="F108" i="8"/>
  <c r="J70" i="10"/>
  <c r="L69" i="9"/>
  <c r="N70" i="9"/>
  <c r="N69" i="9" s="1"/>
  <c r="AD37" i="14"/>
  <c r="G95" i="9"/>
  <c r="I93" i="8"/>
  <c r="M95" i="8"/>
  <c r="M93" i="8" s="1"/>
  <c r="M85" i="8" s="1"/>
  <c r="X145" i="10"/>
  <c r="X110" i="10" s="1"/>
  <c r="AQ26" i="10" s="1"/>
  <c r="BN16" i="10"/>
  <c r="BN15" i="10" s="1"/>
  <c r="BH10" i="10" s="1"/>
  <c r="D56" i="15"/>
  <c r="D54" i="14"/>
  <c r="AH84" i="14"/>
  <c r="X83" i="14"/>
  <c r="D67" i="15"/>
  <c r="D66" i="14"/>
  <c r="F67" i="14"/>
  <c r="AE97" i="10"/>
  <c r="AJ97" i="9"/>
  <c r="Y212" i="10"/>
  <c r="AA211" i="9"/>
  <c r="AA210" i="9" s="1"/>
  <c r="AA209" i="9" s="1"/>
  <c r="AH212" i="9"/>
  <c r="AH211" i="9" s="1"/>
  <c r="AH210" i="9" s="1"/>
  <c r="AH209" i="9" s="1"/>
  <c r="AH207" i="9" s="1"/>
  <c r="M56" i="11"/>
  <c r="N56" i="11"/>
  <c r="N54" i="11" s="1"/>
  <c r="F54" i="11"/>
  <c r="W251" i="13"/>
  <c r="W243" i="12"/>
  <c r="W234" i="12" s="1"/>
  <c r="W232" i="12" s="1"/>
  <c r="X251" i="12"/>
  <c r="J14" i="9"/>
  <c r="L10" i="8"/>
  <c r="AS16" i="8" s="1"/>
  <c r="AV16" i="8" s="1"/>
  <c r="N14" i="8"/>
  <c r="N10" i="8" s="1"/>
  <c r="AQ12" i="14"/>
  <c r="N89" i="14"/>
  <c r="M89" i="14"/>
  <c r="D94" i="13"/>
  <c r="F94" i="12"/>
  <c r="D93" i="12"/>
  <c r="D85" i="12" s="1"/>
  <c r="AQ23" i="11"/>
  <c r="AI95" i="15"/>
  <c r="AH95" i="15"/>
  <c r="AJ95" i="15"/>
  <c r="D118" i="11"/>
  <c r="D117" i="10"/>
  <c r="D108" i="10" s="1"/>
  <c r="F118" i="10"/>
  <c r="AV29" i="9"/>
  <c r="AU29" i="9"/>
  <c r="AY29" i="9"/>
  <c r="AI76" i="11"/>
  <c r="AJ76" i="11"/>
  <c r="AH76" i="11"/>
  <c r="AG116" i="10"/>
  <c r="V141" i="16"/>
  <c r="X143" i="16"/>
  <c r="AE99" i="9"/>
  <c r="AJ99" i="8"/>
  <c r="AJ96" i="8" s="1"/>
  <c r="AG96" i="8"/>
  <c r="AI87" i="13"/>
  <c r="AJ87" i="13"/>
  <c r="AH87" i="13"/>
  <c r="AH83" i="13" s="1"/>
  <c r="I55" i="9"/>
  <c r="G54" i="9"/>
  <c r="Y249" i="10"/>
  <c r="AA243" i="9"/>
  <c r="AA234" i="9" s="1"/>
  <c r="AA232" i="9" s="1"/>
  <c r="BO29" i="9" s="1"/>
  <c r="BI13" i="9" s="1"/>
  <c r="AH249" i="9"/>
  <c r="AH243" i="9" s="1"/>
  <c r="AH234" i="9" s="1"/>
  <c r="AH232" i="9" s="1"/>
  <c r="AI24" i="12"/>
  <c r="AJ24" i="12"/>
  <c r="AH24" i="12"/>
  <c r="AH20" i="12" s="1"/>
  <c r="X20" i="12"/>
  <c r="X16" i="12" s="1"/>
  <c r="V106" i="13"/>
  <c r="V105" i="12"/>
  <c r="V104" i="12" s="1"/>
  <c r="X106" i="12"/>
  <c r="AH99" i="15"/>
  <c r="AI99" i="15"/>
  <c r="N73" i="11"/>
  <c r="N72" i="11" s="1"/>
  <c r="M73" i="11"/>
  <c r="F72" i="11"/>
  <c r="W75" i="13"/>
  <c r="W69" i="12"/>
  <c r="W65" i="12" s="1"/>
  <c r="X75" i="12"/>
  <c r="AQ25" i="10"/>
  <c r="AD215" i="10"/>
  <c r="AB211" i="10"/>
  <c r="AB210" i="10" s="1"/>
  <c r="AB209" i="10" s="1"/>
  <c r="AB207" i="10" s="1"/>
  <c r="X225" i="16"/>
  <c r="V222" i="16"/>
  <c r="AA237" i="14"/>
  <c r="D61" i="13"/>
  <c r="D60" i="12"/>
  <c r="D21" i="12" s="1"/>
  <c r="D19" i="12" s="1"/>
  <c r="F61" i="12"/>
  <c r="D79" i="15"/>
  <c r="F79" i="14"/>
  <c r="D78" i="14"/>
  <c r="F78" i="14" s="1"/>
  <c r="AI255" i="13"/>
  <c r="AH255" i="13"/>
  <c r="AH107" i="15"/>
  <c r="AI107" i="15"/>
  <c r="AJ107" i="15"/>
  <c r="W84" i="16"/>
  <c r="X84" i="15"/>
  <c r="W83" i="15"/>
  <c r="M67" i="13"/>
  <c r="D17" i="10"/>
  <c r="BN8" i="9"/>
  <c r="BN7" i="9" s="1"/>
  <c r="BN32" i="9" s="1"/>
  <c r="AJ251" i="11"/>
  <c r="BD8" i="7"/>
  <c r="BD23" i="7" s="1"/>
  <c r="BC20" i="16"/>
  <c r="C23" i="20" s="1"/>
  <c r="BH8" i="9"/>
  <c r="BH7" i="9" s="1"/>
  <c r="BH16" i="9" s="1"/>
  <c r="X12" i="9"/>
  <c r="X10" i="9" s="1"/>
  <c r="X8" i="9" s="1"/>
  <c r="BN12" i="10"/>
  <c r="BN9" i="10" s="1"/>
  <c r="AG63" i="7"/>
  <c r="AJ31" i="15"/>
  <c r="AE31" i="16"/>
  <c r="AG31" i="16" s="1"/>
  <c r="AJ31" i="16" s="1"/>
  <c r="AE245" i="9"/>
  <c r="AJ245" i="8"/>
  <c r="AJ243" i="8" s="1"/>
  <c r="AJ234" i="8" s="1"/>
  <c r="AJ232" i="8" s="1"/>
  <c r="AG243" i="8"/>
  <c r="AG234" i="8" s="1"/>
  <c r="AG232" i="8" s="1"/>
  <c r="AD204" i="8"/>
  <c r="AB203" i="8"/>
  <c r="AB194" i="8" s="1"/>
  <c r="AB193" i="8" s="1"/>
  <c r="BP28" i="7"/>
  <c r="BP25" i="7" s="1"/>
  <c r="BJ12" i="7" s="1"/>
  <c r="AD193" i="7"/>
  <c r="AR28" i="7" s="1"/>
  <c r="AG198" i="8"/>
  <c r="AE195" i="8"/>
  <c r="AE194" i="8" s="1"/>
  <c r="AE193" i="8" s="1"/>
  <c r="AX28" i="7"/>
  <c r="AZ28" i="7" s="1"/>
  <c r="AV28" i="7"/>
  <c r="AD198" i="11"/>
  <c r="AB195" i="11"/>
  <c r="Y196" i="9"/>
  <c r="BO26" i="8"/>
  <c r="AA195" i="8"/>
  <c r="AA194" i="8" s="1"/>
  <c r="AH196" i="8"/>
  <c r="AH195" i="8" s="1"/>
  <c r="AH194" i="8" s="1"/>
  <c r="AH193" i="8" s="1"/>
  <c r="AB191" i="11"/>
  <c r="AI191" i="10"/>
  <c r="AI185" i="10" s="1"/>
  <c r="AD185" i="10"/>
  <c r="AJ183" i="8"/>
  <c r="AJ176" i="8" s="1"/>
  <c r="AJ170" i="8" s="1"/>
  <c r="AE183" i="9"/>
  <c r="AG176" i="8"/>
  <c r="AG170" i="8" s="1"/>
  <c r="AS27" i="8" s="1"/>
  <c r="AV27" i="8" s="1"/>
  <c r="AB183" i="16"/>
  <c r="AD183" i="16" s="1"/>
  <c r="AI183" i="16" s="1"/>
  <c r="AI183" i="15"/>
  <c r="BO22" i="7"/>
  <c r="BI11" i="7" s="1"/>
  <c r="AA177" i="8"/>
  <c r="Y176" i="8"/>
  <c r="Y170" i="8" s="1"/>
  <c r="AI174" i="16"/>
  <c r="AE168" i="12"/>
  <c r="AG168" i="12" s="1"/>
  <c r="AJ168" i="11"/>
  <c r="AE110" i="8"/>
  <c r="AV26" i="7"/>
  <c r="Y1" i="6"/>
  <c r="AQ31" i="5"/>
  <c r="AX31" i="5" s="1"/>
  <c r="AX32" i="5" s="1"/>
  <c r="AE162" i="9"/>
  <c r="AG157" i="8"/>
  <c r="AG155" i="8" s="1"/>
  <c r="AG145" i="8" s="1"/>
  <c r="AJ162" i="8"/>
  <c r="AJ157" i="8" s="1"/>
  <c r="AJ155" i="8" s="1"/>
  <c r="AJ145" i="8" s="1"/>
  <c r="AB162" i="12"/>
  <c r="AD157" i="11"/>
  <c r="AD155" i="11" s="1"/>
  <c r="AI162" i="11"/>
  <c r="AI157" i="11" s="1"/>
  <c r="AI155" i="11" s="1"/>
  <c r="Y160" i="9"/>
  <c r="AA157" i="8"/>
  <c r="AA155" i="8" s="1"/>
  <c r="AH160" i="8"/>
  <c r="AH157" i="8" s="1"/>
  <c r="AH258" i="6"/>
  <c r="AA110" i="7"/>
  <c r="Y156" i="9"/>
  <c r="BO18" i="8"/>
  <c r="AH156" i="8"/>
  <c r="Y145" i="8"/>
  <c r="Y110" i="8" s="1"/>
  <c r="C10" i="18"/>
  <c r="AH148" i="16"/>
  <c r="AI148" i="16"/>
  <c r="BN18" i="16"/>
  <c r="C42" i="20" s="1"/>
  <c r="AJ148" i="16"/>
  <c r="X214" i="16"/>
  <c r="F92" i="16"/>
  <c r="M119" i="15"/>
  <c r="Y246" i="14"/>
  <c r="AH246" i="13"/>
  <c r="AH142" i="15"/>
  <c r="AH141" i="15" s="1"/>
  <c r="X141" i="15"/>
  <c r="BN20" i="15" s="1"/>
  <c r="AJ142" i="15"/>
  <c r="AI237" i="15"/>
  <c r="F63" i="15"/>
  <c r="N65" i="15"/>
  <c r="N63" i="15" s="1"/>
  <c r="N80" i="16"/>
  <c r="M80" i="16"/>
  <c r="F51" i="15"/>
  <c r="M53" i="15"/>
  <c r="AH21" i="15"/>
  <c r="AI21" i="15"/>
  <c r="AJ21" i="15"/>
  <c r="X74" i="16"/>
  <c r="N92" i="15"/>
  <c r="M92" i="15"/>
  <c r="X177" i="16"/>
  <c r="V176" i="16"/>
  <c r="AH228" i="15"/>
  <c r="X227" i="15"/>
  <c r="X220" i="15" s="1"/>
  <c r="F97" i="16"/>
  <c r="D63" i="16"/>
  <c r="F65" i="16"/>
  <c r="F57" i="15"/>
  <c r="N59" i="15"/>
  <c r="AA199" i="14"/>
  <c r="V58" i="16"/>
  <c r="V57" i="16" s="1"/>
  <c r="X60" i="16"/>
  <c r="X165" i="16"/>
  <c r="F100" i="16"/>
  <c r="AX16" i="7"/>
  <c r="AZ16" i="7" s="1"/>
  <c r="AU16" i="7"/>
  <c r="BN30" i="14"/>
  <c r="BH14" i="14" s="1"/>
  <c r="M77" i="15"/>
  <c r="N77" i="15"/>
  <c r="AH214" i="15"/>
  <c r="AI214" i="15"/>
  <c r="AI74" i="15"/>
  <c r="AH74" i="15"/>
  <c r="AJ127" i="15"/>
  <c r="AH127" i="15"/>
  <c r="X123" i="15"/>
  <c r="F119" i="16"/>
  <c r="BN23" i="15"/>
  <c r="AI177" i="15"/>
  <c r="AJ177" i="15"/>
  <c r="F83" i="16"/>
  <c r="D81" i="16"/>
  <c r="W141" i="16"/>
  <c r="X142" i="16"/>
  <c r="M97" i="15"/>
  <c r="N97" i="15"/>
  <c r="AH133" i="15"/>
  <c r="AI133" i="15"/>
  <c r="AJ133" i="15"/>
  <c r="F53" i="16"/>
  <c r="D51" i="16"/>
  <c r="V49" i="16"/>
  <c r="X39" i="16"/>
  <c r="AD141" i="13"/>
  <c r="BP20" i="13" s="1"/>
  <c r="AB142" i="14"/>
  <c r="AI142" i="13"/>
  <c r="AI141" i="13" s="1"/>
  <c r="AH165" i="15"/>
  <c r="AI165" i="15"/>
  <c r="AJ165" i="15"/>
  <c r="F71" i="16"/>
  <c r="X21" i="16"/>
  <c r="F77" i="16"/>
  <c r="D75" i="16"/>
  <c r="V123" i="16"/>
  <c r="X127" i="16"/>
  <c r="N83" i="15"/>
  <c r="F81" i="15"/>
  <c r="X228" i="16"/>
  <c r="V227" i="16"/>
  <c r="X133" i="16"/>
  <c r="W123" i="16"/>
  <c r="X237" i="16"/>
  <c r="D57" i="16"/>
  <c r="F59" i="16"/>
  <c r="N59" i="16" s="1"/>
  <c r="AH60" i="15"/>
  <c r="AH58" i="15" s="1"/>
  <c r="AH57" i="15" s="1"/>
  <c r="AI60" i="15"/>
  <c r="X58" i="15"/>
  <c r="X57" i="15" s="1"/>
  <c r="AJ60" i="15"/>
  <c r="AJ58" i="15" s="1"/>
  <c r="AJ57" i="15" s="1"/>
  <c r="AJ39" i="15"/>
  <c r="AH39" i="15"/>
  <c r="M71" i="15"/>
  <c r="N71" i="15"/>
  <c r="AD258" i="6"/>
  <c r="BP33" i="6" s="1"/>
  <c r="AD152" i="8"/>
  <c r="AB149" i="8"/>
  <c r="AB147" i="8" s="1"/>
  <c r="AB145" i="8" s="1"/>
  <c r="AB110" i="8" s="1"/>
  <c r="AD145" i="7"/>
  <c r="AD110" i="7" s="1"/>
  <c r="AR26" i="7" s="1"/>
  <c r="BP16" i="7"/>
  <c r="BP15" i="7" s="1"/>
  <c r="BJ10" i="7" s="1"/>
  <c r="AQ31" i="6"/>
  <c r="AV31" i="6" s="1"/>
  <c r="Y151" i="9"/>
  <c r="AA149" i="8"/>
  <c r="AA147" i="8" s="1"/>
  <c r="AH151" i="8"/>
  <c r="AH149" i="8" s="1"/>
  <c r="AH147" i="8" s="1"/>
  <c r="AB134" i="13"/>
  <c r="AD134" i="13" s="1"/>
  <c r="AI134" i="12"/>
  <c r="Y134" i="13"/>
  <c r="AA134" i="13" s="1"/>
  <c r="AH134" i="12"/>
  <c r="AE126" i="12"/>
  <c r="AG126" i="12" s="1"/>
  <c r="AJ126" i="11"/>
  <c r="AB126" i="12"/>
  <c r="AD126" i="12" s="1"/>
  <c r="AI126" i="11"/>
  <c r="BP19" i="11"/>
  <c r="Y126" i="9"/>
  <c r="BO19" i="8"/>
  <c r="AA123" i="8"/>
  <c r="AH126" i="8"/>
  <c r="AH123" i="8" s="1"/>
  <c r="AH112" i="8" s="1"/>
  <c r="AE124" i="13"/>
  <c r="AG124" i="13" s="1"/>
  <c r="AJ124" i="12"/>
  <c r="AB124" i="9"/>
  <c r="AI124" i="8"/>
  <c r="AI123" i="8" s="1"/>
  <c r="AD123" i="8"/>
  <c r="AQ31" i="7"/>
  <c r="AQ32" i="7" s="1"/>
  <c r="AV35" i="5"/>
  <c r="Y116" i="11"/>
  <c r="AH116" i="10"/>
  <c r="AH114" i="10" s="1"/>
  <c r="AA114" i="10"/>
  <c r="AD106" i="8"/>
  <c r="AB105" i="8"/>
  <c r="AB104" i="8" s="1"/>
  <c r="AB100" i="14"/>
  <c r="AD100" i="14" s="1"/>
  <c r="AR25" i="7"/>
  <c r="AU25" i="7" s="1"/>
  <c r="AB98" i="14"/>
  <c r="AD98" i="14" s="1"/>
  <c r="AI98" i="13"/>
  <c r="AD97" i="8"/>
  <c r="AB96" i="8"/>
  <c r="AB90" i="8" s="1"/>
  <c r="AG92" i="8"/>
  <c r="AE91" i="8"/>
  <c r="AE90" i="8" s="1"/>
  <c r="AE63" i="8" s="1"/>
  <c r="AI86" i="14"/>
  <c r="AB86" i="15"/>
  <c r="AD86" i="15" s="1"/>
  <c r="AI63" i="7"/>
  <c r="AI12" i="7" s="1"/>
  <c r="AD84" i="8"/>
  <c r="AB83" i="8"/>
  <c r="AR24" i="7"/>
  <c r="BP14" i="7"/>
  <c r="BJ9" i="7" s="1"/>
  <c r="AE81" i="13"/>
  <c r="AG81" i="13" s="1"/>
  <c r="AJ81" i="12"/>
  <c r="Y81" i="14"/>
  <c r="AA81" i="14" s="1"/>
  <c r="AH81" i="13"/>
  <c r="AD63" i="7"/>
  <c r="AD12" i="7" s="1"/>
  <c r="BP12" i="7"/>
  <c r="BP9" i="7" s="1"/>
  <c r="BJ8" i="7" s="1"/>
  <c r="AR23" i="7"/>
  <c r="AD79" i="8"/>
  <c r="AB69" i="8"/>
  <c r="AB65" i="8" s="1"/>
  <c r="AE77" i="9"/>
  <c r="AG69" i="8"/>
  <c r="AG65" i="8" s="1"/>
  <c r="AJ77" i="8"/>
  <c r="AJ69" i="8" s="1"/>
  <c r="AJ65" i="8" s="1"/>
  <c r="Y70" i="9"/>
  <c r="AA69" i="8"/>
  <c r="AA65" i="8" s="1"/>
  <c r="AH70" i="8"/>
  <c r="AH69" i="8" s="1"/>
  <c r="AH65" i="8" s="1"/>
  <c r="AH63" i="8" s="1"/>
  <c r="BI8" i="7"/>
  <c r="AE67" i="10"/>
  <c r="AJ67" i="9"/>
  <c r="AB67" i="12"/>
  <c r="AD67" i="12" s="1"/>
  <c r="BP11" i="11"/>
  <c r="AI67" i="11"/>
  <c r="AD66" i="9"/>
  <c r="AR22" i="9" s="1"/>
  <c r="AB59" i="9"/>
  <c r="AD58" i="8"/>
  <c r="AD57" i="8" s="1"/>
  <c r="AI59" i="8"/>
  <c r="AI58" i="8" s="1"/>
  <c r="AI57" i="8" s="1"/>
  <c r="AB14" i="8"/>
  <c r="Y55" i="12"/>
  <c r="AA55" i="12" s="1"/>
  <c r="AH55" i="11"/>
  <c r="Y43" i="8"/>
  <c r="AH14" i="7"/>
  <c r="AH12" i="7" s="1"/>
  <c r="AH10" i="7" s="1"/>
  <c r="AH8" i="7" s="1"/>
  <c r="AB50" i="9"/>
  <c r="AD49" i="8"/>
  <c r="AD43" i="8" s="1"/>
  <c r="AI50" i="8"/>
  <c r="AI49" i="8" s="1"/>
  <c r="AI43" i="8" s="1"/>
  <c r="Y50" i="9"/>
  <c r="AA49" i="8"/>
  <c r="AH50" i="8"/>
  <c r="AH49" i="8" s="1"/>
  <c r="AE45" i="9"/>
  <c r="AG44" i="8"/>
  <c r="AJ45" i="8"/>
  <c r="AJ44" i="8" s="1"/>
  <c r="Y45" i="9"/>
  <c r="AH45" i="8"/>
  <c r="AH44" i="8" s="1"/>
  <c r="AA44" i="8"/>
  <c r="BO14" i="7"/>
  <c r="AA14" i="7"/>
  <c r="AA12" i="7" s="1"/>
  <c r="AA41" i="8"/>
  <c r="Y35" i="8"/>
  <c r="BI15" i="7"/>
  <c r="AE38" i="9"/>
  <c r="AG35" i="8"/>
  <c r="AS24" i="8" s="1"/>
  <c r="AJ38" i="8"/>
  <c r="AJ35" i="8" s="1"/>
  <c r="AB33" i="12"/>
  <c r="AD33" i="12" s="1"/>
  <c r="AI33" i="11"/>
  <c r="AG23" i="8"/>
  <c r="AE20" i="8"/>
  <c r="AE16" i="8" s="1"/>
  <c r="AG14" i="7"/>
  <c r="AS23" i="7"/>
  <c r="AE17" i="10"/>
  <c r="AS22" i="9"/>
  <c r="AJ17" i="9"/>
  <c r="AB17" i="10"/>
  <c r="AI17" i="9"/>
  <c r="AI16" i="9" s="1"/>
  <c r="AD16" i="9"/>
  <c r="Y17" i="10"/>
  <c r="BO10" i="9"/>
  <c r="AH17" i="9"/>
  <c r="AH16" i="9" s="1"/>
  <c r="AA16" i="9"/>
  <c r="Y258" i="7"/>
  <c r="AX15" i="7"/>
  <c r="I113" i="8"/>
  <c r="G108" i="8"/>
  <c r="J116" i="10"/>
  <c r="L108" i="9"/>
  <c r="AS15" i="9" s="1"/>
  <c r="N116" i="9"/>
  <c r="N108" i="9" s="1"/>
  <c r="L96" i="8"/>
  <c r="J93" i="8"/>
  <c r="J85" i="8" s="1"/>
  <c r="J19" i="8" s="1"/>
  <c r="J17" i="8" s="1"/>
  <c r="J8" i="8" s="1"/>
  <c r="J121" i="8" s="1"/>
  <c r="J125" i="8" s="1"/>
  <c r="N85" i="7"/>
  <c r="N19" i="7" s="1"/>
  <c r="N17" i="7" s="1"/>
  <c r="L86" i="8"/>
  <c r="AS14" i="7"/>
  <c r="L17" i="7"/>
  <c r="L79" i="9"/>
  <c r="J78" i="9"/>
  <c r="L78" i="9" s="1"/>
  <c r="N78" i="9" s="1"/>
  <c r="I79" i="9"/>
  <c r="G78" i="9"/>
  <c r="I78" i="9" s="1"/>
  <c r="M78" i="9" s="1"/>
  <c r="G76" i="9"/>
  <c r="I75" i="8"/>
  <c r="AR9" i="8" s="1"/>
  <c r="AU9" i="8" s="1"/>
  <c r="M76" i="8"/>
  <c r="M75" i="8" s="1"/>
  <c r="I74" i="8"/>
  <c r="G72" i="8"/>
  <c r="A1" i="6"/>
  <c r="G70" i="9"/>
  <c r="M70" i="8"/>
  <c r="M69" i="8" s="1"/>
  <c r="I69" i="8"/>
  <c r="M63" i="7"/>
  <c r="M21" i="7" s="1"/>
  <c r="M19" i="7" s="1"/>
  <c r="M17" i="7" s="1"/>
  <c r="AE258" i="7" s="1"/>
  <c r="M123" i="7"/>
  <c r="I65" i="8"/>
  <c r="G63" i="8"/>
  <c r="G123" i="8"/>
  <c r="J62" i="9"/>
  <c r="L60" i="8"/>
  <c r="L21" i="8" s="1"/>
  <c r="N62" i="8"/>
  <c r="L123" i="8"/>
  <c r="G61" i="9"/>
  <c r="I60" i="8"/>
  <c r="M61" i="8"/>
  <c r="M60" i="8" s="1"/>
  <c r="BD17" i="8"/>
  <c r="AR17" i="6"/>
  <c r="AU17" i="6" s="1"/>
  <c r="AU14" i="6"/>
  <c r="G22" i="8"/>
  <c r="I23" i="8"/>
  <c r="I8" i="6"/>
  <c r="AA258" i="6"/>
  <c r="BO33" i="6" s="1"/>
  <c r="AR7" i="7"/>
  <c r="AU7" i="7" s="1"/>
  <c r="I21" i="7"/>
  <c r="I19" i="7" s="1"/>
  <c r="AE129" i="9"/>
  <c r="AG123" i="8"/>
  <c r="AG112" i="8" s="1"/>
  <c r="AG110" i="8" s="1"/>
  <c r="AS26" i="8" s="1"/>
  <c r="AJ129" i="8"/>
  <c r="AJ123" i="8" s="1"/>
  <c r="AJ112" i="8" s="1"/>
  <c r="AE160" i="14"/>
  <c r="AS7" i="16"/>
  <c r="AV7" i="16" s="1"/>
  <c r="AG46" i="14"/>
  <c r="AA23" i="13"/>
  <c r="Y20" i="13"/>
  <c r="AJ84" i="14"/>
  <c r="AE84" i="15"/>
  <c r="AH93" i="16"/>
  <c r="AA91" i="16"/>
  <c r="AE132" i="14"/>
  <c r="AG132" i="14" s="1"/>
  <c r="AJ132" i="13"/>
  <c r="B8" i="13"/>
  <c r="P123" i="12"/>
  <c r="K123" i="12"/>
  <c r="H123" i="12"/>
  <c r="Q123" i="12"/>
  <c r="Q121" i="12" s="1"/>
  <c r="Q125" i="12" s="1"/>
  <c r="D123" i="12"/>
  <c r="E123" i="12"/>
  <c r="BE22" i="12"/>
  <c r="C123" i="12"/>
  <c r="AD178" i="10"/>
  <c r="AB176" i="10"/>
  <c r="AB170" i="10" s="1"/>
  <c r="AG74" i="14"/>
  <c r="AH39" i="16"/>
  <c r="I47" i="13"/>
  <c r="G45" i="13"/>
  <c r="G111" i="13"/>
  <c r="M111" i="12"/>
  <c r="L25" i="20"/>
  <c r="L26" i="20" s="1"/>
  <c r="L57" i="20" s="1"/>
  <c r="M8" i="20" s="1"/>
  <c r="BE23" i="11"/>
  <c r="E121" i="11"/>
  <c r="E125" i="11" s="1"/>
  <c r="M13" i="15"/>
  <c r="J95" i="14"/>
  <c r="N95" i="13"/>
  <c r="AE54" i="15"/>
  <c r="AJ54" i="14"/>
  <c r="F13" i="16"/>
  <c r="AE134" i="13"/>
  <c r="AG134" i="13" s="1"/>
  <c r="AJ134" i="12"/>
  <c r="N71" i="16"/>
  <c r="AB168" i="15"/>
  <c r="AI168" i="14"/>
  <c r="AG172" i="13"/>
  <c r="AE174" i="14"/>
  <c r="AJ174" i="13"/>
  <c r="AJ172" i="13" s="1"/>
  <c r="AD127" i="10"/>
  <c r="L57" i="16"/>
  <c r="AG101" i="16"/>
  <c r="AA83" i="16"/>
  <c r="L75" i="16"/>
  <c r="AD44" i="16"/>
  <c r="Q121" i="11"/>
  <c r="Q125" i="11" s="1"/>
  <c r="AB92" i="10"/>
  <c r="AI92" i="9"/>
  <c r="AI91" i="9" s="1"/>
  <c r="AD91" i="9"/>
  <c r="AB116" i="10"/>
  <c r="AI116" i="9"/>
  <c r="L55" i="14"/>
  <c r="J54" i="14"/>
  <c r="BP24" i="9"/>
  <c r="BP22" i="9" s="1"/>
  <c r="BJ11" i="9" s="1"/>
  <c r="AR27" i="9"/>
  <c r="AG22" i="15"/>
  <c r="I51" i="15"/>
  <c r="G52" i="16"/>
  <c r="M52" i="15"/>
  <c r="M51" i="15" s="1"/>
  <c r="AD229" i="16"/>
  <c r="L105" i="9"/>
  <c r="J99" i="9"/>
  <c r="BL16" i="13"/>
  <c r="BL16" i="16" s="1"/>
  <c r="AZ7" i="16"/>
  <c r="G12" i="9"/>
  <c r="I10" i="8"/>
  <c r="M12" i="8"/>
  <c r="M10" i="8" s="1"/>
  <c r="AZ27" i="7"/>
  <c r="AJ247" i="15"/>
  <c r="AE247" i="16"/>
  <c r="AG247" i="16" s="1"/>
  <c r="AJ247" i="16" s="1"/>
  <c r="AE200" i="13"/>
  <c r="AG200" i="13" s="1"/>
  <c r="AJ200" i="12"/>
  <c r="AE181" i="10"/>
  <c r="AJ181" i="9"/>
  <c r="AC259" i="5"/>
  <c r="AE259" i="5"/>
  <c r="AD259" i="5"/>
  <c r="W259" i="5"/>
  <c r="Y259" i="5"/>
  <c r="T15" i="6"/>
  <c r="AG259" i="5"/>
  <c r="AB259" i="5"/>
  <c r="U259" i="5"/>
  <c r="V259" i="5"/>
  <c r="X259" i="5"/>
  <c r="AJ259" i="5"/>
  <c r="Z259" i="5"/>
  <c r="AI259" i="5"/>
  <c r="AF259" i="5"/>
  <c r="AH259" i="5"/>
  <c r="AA259" i="5"/>
  <c r="AJ215" i="12"/>
  <c r="AE215" i="13"/>
  <c r="AG215" i="13" s="1"/>
  <c r="I100" i="14"/>
  <c r="AJ238" i="12"/>
  <c r="AE238" i="13"/>
  <c r="AG238" i="13" s="1"/>
  <c r="AZ13" i="8"/>
  <c r="AJ229" i="11"/>
  <c r="AE229" i="12"/>
  <c r="AG229" i="12" s="1"/>
  <c r="AE190" i="13"/>
  <c r="AG190" i="13" s="1"/>
  <c r="AJ190" i="12"/>
  <c r="AE205" i="14"/>
  <c r="AG205" i="14" s="1"/>
  <c r="AJ205" i="13"/>
  <c r="AG58" i="16"/>
  <c r="AG57" i="16" s="1"/>
  <c r="AJ60" i="16"/>
  <c r="AJ58" i="16" s="1"/>
  <c r="AJ57" i="16" s="1"/>
  <c r="AE252" i="13"/>
  <c r="AG252" i="13" s="1"/>
  <c r="AJ252" i="12"/>
  <c r="AG236" i="10"/>
  <c r="AE244" i="10"/>
  <c r="AJ244" i="9"/>
  <c r="AJ256" i="12"/>
  <c r="AE256" i="13"/>
  <c r="AG256" i="13" s="1"/>
  <c r="AE240" i="13"/>
  <c r="AG240" i="13" s="1"/>
  <c r="AJ240" i="12"/>
  <c r="AJ254" i="12"/>
  <c r="AE254" i="13"/>
  <c r="AG254" i="13" s="1"/>
  <c r="AG228" i="10"/>
  <c r="AE227" i="10"/>
  <c r="AE186" i="10"/>
  <c r="AG185" i="9"/>
  <c r="AJ186" i="9"/>
  <c r="AJ185" i="9" s="1"/>
  <c r="L100" i="14"/>
  <c r="AJ246" i="12"/>
  <c r="AE246" i="13"/>
  <c r="AG246" i="13" s="1"/>
  <c r="AJ202" i="12"/>
  <c r="AE202" i="13"/>
  <c r="AG202" i="13" s="1"/>
  <c r="I30" i="9"/>
  <c r="G29" i="9"/>
  <c r="G28" i="9" s="1"/>
  <c r="AJ201" i="12"/>
  <c r="AE201" i="13"/>
  <c r="AG201" i="13" s="1"/>
  <c r="AJ225" i="12"/>
  <c r="AE225" i="13"/>
  <c r="AG225" i="13" s="1"/>
  <c r="AE255" i="13"/>
  <c r="AG255" i="13" s="1"/>
  <c r="AJ255" i="12"/>
  <c r="G90" i="12"/>
  <c r="I90" i="12" s="1"/>
  <c r="M90" i="11"/>
  <c r="AW13" i="11"/>
  <c r="AY13" i="11" s="1"/>
  <c r="AR13" i="11"/>
  <c r="AJ214" i="12"/>
  <c r="AE214" i="13"/>
  <c r="AG214" i="13" s="1"/>
  <c r="AJ230" i="15"/>
  <c r="AE230" i="16"/>
  <c r="AG230" i="16" s="1"/>
  <c r="G105" i="13"/>
  <c r="I105" i="13" s="1"/>
  <c r="AE199" i="13"/>
  <c r="AG199" i="13" s="1"/>
  <c r="AJ199" i="12"/>
  <c r="AE191" i="13"/>
  <c r="AG191" i="13" s="1"/>
  <c r="AJ191" i="12"/>
  <c r="AE204" i="10"/>
  <c r="AG203" i="9"/>
  <c r="AJ204" i="9"/>
  <c r="AJ203" i="9" s="1"/>
  <c r="AJ253" i="12"/>
  <c r="AE253" i="13"/>
  <c r="AG253" i="13" s="1"/>
  <c r="AJ249" i="15"/>
  <c r="AE249" i="16"/>
  <c r="AG249" i="16" s="1"/>
  <c r="AJ249" i="16" s="1"/>
  <c r="AE217" i="13"/>
  <c r="AG217" i="13" s="1"/>
  <c r="AJ217" i="12"/>
  <c r="AG180" i="13"/>
  <c r="AG223" i="10"/>
  <c r="AJ250" i="12"/>
  <c r="AE250" i="13"/>
  <c r="AG250" i="13" s="1"/>
  <c r="AE189" i="12"/>
  <c r="AG189" i="12" s="1"/>
  <c r="AJ189" i="11"/>
  <c r="AE212" i="10"/>
  <c r="AJ212" i="9"/>
  <c r="AE218" i="16"/>
  <c r="AG218" i="16" s="1"/>
  <c r="AJ218" i="16" s="1"/>
  <c r="AJ218" i="15"/>
  <c r="AE196" i="10"/>
  <c r="AJ196" i="9"/>
  <c r="B5" i="5"/>
  <c r="AA53" i="16"/>
  <c r="L90" i="9"/>
  <c r="I86" i="9"/>
  <c r="AJ216" i="12"/>
  <c r="AE216" i="13"/>
  <c r="AG216" i="13" s="1"/>
  <c r="AE187" i="10"/>
  <c r="AG188" i="10"/>
  <c r="AJ251" i="12"/>
  <c r="AE251" i="13"/>
  <c r="AG251" i="13" s="1"/>
  <c r="AJ239" i="12"/>
  <c r="AE239" i="13"/>
  <c r="AG239" i="13" s="1"/>
  <c r="I101" i="10"/>
  <c r="G99" i="10"/>
  <c r="AE237" i="12"/>
  <c r="AG237" i="12" s="1"/>
  <c r="AJ237" i="11"/>
  <c r="AE182" i="13"/>
  <c r="AG182" i="13" s="1"/>
  <c r="AJ182" i="12"/>
  <c r="AJ197" i="12"/>
  <c r="AE197" i="13"/>
  <c r="AG197" i="13" s="1"/>
  <c r="AE248" i="13"/>
  <c r="AG248" i="13" s="1"/>
  <c r="AJ248" i="12"/>
  <c r="G102" i="13"/>
  <c r="I102" i="13" s="1"/>
  <c r="M102" i="12"/>
  <c r="J13" i="13" l="1"/>
  <c r="L13" i="13" s="1"/>
  <c r="N13" i="12"/>
  <c r="J12" i="12"/>
  <c r="L12" i="12" s="1"/>
  <c r="N12" i="11"/>
  <c r="G82" i="14"/>
  <c r="I82" i="14" s="1"/>
  <c r="M82" i="13"/>
  <c r="D26" i="14"/>
  <c r="D25" i="13"/>
  <c r="F26" i="13"/>
  <c r="X230" i="16"/>
  <c r="AI230" i="16" s="1"/>
  <c r="W227" i="16"/>
  <c r="W220" i="16" s="1"/>
  <c r="AZ8" i="11"/>
  <c r="AU8" i="11"/>
  <c r="AY8" i="11"/>
  <c r="AV8" i="11"/>
  <c r="W115" i="14"/>
  <c r="W114" i="13"/>
  <c r="W112" i="13" s="1"/>
  <c r="X115" i="13"/>
  <c r="AI46" i="15"/>
  <c r="AH46" i="15"/>
  <c r="E25" i="16"/>
  <c r="F27" i="16"/>
  <c r="AJ51" i="12"/>
  <c r="AI51" i="12"/>
  <c r="AH51" i="12"/>
  <c r="X49" i="12"/>
  <c r="M58" i="15"/>
  <c r="N58" i="15"/>
  <c r="W239" i="16"/>
  <c r="W235" i="16" s="1"/>
  <c r="W235" i="15"/>
  <c r="AH189" i="16"/>
  <c r="AI189" i="16"/>
  <c r="AI187" i="16" s="1"/>
  <c r="X187" i="16"/>
  <c r="X185" i="16" s="1"/>
  <c r="AI160" i="12"/>
  <c r="AJ160" i="12"/>
  <c r="Y236" i="13"/>
  <c r="AH236" i="12"/>
  <c r="AH235" i="12" s="1"/>
  <c r="AA235" i="12"/>
  <c r="D33" i="16"/>
  <c r="D32" i="15"/>
  <c r="D28" i="15" s="1"/>
  <c r="F33" i="15"/>
  <c r="AJ230" i="16"/>
  <c r="BN13" i="10"/>
  <c r="L119" i="10"/>
  <c r="J117" i="10"/>
  <c r="BC7" i="13"/>
  <c r="AQ16" i="13"/>
  <c r="AW16" i="13" s="1"/>
  <c r="AY16" i="13" s="1"/>
  <c r="E76" i="14"/>
  <c r="E75" i="13"/>
  <c r="F76" i="13"/>
  <c r="D14" i="16"/>
  <c r="F14" i="15"/>
  <c r="D10" i="15"/>
  <c r="V94" i="14"/>
  <c r="X94" i="13"/>
  <c r="V91" i="13"/>
  <c r="V90" i="13" s="1"/>
  <c r="AJ159" i="12"/>
  <c r="X157" i="12"/>
  <c r="X155" i="12" s="1"/>
  <c r="BN17" i="12" s="1"/>
  <c r="AI159" i="12"/>
  <c r="AH159" i="12"/>
  <c r="V239" i="16"/>
  <c r="X239" i="15"/>
  <c r="V235" i="15"/>
  <c r="BC11" i="12"/>
  <c r="N26" i="12"/>
  <c r="N25" i="12" s="1"/>
  <c r="M26" i="12"/>
  <c r="M25" i="12" s="1"/>
  <c r="F25" i="12"/>
  <c r="AQ8" i="12" s="1"/>
  <c r="V245" i="14"/>
  <c r="X245" i="13"/>
  <c r="V243" i="13"/>
  <c r="V234" i="13" s="1"/>
  <c r="V232" i="13" s="1"/>
  <c r="AH115" i="12"/>
  <c r="AJ115" i="12"/>
  <c r="AI115" i="12"/>
  <c r="X114" i="12"/>
  <c r="X112" i="12" s="1"/>
  <c r="W44" i="16"/>
  <c r="X46" i="16"/>
  <c r="J50" i="13"/>
  <c r="N50" i="12"/>
  <c r="N48" i="12" s="1"/>
  <c r="L48" i="12"/>
  <c r="N27" i="15"/>
  <c r="M27" i="15"/>
  <c r="W197" i="16"/>
  <c r="W195" i="16" s="1"/>
  <c r="W194" i="16" s="1"/>
  <c r="W193" i="16" s="1"/>
  <c r="W195" i="15"/>
  <c r="W194" i="15" s="1"/>
  <c r="W193" i="15" s="1"/>
  <c r="W51" i="14"/>
  <c r="X51" i="13"/>
  <c r="W49" i="13"/>
  <c r="W43" i="13" s="1"/>
  <c r="W14" i="13" s="1"/>
  <c r="AB222" i="15"/>
  <c r="AD223" i="15"/>
  <c r="M14" i="14"/>
  <c r="F10" i="14"/>
  <c r="F58" i="16"/>
  <c r="E57" i="16"/>
  <c r="J66" i="12"/>
  <c r="L67" i="12"/>
  <c r="AB236" i="11"/>
  <c r="AD235" i="10"/>
  <c r="AD234" i="10" s="1"/>
  <c r="AD232" i="10" s="1"/>
  <c r="AI236" i="10"/>
  <c r="AI235" i="10" s="1"/>
  <c r="AI234" i="10" s="1"/>
  <c r="AI232" i="10" s="1"/>
  <c r="X91" i="12"/>
  <c r="AI94" i="12"/>
  <c r="AH94" i="12"/>
  <c r="AH91" i="12" s="1"/>
  <c r="AJ94" i="12"/>
  <c r="M33" i="14"/>
  <c r="M32" i="14" s="1"/>
  <c r="F32" i="14"/>
  <c r="F28" i="14" s="1"/>
  <c r="BC13" i="14"/>
  <c r="X12" i="10"/>
  <c r="AU30" i="9"/>
  <c r="I37" i="13"/>
  <c r="G35" i="13"/>
  <c r="V197" i="16"/>
  <c r="V195" i="15"/>
  <c r="V194" i="15" s="1"/>
  <c r="V193" i="15" s="1"/>
  <c r="X197" i="15"/>
  <c r="M46" i="12"/>
  <c r="M45" i="12" s="1"/>
  <c r="F45" i="12"/>
  <c r="BC15" i="12"/>
  <c r="N82" i="16"/>
  <c r="AI239" i="14"/>
  <c r="AH239" i="14"/>
  <c r="X235" i="14"/>
  <c r="F96" i="16"/>
  <c r="M96" i="16" s="1"/>
  <c r="E93" i="16"/>
  <c r="E85" i="16" s="1"/>
  <c r="AI197" i="14"/>
  <c r="AH197" i="14"/>
  <c r="X195" i="14"/>
  <c r="X194" i="14" s="1"/>
  <c r="L46" i="12"/>
  <c r="J45" i="12"/>
  <c r="AI245" i="12"/>
  <c r="AH245" i="12"/>
  <c r="X193" i="13"/>
  <c r="AQ28" i="13" s="1"/>
  <c r="BN28" i="13"/>
  <c r="AB228" i="13"/>
  <c r="AD227" i="12"/>
  <c r="AD220" i="12" s="1"/>
  <c r="AI228" i="12"/>
  <c r="AI227" i="12" s="1"/>
  <c r="AI220" i="12" s="1"/>
  <c r="D70" i="14"/>
  <c r="F70" i="13"/>
  <c r="F69" i="13" s="1"/>
  <c r="D69" i="13"/>
  <c r="G83" i="11"/>
  <c r="I81" i="10"/>
  <c r="M83" i="10"/>
  <c r="M81" i="10" s="1"/>
  <c r="E46" i="14"/>
  <c r="E45" i="13"/>
  <c r="F46" i="13"/>
  <c r="N76" i="12"/>
  <c r="N75" i="12" s="1"/>
  <c r="F75" i="12"/>
  <c r="AQ9" i="12" s="1"/>
  <c r="V160" i="14"/>
  <c r="X160" i="13"/>
  <c r="V157" i="13"/>
  <c r="V155" i="13" s="1"/>
  <c r="W159" i="14"/>
  <c r="W157" i="13"/>
  <c r="W155" i="13" s="1"/>
  <c r="W145" i="13" s="1"/>
  <c r="X159" i="13"/>
  <c r="V220" i="16"/>
  <c r="N81" i="15"/>
  <c r="N57" i="15"/>
  <c r="V145" i="12"/>
  <c r="V110" i="12" s="1"/>
  <c r="AG241" i="9"/>
  <c r="AE235" i="9"/>
  <c r="AG117" i="9"/>
  <c r="AE114" i="9"/>
  <c r="AG213" i="9"/>
  <c r="AE211" i="9"/>
  <c r="AE210" i="9" s="1"/>
  <c r="AE209" i="9" s="1"/>
  <c r="AE207" i="9" s="1"/>
  <c r="BP10" i="9"/>
  <c r="AI14" i="8"/>
  <c r="J15" i="12"/>
  <c r="L15" i="12" s="1"/>
  <c r="N15" i="11"/>
  <c r="W63" i="12"/>
  <c r="W12" i="12" s="1"/>
  <c r="W10" i="12" s="1"/>
  <c r="W8" i="12" s="1"/>
  <c r="W258" i="11"/>
  <c r="AB258" i="7"/>
  <c r="X10" i="10"/>
  <c r="X8" i="10" s="1"/>
  <c r="AI112" i="8"/>
  <c r="AI10" i="7"/>
  <c r="AI258" i="7" s="1"/>
  <c r="AX25" i="7"/>
  <c r="AZ25" i="7" s="1"/>
  <c r="AX17" i="7"/>
  <c r="AR31" i="6"/>
  <c r="AR32" i="6" s="1"/>
  <c r="AU35" i="6" s="1"/>
  <c r="G64" i="13"/>
  <c r="I64" i="13" s="1"/>
  <c r="BD14" i="12"/>
  <c r="M64" i="12"/>
  <c r="N61" i="12"/>
  <c r="F60" i="12"/>
  <c r="BC17" i="12"/>
  <c r="BC10" i="12" s="1"/>
  <c r="Y237" i="15"/>
  <c r="AH237" i="14"/>
  <c r="AB215" i="11"/>
  <c r="AD211" i="10"/>
  <c r="AD210" i="10" s="1"/>
  <c r="AD209" i="10" s="1"/>
  <c r="AI215" i="10"/>
  <c r="AI211" i="10" s="1"/>
  <c r="AI210" i="10" s="1"/>
  <c r="AI209" i="10" s="1"/>
  <c r="AI207" i="10" s="1"/>
  <c r="X105" i="12"/>
  <c r="X104" i="12" s="1"/>
  <c r="AH106" i="12"/>
  <c r="AH105" i="12" s="1"/>
  <c r="AH104" i="12" s="1"/>
  <c r="AJ106" i="12"/>
  <c r="AJ105" i="12" s="1"/>
  <c r="AJ104" i="12" s="1"/>
  <c r="N118" i="10"/>
  <c r="M118" i="10"/>
  <c r="M117" i="10" s="1"/>
  <c r="F117" i="10"/>
  <c r="W251" i="14"/>
  <c r="W243" i="13"/>
  <c r="W234" i="13" s="1"/>
  <c r="W232" i="13" s="1"/>
  <c r="X251" i="13"/>
  <c r="D67" i="16"/>
  <c r="D66" i="15"/>
  <c r="F67" i="15"/>
  <c r="AB37" i="15"/>
  <c r="AI37" i="14"/>
  <c r="AQ15" i="8"/>
  <c r="F8" i="8"/>
  <c r="X258" i="8"/>
  <c r="AV29" i="10"/>
  <c r="AU29" i="10"/>
  <c r="M73" i="12"/>
  <c r="N73" i="12"/>
  <c r="N72" i="12" s="1"/>
  <c r="F72" i="12"/>
  <c r="V87" i="16"/>
  <c r="V83" i="15"/>
  <c r="X87" i="15"/>
  <c r="V41" i="14"/>
  <c r="X41" i="13"/>
  <c r="V35" i="13"/>
  <c r="M56" i="12"/>
  <c r="N56" i="12"/>
  <c r="N54" i="12" s="1"/>
  <c r="F54" i="12"/>
  <c r="F17" i="9"/>
  <c r="AQ14" i="9"/>
  <c r="AI255" i="14"/>
  <c r="AH255" i="14"/>
  <c r="E68" i="14"/>
  <c r="E66" i="13"/>
  <c r="F68" i="13"/>
  <c r="G50" i="9"/>
  <c r="I48" i="8"/>
  <c r="M50" i="8"/>
  <c r="M48" i="8" s="1"/>
  <c r="AI150" i="12"/>
  <c r="AJ150" i="12"/>
  <c r="AJ149" i="12" s="1"/>
  <c r="AJ147" i="12" s="1"/>
  <c r="X149" i="12"/>
  <c r="X147" i="12" s="1"/>
  <c r="AH150" i="12"/>
  <c r="V76" i="14"/>
  <c r="X76" i="13"/>
  <c r="V69" i="13"/>
  <c r="V65" i="13" s="1"/>
  <c r="AD117" i="9"/>
  <c r="AB114" i="9"/>
  <c r="M89" i="15"/>
  <c r="N89" i="15"/>
  <c r="AQ12" i="15"/>
  <c r="AJ100" i="12"/>
  <c r="AH100" i="12"/>
  <c r="AH96" i="12" s="1"/>
  <c r="AH90" i="12" s="1"/>
  <c r="X96" i="12"/>
  <c r="X90" i="12" s="1"/>
  <c r="AI100" i="12"/>
  <c r="BC21" i="9"/>
  <c r="BC23" i="9" s="1"/>
  <c r="BH17" i="9" s="1"/>
  <c r="F108" i="9"/>
  <c r="AQ15" i="9" s="1"/>
  <c r="AW15" i="9" s="1"/>
  <c r="AY15" i="9" s="1"/>
  <c r="L37" i="10"/>
  <c r="J35" i="10"/>
  <c r="J28" i="10" s="1"/>
  <c r="V159" i="16"/>
  <c r="AI53" i="16"/>
  <c r="AJ53" i="16"/>
  <c r="BN24" i="11"/>
  <c r="BN22" i="11" s="1"/>
  <c r="BH11" i="11" s="1"/>
  <c r="AQ27" i="11"/>
  <c r="AV15" i="7"/>
  <c r="AW15" i="7"/>
  <c r="AY15" i="7" s="1"/>
  <c r="AY17" i="7" s="1"/>
  <c r="AQ17" i="7"/>
  <c r="BC18" i="11"/>
  <c r="BC9" i="11" s="1"/>
  <c r="F99" i="11"/>
  <c r="M105" i="11"/>
  <c r="X84" i="16"/>
  <c r="W83" i="16"/>
  <c r="D79" i="16"/>
  <c r="F79" i="15"/>
  <c r="D78" i="15"/>
  <c r="F78" i="15" s="1"/>
  <c r="AJ75" i="12"/>
  <c r="AI75" i="12"/>
  <c r="X69" i="12"/>
  <c r="X65" i="12" s="1"/>
  <c r="X63" i="12" s="1"/>
  <c r="AH75" i="12"/>
  <c r="G55" i="10"/>
  <c r="I54" i="9"/>
  <c r="M55" i="9"/>
  <c r="M54" i="9" s="1"/>
  <c r="D94" i="14"/>
  <c r="F94" i="13"/>
  <c r="D93" i="13"/>
  <c r="D85" i="13" s="1"/>
  <c r="L70" i="10"/>
  <c r="J69" i="10"/>
  <c r="AD22" i="11"/>
  <c r="AB20" i="11"/>
  <c r="AB39" i="10"/>
  <c r="AD35" i="9"/>
  <c r="AI39" i="9"/>
  <c r="AI35" i="9" s="1"/>
  <c r="Y101" i="14"/>
  <c r="AA96" i="13"/>
  <c r="AA90" i="13" s="1"/>
  <c r="AH101" i="13"/>
  <c r="AI41" i="12"/>
  <c r="BN31" i="12"/>
  <c r="BH15" i="12" s="1"/>
  <c r="AJ41" i="12"/>
  <c r="X35" i="12"/>
  <c r="AI107" i="16"/>
  <c r="AH107" i="16"/>
  <c r="AJ107" i="16"/>
  <c r="AH173" i="15"/>
  <c r="AH172" i="15" s="1"/>
  <c r="AJ173" i="15"/>
  <c r="AI173" i="15"/>
  <c r="AI172" i="15" s="1"/>
  <c r="X172" i="15"/>
  <c r="V24" i="15"/>
  <c r="X24" i="14"/>
  <c r="V20" i="14"/>
  <c r="V16" i="14" s="1"/>
  <c r="AH181" i="12"/>
  <c r="AI181" i="12"/>
  <c r="X176" i="12"/>
  <c r="X170" i="12" s="1"/>
  <c r="AJ76" i="12"/>
  <c r="AI76" i="12"/>
  <c r="AH76" i="12"/>
  <c r="BN27" i="11"/>
  <c r="BN25" i="11" s="1"/>
  <c r="BH12" i="11" s="1"/>
  <c r="X207" i="11"/>
  <c r="AQ29" i="11" s="1"/>
  <c r="V45" i="14"/>
  <c r="X45" i="13"/>
  <c r="V44" i="13"/>
  <c r="V43" i="13" s="1"/>
  <c r="V14" i="13" s="1"/>
  <c r="AI95" i="16"/>
  <c r="AH95" i="16"/>
  <c r="AJ95" i="16"/>
  <c r="Y230" i="11"/>
  <c r="AA227" i="10"/>
  <c r="AA220" i="10" s="1"/>
  <c r="BO30" i="10" s="1"/>
  <c r="AH230" i="10"/>
  <c r="AH227" i="10" s="1"/>
  <c r="AH220" i="10" s="1"/>
  <c r="W217" i="14"/>
  <c r="W211" i="13"/>
  <c r="W210" i="13" s="1"/>
  <c r="W209" i="13" s="1"/>
  <c r="W207" i="13" s="1"/>
  <c r="X217" i="13"/>
  <c r="AJ217" i="13" s="1"/>
  <c r="Y190" i="14"/>
  <c r="AA187" i="13"/>
  <c r="AA185" i="13" s="1"/>
  <c r="AH190" i="13"/>
  <c r="AH187" i="13" s="1"/>
  <c r="AH185" i="13" s="1"/>
  <c r="F121" i="7"/>
  <c r="F125" i="7" s="1"/>
  <c r="A1" i="7"/>
  <c r="BC19" i="11"/>
  <c r="F85" i="11"/>
  <c r="G59" i="10"/>
  <c r="I57" i="9"/>
  <c r="M59" i="9"/>
  <c r="M57" i="9" s="1"/>
  <c r="AE14" i="8"/>
  <c r="AE12" i="8" s="1"/>
  <c r="AE10" i="8" s="1"/>
  <c r="AE8" i="8" s="1"/>
  <c r="F123" i="12"/>
  <c r="AZ15" i="7"/>
  <c r="AZ17" i="7" s="1"/>
  <c r="BN8" i="10"/>
  <c r="BN7" i="10" s="1"/>
  <c r="BN32" i="10" s="1"/>
  <c r="BH8" i="10"/>
  <c r="BH7" i="10" s="1"/>
  <c r="BH16" i="10" s="1"/>
  <c r="AH84" i="15"/>
  <c r="X83" i="15"/>
  <c r="D61" i="14"/>
  <c r="D60" i="13"/>
  <c r="F61" i="13"/>
  <c r="AI225" i="16"/>
  <c r="X222" i="16"/>
  <c r="AH225" i="16"/>
  <c r="V106" i="14"/>
  <c r="V105" i="13"/>
  <c r="V104" i="13" s="1"/>
  <c r="X106" i="13"/>
  <c r="AI143" i="16"/>
  <c r="AH143" i="16"/>
  <c r="D118" i="12"/>
  <c r="F118" i="11"/>
  <c r="D117" i="11"/>
  <c r="D108" i="11" s="1"/>
  <c r="M94" i="12"/>
  <c r="N94" i="12"/>
  <c r="F93" i="12"/>
  <c r="AZ12" i="14"/>
  <c r="AU12" i="14"/>
  <c r="AV12" i="14"/>
  <c r="AY12" i="14"/>
  <c r="AH251" i="12"/>
  <c r="AI251" i="12"/>
  <c r="AI243" i="12" s="1"/>
  <c r="X243" i="12"/>
  <c r="X234" i="12" s="1"/>
  <c r="X232" i="12" s="1"/>
  <c r="AA212" i="10"/>
  <c r="Y211" i="10"/>
  <c r="Y210" i="10" s="1"/>
  <c r="Y209" i="10" s="1"/>
  <c r="Y207" i="10" s="1"/>
  <c r="M67" i="14"/>
  <c r="I95" i="9"/>
  <c r="G93" i="9"/>
  <c r="G85" i="9" s="1"/>
  <c r="D73" i="14"/>
  <c r="D72" i="13"/>
  <c r="F73" i="13"/>
  <c r="AJ87" i="14"/>
  <c r="AI87" i="14"/>
  <c r="AH87" i="14"/>
  <c r="AH83" i="14" s="1"/>
  <c r="Y224" i="15"/>
  <c r="AA222" i="14"/>
  <c r="AH224" i="14"/>
  <c r="AH222" i="14" s="1"/>
  <c r="E56" i="14"/>
  <c r="E54" i="13"/>
  <c r="F56" i="13"/>
  <c r="F123" i="13" s="1"/>
  <c r="F17" i="10"/>
  <c r="AQ14" i="10"/>
  <c r="AG143" i="10"/>
  <c r="AE141" i="10"/>
  <c r="N68" i="12"/>
  <c r="F66" i="12"/>
  <c r="L33" i="15"/>
  <c r="J32" i="15"/>
  <c r="AJ24" i="13"/>
  <c r="AI24" i="13"/>
  <c r="AH24" i="13"/>
  <c r="X20" i="13"/>
  <c r="X16" i="13" s="1"/>
  <c r="V150" i="14"/>
  <c r="V149" i="13"/>
  <c r="V147" i="13" s="1"/>
  <c r="V145" i="13" s="1"/>
  <c r="V110" i="13" s="1"/>
  <c r="X150" i="13"/>
  <c r="AJ135" i="13"/>
  <c r="AE135" i="14"/>
  <c r="AG135" i="14" s="1"/>
  <c r="AI45" i="12"/>
  <c r="AI44" i="12" s="1"/>
  <c r="X44" i="12"/>
  <c r="X43" i="12" s="1"/>
  <c r="AQ24" i="11"/>
  <c r="BN14" i="11"/>
  <c r="BH9" i="11" s="1"/>
  <c r="W100" i="14"/>
  <c r="W96" i="13"/>
  <c r="W90" i="13" s="1"/>
  <c r="X100" i="13"/>
  <c r="AD173" i="16"/>
  <c r="AB172" i="16"/>
  <c r="L53" i="10"/>
  <c r="J51" i="10"/>
  <c r="AH217" i="12"/>
  <c r="AI217" i="12"/>
  <c r="X145" i="11"/>
  <c r="X110" i="11" s="1"/>
  <c r="AQ26" i="11" s="1"/>
  <c r="BN16" i="11"/>
  <c r="BN15" i="11" s="1"/>
  <c r="BH10" i="11" s="1"/>
  <c r="V213" i="14"/>
  <c r="X213" i="13"/>
  <c r="V211" i="13"/>
  <c r="V210" i="13" s="1"/>
  <c r="V209" i="13" s="1"/>
  <c r="V207" i="13" s="1"/>
  <c r="BN13" i="11"/>
  <c r="BH8" i="11" s="1"/>
  <c r="AQ25" i="11"/>
  <c r="D105" i="13"/>
  <c r="F105" i="12"/>
  <c r="D99" i="12"/>
  <c r="D17" i="12" s="1"/>
  <c r="AG149" i="14"/>
  <c r="AG147" i="14" s="1"/>
  <c r="AE152" i="15"/>
  <c r="AJ152" i="14"/>
  <c r="I68" i="9"/>
  <c r="G66" i="9"/>
  <c r="AU15" i="7"/>
  <c r="X63" i="11"/>
  <c r="X12" i="11" s="1"/>
  <c r="V63" i="12"/>
  <c r="V258" i="10"/>
  <c r="D8" i="10"/>
  <c r="D121" i="10" s="1"/>
  <c r="D125" i="10" s="1"/>
  <c r="W75" i="14"/>
  <c r="W69" i="13"/>
  <c r="W65" i="13" s="1"/>
  <c r="X75" i="13"/>
  <c r="AA249" i="10"/>
  <c r="Y243" i="10"/>
  <c r="Y234" i="10" s="1"/>
  <c r="Y232" i="10" s="1"/>
  <c r="AG99" i="9"/>
  <c r="AE96" i="9"/>
  <c r="AE116" i="11"/>
  <c r="AJ116" i="10"/>
  <c r="L14" i="9"/>
  <c r="J10" i="9"/>
  <c r="AA207" i="9"/>
  <c r="BO27" i="9"/>
  <c r="AG97" i="10"/>
  <c r="D56" i="16"/>
  <c r="D54" i="15"/>
  <c r="I85" i="8"/>
  <c r="BD19" i="8"/>
  <c r="AE224" i="9"/>
  <c r="AG222" i="8"/>
  <c r="AG220" i="8" s="1"/>
  <c r="AS30" i="8" s="1"/>
  <c r="AX30" i="8" s="1"/>
  <c r="AZ30" i="8" s="1"/>
  <c r="AJ224" i="8"/>
  <c r="AJ222" i="8" s="1"/>
  <c r="AJ220" i="8" s="1"/>
  <c r="AH99" i="16"/>
  <c r="AI99" i="16"/>
  <c r="E105" i="14"/>
  <c r="E99" i="13"/>
  <c r="BN29" i="11"/>
  <c r="BH13" i="11" s="1"/>
  <c r="AQ30" i="11"/>
  <c r="V255" i="16"/>
  <c r="X255" i="15"/>
  <c r="AE52" i="9"/>
  <c r="AG49" i="8"/>
  <c r="AG43" i="8" s="1"/>
  <c r="AJ52" i="8"/>
  <c r="AJ49" i="8" s="1"/>
  <c r="AJ43" i="8" s="1"/>
  <c r="AE106" i="15"/>
  <c r="AG105" i="14"/>
  <c r="AG104" i="14" s="1"/>
  <c r="V172" i="16"/>
  <c r="V170" i="16" s="1"/>
  <c r="X173" i="16"/>
  <c r="W181" i="14"/>
  <c r="W176" i="13"/>
  <c r="W170" i="13" s="1"/>
  <c r="X181" i="13"/>
  <c r="AQ12" i="16"/>
  <c r="N89" i="16"/>
  <c r="M89" i="16"/>
  <c r="V258" i="11"/>
  <c r="D8" i="11"/>
  <c r="D121" i="11" s="1"/>
  <c r="D125" i="11" s="1"/>
  <c r="AE86" i="11"/>
  <c r="AG83" i="10"/>
  <c r="AJ86" i="10"/>
  <c r="AJ83" i="10" s="1"/>
  <c r="L49" i="15"/>
  <c r="AH213" i="12"/>
  <c r="AI213" i="12"/>
  <c r="X211" i="12"/>
  <c r="X210" i="12" s="1"/>
  <c r="X209" i="12" s="1"/>
  <c r="V116" i="16"/>
  <c r="V114" i="15"/>
  <c r="V112" i="15" s="1"/>
  <c r="X116" i="15"/>
  <c r="BC22" i="12"/>
  <c r="AA43" i="8"/>
  <c r="BO13" i="8" s="1"/>
  <c r="AW25" i="7"/>
  <c r="AY25" i="7" s="1"/>
  <c r="F21" i="11"/>
  <c r="F19" i="11" s="1"/>
  <c r="E17" i="12"/>
  <c r="V14" i="12"/>
  <c r="AG12" i="7"/>
  <c r="AG10" i="7" s="1"/>
  <c r="AG8" i="7" s="1"/>
  <c r="AG245" i="9"/>
  <c r="AE243" i="9"/>
  <c r="AE234" i="9" s="1"/>
  <c r="AE232" i="9" s="1"/>
  <c r="AB204" i="9"/>
  <c r="AD203" i="8"/>
  <c r="AD194" i="8" s="1"/>
  <c r="AI204" i="8"/>
  <c r="AI203" i="8" s="1"/>
  <c r="AI194" i="8" s="1"/>
  <c r="AI193" i="8" s="1"/>
  <c r="AW28" i="7"/>
  <c r="AY28" i="7" s="1"/>
  <c r="AU28" i="7"/>
  <c r="AE198" i="9"/>
  <c r="AJ198" i="8"/>
  <c r="AJ195" i="8" s="1"/>
  <c r="AJ194" i="8" s="1"/>
  <c r="AJ193" i="8" s="1"/>
  <c r="AG195" i="8"/>
  <c r="AG194" i="8" s="1"/>
  <c r="AG193" i="8" s="1"/>
  <c r="AS28" i="8" s="1"/>
  <c r="AB198" i="12"/>
  <c r="AI198" i="11"/>
  <c r="AI195" i="11" s="1"/>
  <c r="AD195" i="11"/>
  <c r="AA196" i="9"/>
  <c r="Y195" i="9"/>
  <c r="Y194" i="9" s="1"/>
  <c r="Y193" i="9" s="1"/>
  <c r="AA193" i="8"/>
  <c r="BO28" i="8"/>
  <c r="BO25" i="8" s="1"/>
  <c r="BI12" i="8" s="1"/>
  <c r="AD191" i="11"/>
  <c r="AB185" i="11"/>
  <c r="AG183" i="9"/>
  <c r="AE176" i="9"/>
  <c r="AE170" i="9" s="1"/>
  <c r="AW31" i="5"/>
  <c r="AW32" i="5" s="1"/>
  <c r="Y177" i="9"/>
  <c r="AA176" i="8"/>
  <c r="AA170" i="8" s="1"/>
  <c r="BO24" i="8" s="1"/>
  <c r="BO23" i="8"/>
  <c r="AH177" i="8"/>
  <c r="AH176" i="8" s="1"/>
  <c r="AH170" i="8" s="1"/>
  <c r="AW27" i="9"/>
  <c r="AY27" i="9" s="1"/>
  <c r="AU27" i="9"/>
  <c r="AE168" i="13"/>
  <c r="AG168" i="13" s="1"/>
  <c r="AJ168" i="12"/>
  <c r="AJ110" i="8"/>
  <c r="AQ32" i="5"/>
  <c r="AU32" i="5" s="1"/>
  <c r="AV31" i="5"/>
  <c r="AU31" i="5"/>
  <c r="AG162" i="9"/>
  <c r="AE157" i="9"/>
  <c r="AE155" i="9" s="1"/>
  <c r="AE145" i="9" s="1"/>
  <c r="AD162" i="12"/>
  <c r="AB157" i="12"/>
  <c r="AB155" i="12" s="1"/>
  <c r="AH155" i="8"/>
  <c r="AH145" i="8" s="1"/>
  <c r="AH110" i="8" s="1"/>
  <c r="AQ32" i="6"/>
  <c r="AA160" i="9"/>
  <c r="Y157" i="9"/>
  <c r="Y155" i="9" s="1"/>
  <c r="AA156" i="9"/>
  <c r="AA10" i="7"/>
  <c r="AA8" i="7" s="1"/>
  <c r="U1" i="7" s="1"/>
  <c r="N8" i="7"/>
  <c r="N121" i="7" s="1"/>
  <c r="N125" i="7" s="1"/>
  <c r="AF258" i="7"/>
  <c r="BQ33" i="7" s="1"/>
  <c r="AI237" i="16"/>
  <c r="AH228" i="16"/>
  <c r="X227" i="16"/>
  <c r="X220" i="16" s="1"/>
  <c r="AJ39" i="16"/>
  <c r="N83" i="16"/>
  <c r="N81" i="16" s="1"/>
  <c r="F81" i="16"/>
  <c r="M119" i="16"/>
  <c r="AI60" i="16"/>
  <c r="X58" i="16"/>
  <c r="X57" i="16" s="1"/>
  <c r="AH60" i="16"/>
  <c r="AH58" i="16" s="1"/>
  <c r="AH57" i="16" s="1"/>
  <c r="M97" i="16"/>
  <c r="N97" i="16"/>
  <c r="AI74" i="16"/>
  <c r="AH74" i="16"/>
  <c r="AH127" i="16"/>
  <c r="AJ127" i="16"/>
  <c r="X123" i="16"/>
  <c r="Y199" i="15"/>
  <c r="AH199" i="14"/>
  <c r="F63" i="16"/>
  <c r="N65" i="16"/>
  <c r="N63" i="16" s="1"/>
  <c r="BN23" i="16"/>
  <c r="C47" i="20" s="1"/>
  <c r="AI177" i="16"/>
  <c r="AJ177" i="16"/>
  <c r="AA246" i="14"/>
  <c r="AH214" i="16"/>
  <c r="AI214" i="16"/>
  <c r="AI133" i="16"/>
  <c r="AH133" i="16"/>
  <c r="AJ133" i="16"/>
  <c r="AI21" i="16"/>
  <c r="AH21" i="16"/>
  <c r="AJ21" i="16"/>
  <c r="M71" i="16"/>
  <c r="F51" i="16"/>
  <c r="M53" i="16"/>
  <c r="C18" i="20"/>
  <c r="AI165" i="16"/>
  <c r="AJ165" i="16"/>
  <c r="AH165" i="16"/>
  <c r="M92" i="16"/>
  <c r="N92" i="16"/>
  <c r="F57" i="16"/>
  <c r="M77" i="16"/>
  <c r="N77" i="16"/>
  <c r="AB141" i="14"/>
  <c r="AD142" i="14"/>
  <c r="AH142" i="16"/>
  <c r="X141" i="16"/>
  <c r="BN20" i="16" s="1"/>
  <c r="C44" i="20" s="1"/>
  <c r="AJ142" i="16"/>
  <c r="BN30" i="15"/>
  <c r="BH14" i="15" s="1"/>
  <c r="AW26" i="7"/>
  <c r="AY26" i="7" s="1"/>
  <c r="AU26" i="7"/>
  <c r="AB152" i="9"/>
  <c r="AD149" i="8"/>
  <c r="AD147" i="8" s="1"/>
  <c r="AI152" i="8"/>
  <c r="AI149" i="8" s="1"/>
  <c r="AI147" i="8" s="1"/>
  <c r="AI145" i="8" s="1"/>
  <c r="AD10" i="7"/>
  <c r="AD8" i="7" s="1"/>
  <c r="AW31" i="6"/>
  <c r="AW32" i="6" s="1"/>
  <c r="AX31" i="6"/>
  <c r="AX32" i="6" s="1"/>
  <c r="AA151" i="9"/>
  <c r="Y149" i="9"/>
  <c r="Y147" i="9" s="1"/>
  <c r="AA145" i="8"/>
  <c r="BO16" i="8"/>
  <c r="AB134" i="14"/>
  <c r="AD134" i="14" s="1"/>
  <c r="AI134" i="13"/>
  <c r="Y134" i="14"/>
  <c r="AA134" i="14" s="1"/>
  <c r="AH134" i="13"/>
  <c r="AE126" i="13"/>
  <c r="AG126" i="13" s="1"/>
  <c r="AJ126" i="12"/>
  <c r="AB126" i="13"/>
  <c r="AD126" i="13" s="1"/>
  <c r="BP19" i="12"/>
  <c r="AI126" i="12"/>
  <c r="AA126" i="9"/>
  <c r="Y123" i="9"/>
  <c r="Y112" i="9" s="1"/>
  <c r="BO17" i="8"/>
  <c r="BO15" i="8" s="1"/>
  <c r="BI10" i="8" s="1"/>
  <c r="AA112" i="8"/>
  <c r="AJ124" i="13"/>
  <c r="AE124" i="14"/>
  <c r="AG124" i="14" s="1"/>
  <c r="AJ124" i="14" s="1"/>
  <c r="AX26" i="8"/>
  <c r="AZ26" i="8" s="1"/>
  <c r="AV26" i="8"/>
  <c r="AD124" i="9"/>
  <c r="AB123" i="9"/>
  <c r="BP17" i="8"/>
  <c r="AD112" i="8"/>
  <c r="AX31" i="7"/>
  <c r="AZ31" i="7" s="1"/>
  <c r="AW31" i="7"/>
  <c r="AY31" i="7" s="1"/>
  <c r="AA116" i="11"/>
  <c r="Y114" i="11"/>
  <c r="AB106" i="9"/>
  <c r="AD105" i="8"/>
  <c r="AD104" i="8" s="1"/>
  <c r="AI106" i="8"/>
  <c r="AI105" i="8" s="1"/>
  <c r="AI104" i="8" s="1"/>
  <c r="AB100" i="15"/>
  <c r="AD100" i="15" s="1"/>
  <c r="AI98" i="14"/>
  <c r="AB98" i="15"/>
  <c r="AD98" i="15" s="1"/>
  <c r="AB97" i="9"/>
  <c r="AD96" i="8"/>
  <c r="AD90" i="8" s="1"/>
  <c r="AI97" i="8"/>
  <c r="AI96" i="8" s="1"/>
  <c r="AI90" i="8" s="1"/>
  <c r="AJ8" i="7"/>
  <c r="AE92" i="9"/>
  <c r="AG91" i="8"/>
  <c r="AG90" i="8" s="1"/>
  <c r="AG63" i="8" s="1"/>
  <c r="AJ92" i="8"/>
  <c r="AJ91" i="8" s="1"/>
  <c r="AJ90" i="8" s="1"/>
  <c r="AJ63" i="8" s="1"/>
  <c r="BJ7" i="7"/>
  <c r="BJ16" i="7" s="1"/>
  <c r="AI86" i="15"/>
  <c r="AB86" i="16"/>
  <c r="AD86" i="16" s="1"/>
  <c r="AI86" i="16" s="1"/>
  <c r="AW24" i="7"/>
  <c r="AY24" i="7" s="1"/>
  <c r="AU24" i="7"/>
  <c r="AB84" i="9"/>
  <c r="AD83" i="8"/>
  <c r="AI84" i="8"/>
  <c r="AI83" i="8" s="1"/>
  <c r="AB63" i="8"/>
  <c r="AB12" i="8" s="1"/>
  <c r="AB10" i="8" s="1"/>
  <c r="AB8" i="8" s="1"/>
  <c r="AE81" i="14"/>
  <c r="AG81" i="14" s="1"/>
  <c r="AJ81" i="13"/>
  <c r="BP8" i="7"/>
  <c r="BP7" i="7" s="1"/>
  <c r="BP32" i="7" s="1"/>
  <c r="Y81" i="15"/>
  <c r="AA81" i="15" s="1"/>
  <c r="AH81" i="14"/>
  <c r="AB79" i="9"/>
  <c r="AD69" i="8"/>
  <c r="AD65" i="8" s="1"/>
  <c r="AI79" i="8"/>
  <c r="AI69" i="8" s="1"/>
  <c r="AI65" i="8" s="1"/>
  <c r="AW23" i="7"/>
  <c r="AY23" i="7" s="1"/>
  <c r="AU23" i="7"/>
  <c r="AG77" i="9"/>
  <c r="AE69" i="9"/>
  <c r="AE65" i="9" s="1"/>
  <c r="AA70" i="9"/>
  <c r="Y69" i="9"/>
  <c r="Y65" i="9" s="1"/>
  <c r="Y63" i="9" s="1"/>
  <c r="AA63" i="8"/>
  <c r="BO12" i="8"/>
  <c r="BO9" i="8" s="1"/>
  <c r="AG67" i="10"/>
  <c r="AB67" i="13"/>
  <c r="AD67" i="13" s="1"/>
  <c r="BP11" i="12"/>
  <c r="AI67" i="12"/>
  <c r="AB66" i="10"/>
  <c r="AI66" i="9"/>
  <c r="AD59" i="9"/>
  <c r="AB58" i="9"/>
  <c r="AB57" i="9" s="1"/>
  <c r="Y55" i="13"/>
  <c r="AA55" i="13" s="1"/>
  <c r="AH55" i="12"/>
  <c r="Y14" i="8"/>
  <c r="Y12" i="8" s="1"/>
  <c r="Y10" i="8" s="1"/>
  <c r="Y8" i="8" s="1"/>
  <c r="AH258" i="7"/>
  <c r="AH43" i="8"/>
  <c r="AD14" i="8"/>
  <c r="AD50" i="9"/>
  <c r="AB49" i="9"/>
  <c r="AB43" i="9" s="1"/>
  <c r="AA50" i="9"/>
  <c r="Y49" i="9"/>
  <c r="AG45" i="9"/>
  <c r="AE44" i="9"/>
  <c r="AA45" i="9"/>
  <c r="Y44" i="9"/>
  <c r="BI9" i="7"/>
  <c r="BI7" i="7" s="1"/>
  <c r="BI16" i="7" s="1"/>
  <c r="BO8" i="7"/>
  <c r="BO7" i="7" s="1"/>
  <c r="BO32" i="7" s="1"/>
  <c r="Y41" i="9"/>
  <c r="AA35" i="8"/>
  <c r="BO31" i="8"/>
  <c r="BI15" i="8" s="1"/>
  <c r="AH41" i="8"/>
  <c r="AH35" i="8" s="1"/>
  <c r="AG38" i="9"/>
  <c r="AE35" i="9"/>
  <c r="AX24" i="8"/>
  <c r="AZ24" i="8" s="1"/>
  <c r="AV24" i="8"/>
  <c r="AB33" i="13"/>
  <c r="AD33" i="13" s="1"/>
  <c r="AI33" i="12"/>
  <c r="AE23" i="9"/>
  <c r="AG20" i="8"/>
  <c r="AG16" i="8" s="1"/>
  <c r="AJ23" i="8"/>
  <c r="AJ20" i="8" s="1"/>
  <c r="AJ16" i="8" s="1"/>
  <c r="AV23" i="7"/>
  <c r="AX23" i="7"/>
  <c r="AZ23" i="7" s="1"/>
  <c r="AG17" i="10"/>
  <c r="AX22" i="9"/>
  <c r="AZ22" i="9" s="1"/>
  <c r="AV22" i="9"/>
  <c r="AD17" i="10"/>
  <c r="AB16" i="10"/>
  <c r="AW22" i="9"/>
  <c r="AY22" i="9" s="1"/>
  <c r="AU22" i="9"/>
  <c r="AA17" i="10"/>
  <c r="Y16" i="10"/>
  <c r="G113" i="9"/>
  <c r="BD20" i="8"/>
  <c r="I108" i="8"/>
  <c r="AR15" i="8" s="1"/>
  <c r="M113" i="8"/>
  <c r="M108" i="8" s="1"/>
  <c r="AW17" i="7"/>
  <c r="L116" i="10"/>
  <c r="J108" i="10"/>
  <c r="J96" i="9"/>
  <c r="N96" i="8"/>
  <c r="N93" i="8" s="1"/>
  <c r="L93" i="8"/>
  <c r="L85" i="8" s="1"/>
  <c r="L19" i="8" s="1"/>
  <c r="AS14" i="8" s="1"/>
  <c r="AV14" i="8" s="1"/>
  <c r="AS17" i="7"/>
  <c r="AV14" i="7"/>
  <c r="J86" i="9"/>
  <c r="N86" i="8"/>
  <c r="L8" i="7"/>
  <c r="L121" i="7" s="1"/>
  <c r="L125" i="7" s="1"/>
  <c r="J79" i="10"/>
  <c r="N79" i="9"/>
  <c r="G79" i="10"/>
  <c r="M79" i="9"/>
  <c r="I76" i="9"/>
  <c r="AW9" i="9" s="1"/>
  <c r="AY9" i="9" s="1"/>
  <c r="G75" i="9"/>
  <c r="G74" i="9"/>
  <c r="I72" i="8"/>
  <c r="M74" i="8"/>
  <c r="M72" i="8" s="1"/>
  <c r="G21" i="8"/>
  <c r="G19" i="8" s="1"/>
  <c r="G17" i="8" s="1"/>
  <c r="I70" i="9"/>
  <c r="G69" i="9"/>
  <c r="M8" i="7"/>
  <c r="M121" i="7" s="1"/>
  <c r="M125" i="7" s="1"/>
  <c r="G65" i="9"/>
  <c r="M65" i="8"/>
  <c r="I63" i="8"/>
  <c r="I123" i="8"/>
  <c r="BD22" i="8"/>
  <c r="AW14" i="8"/>
  <c r="AY14" i="8" s="1"/>
  <c r="L62" i="9"/>
  <c r="J60" i="9"/>
  <c r="J21" i="9" s="1"/>
  <c r="J123" i="9"/>
  <c r="N60" i="8"/>
  <c r="N21" i="8" s="1"/>
  <c r="N123" i="8"/>
  <c r="I61" i="9"/>
  <c r="G60" i="9"/>
  <c r="AZ31" i="5"/>
  <c r="AZ32" i="5" s="1"/>
  <c r="BD12" i="8"/>
  <c r="BD10" i="8" s="1"/>
  <c r="BD9" i="8" s="1"/>
  <c r="I22" i="8"/>
  <c r="G23" i="9"/>
  <c r="M23" i="8"/>
  <c r="M22" i="8" s="1"/>
  <c r="AW7" i="8"/>
  <c r="AY7" i="8" s="1"/>
  <c r="AR14" i="7"/>
  <c r="I17" i="7"/>
  <c r="I121" i="6"/>
  <c r="J5" i="6"/>
  <c r="K1" i="6"/>
  <c r="L99" i="9"/>
  <c r="J105" i="10"/>
  <c r="N105" i="9"/>
  <c r="N99" i="9" s="1"/>
  <c r="J55" i="15"/>
  <c r="L54" i="14"/>
  <c r="N55" i="14"/>
  <c r="K121" i="12"/>
  <c r="K125" i="12" s="1"/>
  <c r="G51" i="16"/>
  <c r="I52" i="16"/>
  <c r="AD116" i="10"/>
  <c r="AB127" i="11"/>
  <c r="AI127" i="10"/>
  <c r="AG54" i="15"/>
  <c r="I111" i="13"/>
  <c r="G47" i="14"/>
  <c r="M47" i="13"/>
  <c r="I45" i="13"/>
  <c r="M25" i="20"/>
  <c r="M26" i="20" s="1"/>
  <c r="BE23" i="12"/>
  <c r="AG84" i="15"/>
  <c r="Y23" i="14"/>
  <c r="AA20" i="13"/>
  <c r="AH23" i="13"/>
  <c r="AH20" i="13" s="1"/>
  <c r="AG160" i="14"/>
  <c r="AG129" i="9"/>
  <c r="AE123" i="9"/>
  <c r="AE112" i="9" s="1"/>
  <c r="C121" i="12"/>
  <c r="C125" i="12" s="1"/>
  <c r="H121" i="12"/>
  <c r="H125" i="12" s="1"/>
  <c r="B8" i="14"/>
  <c r="H123" i="13"/>
  <c r="P123" i="13"/>
  <c r="Q123" i="13"/>
  <c r="E123" i="13"/>
  <c r="BE22" i="13"/>
  <c r="K123" i="13"/>
  <c r="D123" i="13"/>
  <c r="BC22" i="13"/>
  <c r="C123" i="13"/>
  <c r="AE22" i="16"/>
  <c r="AJ22" i="15"/>
  <c r="AE132" i="15"/>
  <c r="AG132" i="15" s="1"/>
  <c r="AJ132" i="14"/>
  <c r="AD92" i="10"/>
  <c r="AB91" i="10"/>
  <c r="AE172" i="14"/>
  <c r="AG174" i="14"/>
  <c r="M13" i="16"/>
  <c r="L95" i="14"/>
  <c r="AJ74" i="14"/>
  <c r="AE74" i="15"/>
  <c r="AB178" i="11"/>
  <c r="AD176" i="10"/>
  <c r="AD170" i="10" s="1"/>
  <c r="AI178" i="10"/>
  <c r="AI176" i="10" s="1"/>
  <c r="AI170" i="10" s="1"/>
  <c r="AI229" i="16"/>
  <c r="AJ101" i="16"/>
  <c r="AD168" i="15"/>
  <c r="AJ134" i="13"/>
  <c r="AE134" i="14"/>
  <c r="AG134" i="14" s="1"/>
  <c r="P121" i="12"/>
  <c r="P125" i="12" s="1"/>
  <c r="AE46" i="15"/>
  <c r="AJ46" i="14"/>
  <c r="BD7" i="8"/>
  <c r="AR16" i="8"/>
  <c r="I12" i="9"/>
  <c r="G10" i="9"/>
  <c r="AX27" i="8"/>
  <c r="AG196" i="10"/>
  <c r="AG212" i="10"/>
  <c r="AJ199" i="13"/>
  <c r="AE199" i="14"/>
  <c r="AG199" i="14" s="1"/>
  <c r="G105" i="14"/>
  <c r="I105" i="14" s="1"/>
  <c r="AE255" i="14"/>
  <c r="AG255" i="14" s="1"/>
  <c r="AJ255" i="13"/>
  <c r="AJ254" i="13"/>
  <c r="AE254" i="14"/>
  <c r="AG254" i="14" s="1"/>
  <c r="AJ236" i="10"/>
  <c r="AE236" i="11"/>
  <c r="AJ229" i="12"/>
  <c r="AE229" i="13"/>
  <c r="AG229" i="13" s="1"/>
  <c r="AJ259" i="6"/>
  <c r="AG259" i="6"/>
  <c r="U259" i="6"/>
  <c r="Y259" i="6"/>
  <c r="AE259" i="6"/>
  <c r="Z259" i="6"/>
  <c r="AD259" i="6"/>
  <c r="AB259" i="6"/>
  <c r="X259" i="6"/>
  <c r="AI259" i="6"/>
  <c r="V259" i="6"/>
  <c r="W259" i="6"/>
  <c r="AC259" i="6"/>
  <c r="AH259" i="6"/>
  <c r="AF259" i="6"/>
  <c r="AA259" i="6"/>
  <c r="T15" i="7"/>
  <c r="AE216" i="14"/>
  <c r="AG216" i="14" s="1"/>
  <c r="AJ216" i="13"/>
  <c r="G86" i="10"/>
  <c r="M86" i="9"/>
  <c r="AJ180" i="13"/>
  <c r="AE180" i="14"/>
  <c r="AE203" i="10"/>
  <c r="AG204" i="10"/>
  <c r="AJ214" i="13"/>
  <c r="AE214" i="14"/>
  <c r="AG214" i="14" s="1"/>
  <c r="N100" i="14"/>
  <c r="J100" i="15"/>
  <c r="AJ215" i="13"/>
  <c r="AE215" i="14"/>
  <c r="AG215" i="14" s="1"/>
  <c r="AE237" i="13"/>
  <c r="AG237" i="13" s="1"/>
  <c r="AJ237" i="12"/>
  <c r="AE251" i="14"/>
  <c r="AG251" i="14" s="1"/>
  <c r="AJ251" i="13"/>
  <c r="AH53" i="16"/>
  <c r="AJ223" i="10"/>
  <c r="AE223" i="11"/>
  <c r="AJ228" i="10"/>
  <c r="AJ227" i="10" s="1"/>
  <c r="AE228" i="11"/>
  <c r="AG227" i="10"/>
  <c r="AG181" i="10"/>
  <c r="G102" i="14"/>
  <c r="I102" i="14" s="1"/>
  <c r="M102" i="13"/>
  <c r="AJ182" i="13"/>
  <c r="AE182" i="14"/>
  <c r="AG182" i="14" s="1"/>
  <c r="AJ239" i="13"/>
  <c r="AE239" i="14"/>
  <c r="AG239" i="14" s="1"/>
  <c r="J90" i="10"/>
  <c r="N90" i="9"/>
  <c r="AS13" i="9"/>
  <c r="AX13" i="9"/>
  <c r="AE217" i="14"/>
  <c r="AG217" i="14" s="1"/>
  <c r="AE253" i="14"/>
  <c r="AG253" i="14" s="1"/>
  <c r="AJ253" i="13"/>
  <c r="G90" i="13"/>
  <c r="I90" i="13" s="1"/>
  <c r="AR13" i="12"/>
  <c r="AW13" i="12"/>
  <c r="AY13" i="12" s="1"/>
  <c r="M90" i="12"/>
  <c r="AE225" i="14"/>
  <c r="AG225" i="14" s="1"/>
  <c r="AJ225" i="13"/>
  <c r="AJ201" i="13"/>
  <c r="AE201" i="14"/>
  <c r="AG201" i="14" s="1"/>
  <c r="AJ202" i="13"/>
  <c r="AE202" i="14"/>
  <c r="AG202" i="14" s="1"/>
  <c r="AJ246" i="13"/>
  <c r="AE246" i="14"/>
  <c r="AG246" i="14" s="1"/>
  <c r="AJ240" i="13"/>
  <c r="AE240" i="14"/>
  <c r="AG240" i="14" s="1"/>
  <c r="AG244" i="10"/>
  <c r="AJ238" i="13"/>
  <c r="AE238" i="14"/>
  <c r="AG238" i="14" s="1"/>
  <c r="AJ248" i="13"/>
  <c r="AE248" i="14"/>
  <c r="AG248" i="14" s="1"/>
  <c r="AJ197" i="13"/>
  <c r="AE197" i="14"/>
  <c r="AG197" i="14" s="1"/>
  <c r="G101" i="11"/>
  <c r="M101" i="10"/>
  <c r="M99" i="10" s="1"/>
  <c r="I99" i="10"/>
  <c r="BD18" i="10"/>
  <c r="AE188" i="11"/>
  <c r="AG187" i="10"/>
  <c r="AJ188" i="10"/>
  <c r="AJ187" i="10" s="1"/>
  <c r="AE189" i="13"/>
  <c r="AG189" i="13" s="1"/>
  <c r="AJ189" i="12"/>
  <c r="AJ250" i="13"/>
  <c r="AE250" i="14"/>
  <c r="AG250" i="14" s="1"/>
  <c r="AE191" i="14"/>
  <c r="AG191" i="14" s="1"/>
  <c r="AJ191" i="13"/>
  <c r="G30" i="10"/>
  <c r="M30" i="9"/>
  <c r="M29" i="9" s="1"/>
  <c r="M28" i="9" s="1"/>
  <c r="I29" i="9"/>
  <c r="I28" i="9" s="1"/>
  <c r="BD13" i="9"/>
  <c r="AG186" i="10"/>
  <c r="AE185" i="10"/>
  <c r="AJ256" i="13"/>
  <c r="AE256" i="14"/>
  <c r="AG256" i="14" s="1"/>
  <c r="AJ252" i="13"/>
  <c r="AE252" i="14"/>
  <c r="AG252" i="14" s="1"/>
  <c r="AE205" i="15"/>
  <c r="AG205" i="15" s="1"/>
  <c r="AJ205" i="14"/>
  <c r="AE190" i="14"/>
  <c r="AG190" i="14" s="1"/>
  <c r="AJ190" i="13"/>
  <c r="M100" i="14"/>
  <c r="G100" i="15"/>
  <c r="AQ33" i="7"/>
  <c r="AJ200" i="13"/>
  <c r="AE200" i="14"/>
  <c r="AG200" i="14" s="1"/>
  <c r="N12" i="12" l="1"/>
  <c r="J12" i="13"/>
  <c r="L12" i="13" s="1"/>
  <c r="J13" i="14"/>
  <c r="L13" i="14" s="1"/>
  <c r="N13" i="13"/>
  <c r="G82" i="15"/>
  <c r="I82" i="15" s="1"/>
  <c r="M82" i="14"/>
  <c r="W110" i="13"/>
  <c r="W159" i="15"/>
  <c r="W157" i="14"/>
  <c r="W155" i="14" s="1"/>
  <c r="W145" i="14" s="1"/>
  <c r="X159" i="14"/>
  <c r="E46" i="15"/>
  <c r="E45" i="14"/>
  <c r="F46" i="14"/>
  <c r="BP30" i="12"/>
  <c r="BJ14" i="12" s="1"/>
  <c r="BN28" i="14"/>
  <c r="X193" i="14"/>
  <c r="AQ28" i="14" s="1"/>
  <c r="X197" i="16"/>
  <c r="V195" i="16"/>
  <c r="V194" i="16" s="1"/>
  <c r="V193" i="16" s="1"/>
  <c r="X49" i="13"/>
  <c r="AH51" i="13"/>
  <c r="AJ51" i="13"/>
  <c r="AI51" i="13"/>
  <c r="L50" i="13"/>
  <c r="J48" i="13"/>
  <c r="AH245" i="13"/>
  <c r="AI245" i="13"/>
  <c r="X239" i="16"/>
  <c r="V235" i="16"/>
  <c r="M33" i="15"/>
  <c r="M32" i="15" s="1"/>
  <c r="F32" i="15"/>
  <c r="F28" i="15" s="1"/>
  <c r="BC13" i="15"/>
  <c r="N26" i="13"/>
  <c r="N25" i="13" s="1"/>
  <c r="M26" i="13"/>
  <c r="M25" i="13" s="1"/>
  <c r="F25" i="13"/>
  <c r="AQ8" i="13" s="1"/>
  <c r="BC11" i="13"/>
  <c r="V160" i="15"/>
  <c r="X160" i="14"/>
  <c r="AI160" i="14" s="1"/>
  <c r="V157" i="14"/>
  <c r="V155" i="14" s="1"/>
  <c r="I83" i="11"/>
  <c r="G81" i="11"/>
  <c r="J46" i="13"/>
  <c r="L45" i="12"/>
  <c r="J67" i="13"/>
  <c r="L66" i="12"/>
  <c r="N67" i="12"/>
  <c r="BC7" i="14"/>
  <c r="AQ16" i="14"/>
  <c r="AW16" i="14" s="1"/>
  <c r="AY16" i="14" s="1"/>
  <c r="AI239" i="15"/>
  <c r="AH239" i="15"/>
  <c r="X235" i="15"/>
  <c r="V91" i="14"/>
  <c r="V90" i="14" s="1"/>
  <c r="V94" i="15"/>
  <c r="X94" i="14"/>
  <c r="N76" i="13"/>
  <c r="N75" i="13" s="1"/>
  <c r="F75" i="13"/>
  <c r="AQ9" i="13" s="1"/>
  <c r="M27" i="16"/>
  <c r="N27" i="16"/>
  <c r="AJ115" i="13"/>
  <c r="AI115" i="13"/>
  <c r="AH115" i="13"/>
  <c r="X114" i="13"/>
  <c r="X112" i="13" s="1"/>
  <c r="N66" i="12"/>
  <c r="X157" i="13"/>
  <c r="X155" i="13" s="1"/>
  <c r="BN17" i="13" s="1"/>
  <c r="AI159" i="13"/>
  <c r="AH159" i="13"/>
  <c r="AJ159" i="13"/>
  <c r="AI160" i="13"/>
  <c r="AJ160" i="13"/>
  <c r="F45" i="13"/>
  <c r="M46" i="13"/>
  <c r="M45" i="13" s="1"/>
  <c r="BC15" i="13"/>
  <c r="D70" i="15"/>
  <c r="F70" i="14"/>
  <c r="F69" i="14" s="1"/>
  <c r="D69" i="14"/>
  <c r="AH197" i="15"/>
  <c r="AI197" i="15"/>
  <c r="X195" i="15"/>
  <c r="X194" i="15" s="1"/>
  <c r="G37" i="14"/>
  <c r="I35" i="13"/>
  <c r="M37" i="13"/>
  <c r="M35" i="13" s="1"/>
  <c r="AD236" i="11"/>
  <c r="AB235" i="11"/>
  <c r="AB234" i="11" s="1"/>
  <c r="AB232" i="11" s="1"/>
  <c r="M58" i="16"/>
  <c r="N58" i="16"/>
  <c r="N57" i="16" s="1"/>
  <c r="AY8" i="12"/>
  <c r="AZ8" i="12"/>
  <c r="AU8" i="12"/>
  <c r="AV8" i="12"/>
  <c r="X91" i="13"/>
  <c r="AJ94" i="13"/>
  <c r="AH94" i="13"/>
  <c r="AH91" i="13" s="1"/>
  <c r="AI94" i="13"/>
  <c r="F14" i="16"/>
  <c r="D10" i="16"/>
  <c r="F33" i="16"/>
  <c r="D32" i="16"/>
  <c r="D28" i="16" s="1"/>
  <c r="D26" i="15"/>
  <c r="D25" i="14"/>
  <c r="F26" i="14"/>
  <c r="AV15" i="9"/>
  <c r="AD228" i="13"/>
  <c r="AB227" i="13"/>
  <c r="AB220" i="13" s="1"/>
  <c r="BP29" i="10"/>
  <c r="AR30" i="10"/>
  <c r="AB223" i="16"/>
  <c r="AI223" i="15"/>
  <c r="AI222" i="15" s="1"/>
  <c r="AD222" i="15"/>
  <c r="W51" i="15"/>
  <c r="X51" i="14"/>
  <c r="W49" i="14"/>
  <c r="W43" i="14" s="1"/>
  <c r="W14" i="14" s="1"/>
  <c r="AH46" i="16"/>
  <c r="AI46" i="16"/>
  <c r="X245" i="14"/>
  <c r="V245" i="15"/>
  <c r="V243" i="14"/>
  <c r="V234" i="14" s="1"/>
  <c r="V232" i="14" s="1"/>
  <c r="M14" i="15"/>
  <c r="F10" i="15"/>
  <c r="E76" i="15"/>
  <c r="E75" i="14"/>
  <c r="F76" i="14"/>
  <c r="J119" i="11"/>
  <c r="L117" i="10"/>
  <c r="N119" i="10"/>
  <c r="N117" i="10" s="1"/>
  <c r="AA236" i="13"/>
  <c r="Y235" i="13"/>
  <c r="W115" i="15"/>
  <c r="W114" i="14"/>
  <c r="W112" i="14" s="1"/>
  <c r="X115" i="14"/>
  <c r="AH141" i="16"/>
  <c r="E21" i="13"/>
  <c r="E19" i="13" s="1"/>
  <c r="D21" i="13"/>
  <c r="N46" i="12"/>
  <c r="N45" i="12" s="1"/>
  <c r="AE117" i="10"/>
  <c r="AJ117" i="9"/>
  <c r="AJ114" i="9" s="1"/>
  <c r="AG114" i="9"/>
  <c r="BC8" i="11"/>
  <c r="AE213" i="10"/>
  <c r="AJ213" i="9"/>
  <c r="AJ211" i="9" s="1"/>
  <c r="AJ210" i="9" s="1"/>
  <c r="AJ209" i="9" s="1"/>
  <c r="AJ207" i="9" s="1"/>
  <c r="AG211" i="9"/>
  <c r="AG210" i="9" s="1"/>
  <c r="AG209" i="9" s="1"/>
  <c r="AG207" i="9" s="1"/>
  <c r="AS29" i="9" s="1"/>
  <c r="AX29" i="9" s="1"/>
  <c r="AZ29" i="9" s="1"/>
  <c r="AV30" i="8"/>
  <c r="AQ17" i="9"/>
  <c r="AE241" i="10"/>
  <c r="AJ241" i="9"/>
  <c r="AJ235" i="9" s="1"/>
  <c r="AG235" i="9"/>
  <c r="AE124" i="15"/>
  <c r="AG124" i="15" s="1"/>
  <c r="AB14" i="9"/>
  <c r="J15" i="13"/>
  <c r="L15" i="13" s="1"/>
  <c r="N15" i="12"/>
  <c r="BI8" i="8"/>
  <c r="BP13" i="8"/>
  <c r="AI8" i="7"/>
  <c r="X10" i="11"/>
  <c r="X8" i="11" s="1"/>
  <c r="AI110" i="8"/>
  <c r="AB112" i="9"/>
  <c r="AG258" i="7"/>
  <c r="AS31" i="7" s="1"/>
  <c r="AV31" i="7" s="1"/>
  <c r="BN12" i="12"/>
  <c r="BN9" i="12" s="1"/>
  <c r="AQ23" i="12"/>
  <c r="V12" i="12"/>
  <c r="V10" i="12" s="1"/>
  <c r="V8" i="12" s="1"/>
  <c r="BH7" i="11"/>
  <c r="BH16" i="11" s="1"/>
  <c r="BD8" i="8"/>
  <c r="BD23" i="8" s="1"/>
  <c r="AU32" i="6"/>
  <c r="AV35" i="6"/>
  <c r="AU31" i="6"/>
  <c r="AV17" i="7"/>
  <c r="G64" i="14"/>
  <c r="I64" i="14" s="1"/>
  <c r="BD14" i="13"/>
  <c r="M64" i="13"/>
  <c r="F17" i="11"/>
  <c r="AQ14" i="11"/>
  <c r="AH173" i="16"/>
  <c r="AH172" i="16" s="1"/>
  <c r="AJ173" i="16"/>
  <c r="X172" i="16"/>
  <c r="AI255" i="15"/>
  <c r="AH255" i="15"/>
  <c r="AE97" i="11"/>
  <c r="AJ97" i="10"/>
  <c r="J14" i="10"/>
  <c r="L10" i="9"/>
  <c r="AS16" i="9" s="1"/>
  <c r="AV16" i="9" s="1"/>
  <c r="N14" i="9"/>
  <c r="N10" i="9" s="1"/>
  <c r="AH75" i="13"/>
  <c r="AJ75" i="13"/>
  <c r="AI75" i="13"/>
  <c r="X69" i="13"/>
  <c r="X65" i="13" s="1"/>
  <c r="BC18" i="12"/>
  <c r="BC9" i="12" s="1"/>
  <c r="F99" i="12"/>
  <c r="M105" i="12"/>
  <c r="J53" i="11"/>
  <c r="L51" i="10"/>
  <c r="N53" i="10"/>
  <c r="N51" i="10" s="1"/>
  <c r="X14" i="12"/>
  <c r="X12" i="12" s="1"/>
  <c r="AQ25" i="12"/>
  <c r="BN13" i="12"/>
  <c r="BH8" i="12" s="1"/>
  <c r="X149" i="13"/>
  <c r="X147" i="13" s="1"/>
  <c r="AH150" i="13"/>
  <c r="AJ150" i="13"/>
  <c r="AJ149" i="13" s="1"/>
  <c r="AJ147" i="13" s="1"/>
  <c r="AI150" i="13"/>
  <c r="J33" i="16"/>
  <c r="N33" i="15"/>
  <c r="N32" i="15" s="1"/>
  <c r="L32" i="15"/>
  <c r="N56" i="13"/>
  <c r="N54" i="13" s="1"/>
  <c r="M56" i="13"/>
  <c r="F54" i="13"/>
  <c r="AQ30" i="12"/>
  <c r="BN29" i="12"/>
  <c r="BH13" i="12" s="1"/>
  <c r="D118" i="13"/>
  <c r="F118" i="12"/>
  <c r="D117" i="12"/>
  <c r="D108" i="12" s="1"/>
  <c r="D8" i="12" s="1"/>
  <c r="D121" i="12" s="1"/>
  <c r="D125" i="12" s="1"/>
  <c r="X105" i="13"/>
  <c r="X104" i="13" s="1"/>
  <c r="AH106" i="13"/>
  <c r="AH105" i="13" s="1"/>
  <c r="AH104" i="13" s="1"/>
  <c r="AJ106" i="13"/>
  <c r="AJ105" i="13" s="1"/>
  <c r="AJ104" i="13" s="1"/>
  <c r="D61" i="15"/>
  <c r="D60" i="14"/>
  <c r="F61" i="14"/>
  <c r="AA190" i="14"/>
  <c r="Y187" i="14"/>
  <c r="Y185" i="14" s="1"/>
  <c r="V45" i="15"/>
  <c r="X45" i="14"/>
  <c r="V44" i="14"/>
  <c r="V43" i="14" s="1"/>
  <c r="AD39" i="10"/>
  <c r="AB35" i="10"/>
  <c r="J70" i="11"/>
  <c r="L69" i="10"/>
  <c r="N70" i="10"/>
  <c r="N69" i="10" s="1"/>
  <c r="V76" i="15"/>
  <c r="X76" i="14"/>
  <c r="V69" i="14"/>
  <c r="V65" i="14" s="1"/>
  <c r="N68" i="13"/>
  <c r="F66" i="13"/>
  <c r="V41" i="15"/>
  <c r="X41" i="14"/>
  <c r="V35" i="14"/>
  <c r="W251" i="15"/>
  <c r="X251" i="14"/>
  <c r="W243" i="14"/>
  <c r="W234" i="14" s="1"/>
  <c r="W232" i="14" s="1"/>
  <c r="AD207" i="10"/>
  <c r="AR29" i="10" s="1"/>
  <c r="AW29" i="10" s="1"/>
  <c r="AY29" i="10" s="1"/>
  <c r="BP27" i="10"/>
  <c r="AA237" i="15"/>
  <c r="E17" i="13"/>
  <c r="W63" i="13"/>
  <c r="W12" i="13" s="1"/>
  <c r="W10" i="13" s="1"/>
  <c r="W8" i="13" s="1"/>
  <c r="BN8" i="11"/>
  <c r="BN7" i="11" s="1"/>
  <c r="BN32" i="11" s="1"/>
  <c r="V114" i="16"/>
  <c r="V112" i="16" s="1"/>
  <c r="X116" i="16"/>
  <c r="AG86" i="11"/>
  <c r="AE83" i="11"/>
  <c r="W181" i="15"/>
  <c r="W176" i="14"/>
  <c r="W170" i="14" s="1"/>
  <c r="X181" i="14"/>
  <c r="X255" i="16"/>
  <c r="E105" i="15"/>
  <c r="E99" i="14"/>
  <c r="AG224" i="9"/>
  <c r="AE222" i="9"/>
  <c r="AE220" i="9" s="1"/>
  <c r="AE99" i="10"/>
  <c r="AJ99" i="9"/>
  <c r="AJ96" i="9" s="1"/>
  <c r="AG96" i="9"/>
  <c r="AG152" i="15"/>
  <c r="AE149" i="15"/>
  <c r="AE147" i="15" s="1"/>
  <c r="F105" i="13"/>
  <c r="D105" i="14"/>
  <c r="D99" i="13"/>
  <c r="AH213" i="13"/>
  <c r="AI213" i="13"/>
  <c r="X211" i="13"/>
  <c r="X210" i="13" s="1"/>
  <c r="X209" i="13" s="1"/>
  <c r="W100" i="15"/>
  <c r="W96" i="14"/>
  <c r="W90" i="14" s="1"/>
  <c r="X100" i="14"/>
  <c r="AE143" i="11"/>
  <c r="AG141" i="10"/>
  <c r="AJ143" i="10"/>
  <c r="AJ141" i="10" s="1"/>
  <c r="AA224" i="15"/>
  <c r="Y222" i="15"/>
  <c r="F72" i="13"/>
  <c r="M73" i="13"/>
  <c r="N73" i="13"/>
  <c r="N72" i="13" s="1"/>
  <c r="I59" i="10"/>
  <c r="G57" i="10"/>
  <c r="AI181" i="13"/>
  <c r="AH181" i="13"/>
  <c r="X176" i="13"/>
  <c r="X170" i="13" s="1"/>
  <c r="AG106" i="15"/>
  <c r="AE105" i="15"/>
  <c r="AE104" i="15" s="1"/>
  <c r="AG116" i="11"/>
  <c r="Y249" i="11"/>
  <c r="AA243" i="10"/>
  <c r="AA234" i="10" s="1"/>
  <c r="AA232" i="10" s="1"/>
  <c r="BO29" i="10" s="1"/>
  <c r="BI13" i="10" s="1"/>
  <c r="AH249" i="10"/>
  <c r="AH243" i="10" s="1"/>
  <c r="AH234" i="10" s="1"/>
  <c r="AH232" i="10" s="1"/>
  <c r="G68" i="10"/>
  <c r="I66" i="9"/>
  <c r="M68" i="9"/>
  <c r="M66" i="9" s="1"/>
  <c r="AJ100" i="13"/>
  <c r="AH100" i="13"/>
  <c r="AH96" i="13" s="1"/>
  <c r="AH90" i="13" s="1"/>
  <c r="X96" i="13"/>
  <c r="X90" i="13" s="1"/>
  <c r="AI100" i="13"/>
  <c r="D73" i="15"/>
  <c r="D72" i="14"/>
  <c r="F73" i="14"/>
  <c r="G95" i="10"/>
  <c r="I93" i="9"/>
  <c r="M95" i="9"/>
  <c r="M93" i="9" s="1"/>
  <c r="M85" i="9" s="1"/>
  <c r="Y212" i="11"/>
  <c r="AA211" i="10"/>
  <c r="AA210" i="10" s="1"/>
  <c r="AA209" i="10" s="1"/>
  <c r="AH212" i="10"/>
  <c r="AH211" i="10" s="1"/>
  <c r="AH210" i="10" s="1"/>
  <c r="AH209" i="10" s="1"/>
  <c r="AH207" i="10" s="1"/>
  <c r="F85" i="12"/>
  <c r="BC19" i="12"/>
  <c r="N118" i="11"/>
  <c r="M118" i="11"/>
  <c r="M117" i="11" s="1"/>
  <c r="F117" i="11"/>
  <c r="W217" i="15"/>
  <c r="X217" i="14"/>
  <c r="W211" i="14"/>
  <c r="W210" i="14" s="1"/>
  <c r="W209" i="14" s="1"/>
  <c r="W207" i="14" s="1"/>
  <c r="AI45" i="13"/>
  <c r="AI44" i="13" s="1"/>
  <c r="X44" i="13"/>
  <c r="V24" i="16"/>
  <c r="X24" i="15"/>
  <c r="V20" i="15"/>
  <c r="V16" i="15" s="1"/>
  <c r="AQ24" i="12"/>
  <c r="BN14" i="12"/>
  <c r="BH9" i="12" s="1"/>
  <c r="D94" i="15"/>
  <c r="F94" i="14"/>
  <c r="D93" i="14"/>
  <c r="D85" i="14" s="1"/>
  <c r="F79" i="16"/>
  <c r="D78" i="16"/>
  <c r="F78" i="16" s="1"/>
  <c r="AI76" i="13"/>
  <c r="AJ76" i="13"/>
  <c r="AH76" i="13"/>
  <c r="I50" i="9"/>
  <c r="G48" i="9"/>
  <c r="AI41" i="13"/>
  <c r="AJ41" i="13"/>
  <c r="BN31" i="13"/>
  <c r="X35" i="13"/>
  <c r="V83" i="16"/>
  <c r="X87" i="16"/>
  <c r="X83" i="16" s="1"/>
  <c r="AW15" i="8"/>
  <c r="AY15" i="8" s="1"/>
  <c r="AY17" i="8" s="1"/>
  <c r="AQ17" i="8"/>
  <c r="AV15" i="8"/>
  <c r="M67" i="15"/>
  <c r="AJ14" i="8"/>
  <c r="AJ12" i="8" s="1"/>
  <c r="AJ10" i="8" s="1"/>
  <c r="AJ258" i="8" s="1"/>
  <c r="D19" i="13"/>
  <c r="F21" i="12"/>
  <c r="F19" i="12" s="1"/>
  <c r="AI217" i="13"/>
  <c r="AH217" i="13"/>
  <c r="BI14" i="10"/>
  <c r="AU29" i="11"/>
  <c r="AV29" i="11"/>
  <c r="AA101" i="14"/>
  <c r="Y96" i="14"/>
  <c r="Y90" i="14" s="1"/>
  <c r="AH84" i="16"/>
  <c r="AZ12" i="15"/>
  <c r="AY12" i="15"/>
  <c r="AV12" i="15"/>
  <c r="AU12" i="15"/>
  <c r="AB117" i="10"/>
  <c r="AI117" i="9"/>
  <c r="AI114" i="9" s="1"/>
  <c r="AD114" i="9"/>
  <c r="AI87" i="15"/>
  <c r="AJ87" i="15"/>
  <c r="AH87" i="15"/>
  <c r="AH83" i="15" s="1"/>
  <c r="BN33" i="8"/>
  <c r="BH19" i="8" s="1"/>
  <c r="BH20" i="8" s="1"/>
  <c r="AQ31" i="8"/>
  <c r="D66" i="16"/>
  <c r="F67" i="16"/>
  <c r="BC21" i="10"/>
  <c r="BC23" i="10" s="1"/>
  <c r="BH17" i="10" s="1"/>
  <c r="F108" i="10"/>
  <c r="AQ15" i="10" s="1"/>
  <c r="AW15" i="10" s="1"/>
  <c r="AY15" i="10" s="1"/>
  <c r="AD215" i="11"/>
  <c r="AB211" i="11"/>
  <c r="AB210" i="11" s="1"/>
  <c r="AB209" i="11" s="1"/>
  <c r="AB207" i="11" s="1"/>
  <c r="E8" i="12"/>
  <c r="E121" i="12" s="1"/>
  <c r="E125" i="12" s="1"/>
  <c r="W258" i="12"/>
  <c r="BN27" i="12"/>
  <c r="BN25" i="12" s="1"/>
  <c r="BH12" i="12" s="1"/>
  <c r="X207" i="12"/>
  <c r="AQ29" i="12" s="1"/>
  <c r="J49" i="16"/>
  <c r="N49" i="15"/>
  <c r="AV12" i="16"/>
  <c r="AZ12" i="16"/>
  <c r="AU12" i="16"/>
  <c r="AY12" i="16"/>
  <c r="AG52" i="9"/>
  <c r="AE49" i="9"/>
  <c r="AE43" i="9" s="1"/>
  <c r="D54" i="16"/>
  <c r="W75" i="15"/>
  <c r="W69" i="14"/>
  <c r="W65" i="14" s="1"/>
  <c r="W63" i="14" s="1"/>
  <c r="X75" i="14"/>
  <c r="V213" i="15"/>
  <c r="X213" i="14"/>
  <c r="V211" i="14"/>
  <c r="V210" i="14" s="1"/>
  <c r="V209" i="14" s="1"/>
  <c r="V207" i="14" s="1"/>
  <c r="AI173" i="16"/>
  <c r="AI172" i="16" s="1"/>
  <c r="AD172" i="16"/>
  <c r="AJ135" i="14"/>
  <c r="AE135" i="15"/>
  <c r="AG135" i="15" s="1"/>
  <c r="V150" i="15"/>
  <c r="V149" i="14"/>
  <c r="V147" i="14" s="1"/>
  <c r="V145" i="14" s="1"/>
  <c r="V110" i="14" s="1"/>
  <c r="X150" i="14"/>
  <c r="E56" i="15"/>
  <c r="E54" i="14"/>
  <c r="F56" i="14"/>
  <c r="V106" i="15"/>
  <c r="V105" i="14"/>
  <c r="V104" i="14" s="1"/>
  <c r="X106" i="14"/>
  <c r="BC17" i="13"/>
  <c r="F60" i="13"/>
  <c r="N61" i="13"/>
  <c r="AA230" i="11"/>
  <c r="Y227" i="11"/>
  <c r="Y220" i="11" s="1"/>
  <c r="AQ27" i="12"/>
  <c r="BN24" i="12"/>
  <c r="BN22" i="12" s="1"/>
  <c r="BH11" i="12" s="1"/>
  <c r="AJ24" i="14"/>
  <c r="AI24" i="14"/>
  <c r="AH24" i="14"/>
  <c r="X20" i="14"/>
  <c r="X16" i="14" s="1"/>
  <c r="AB22" i="12"/>
  <c r="AI22" i="11"/>
  <c r="AI20" i="11" s="1"/>
  <c r="AD20" i="11"/>
  <c r="M94" i="13"/>
  <c r="N94" i="13"/>
  <c r="F93" i="13"/>
  <c r="I55" i="10"/>
  <c r="G54" i="10"/>
  <c r="J37" i="11"/>
  <c r="L35" i="10"/>
  <c r="L28" i="10" s="1"/>
  <c r="AS9" i="10" s="1"/>
  <c r="AV9" i="10" s="1"/>
  <c r="AX9" i="10"/>
  <c r="AZ9" i="10" s="1"/>
  <c r="N37" i="10"/>
  <c r="N35" i="10" s="1"/>
  <c r="N28" i="10" s="1"/>
  <c r="X145" i="12"/>
  <c r="X110" i="12" s="1"/>
  <c r="AQ26" i="12" s="1"/>
  <c r="BN16" i="12"/>
  <c r="BN15" i="12" s="1"/>
  <c r="BH10" i="12" s="1"/>
  <c r="E68" i="15"/>
  <c r="E66" i="14"/>
  <c r="F68" i="14"/>
  <c r="F8" i="9"/>
  <c r="X258" i="9"/>
  <c r="F121" i="8"/>
  <c r="F125" i="8" s="1"/>
  <c r="A1" i="8"/>
  <c r="AD37" i="15"/>
  <c r="AH251" i="13"/>
  <c r="AI251" i="13"/>
  <c r="AI243" i="13" s="1"/>
  <c r="X243" i="13"/>
  <c r="X234" i="13" s="1"/>
  <c r="X232" i="13" s="1"/>
  <c r="N85" i="8"/>
  <c r="N19" i="8" s="1"/>
  <c r="N17" i="8" s="1"/>
  <c r="AF258" i="8" s="1"/>
  <c r="BQ33" i="8" s="1"/>
  <c r="AQ17" i="10"/>
  <c r="V63" i="13"/>
  <c r="V12" i="13" s="1"/>
  <c r="V10" i="13" s="1"/>
  <c r="V8" i="13" s="1"/>
  <c r="AE245" i="10"/>
  <c r="AJ245" i="9"/>
  <c r="AJ243" i="9" s="1"/>
  <c r="AJ234" i="9" s="1"/>
  <c r="AJ232" i="9" s="1"/>
  <c r="AG243" i="9"/>
  <c r="AG234" i="9" s="1"/>
  <c r="AG232" i="9" s="1"/>
  <c r="BP28" i="8"/>
  <c r="BP25" i="8" s="1"/>
  <c r="BJ12" i="8" s="1"/>
  <c r="AD193" i="8"/>
  <c r="AR28" i="8" s="1"/>
  <c r="AD204" i="9"/>
  <c r="AB203" i="9"/>
  <c r="AB194" i="9" s="1"/>
  <c r="AB193" i="9" s="1"/>
  <c r="AX28" i="8"/>
  <c r="AZ28" i="8" s="1"/>
  <c r="AV28" i="8"/>
  <c r="AG198" i="9"/>
  <c r="AE195" i="9"/>
  <c r="AE194" i="9" s="1"/>
  <c r="AE193" i="9" s="1"/>
  <c r="AD198" i="12"/>
  <c r="AB195" i="12"/>
  <c r="AY31" i="5"/>
  <c r="AY32" i="5" s="1"/>
  <c r="AY35" i="5" s="1"/>
  <c r="Y196" i="10"/>
  <c r="AA195" i="9"/>
  <c r="AA194" i="9" s="1"/>
  <c r="BO26" i="9"/>
  <c r="AH196" i="9"/>
  <c r="AH195" i="9" s="1"/>
  <c r="AH194" i="9" s="1"/>
  <c r="AH193" i="9" s="1"/>
  <c r="AB191" i="12"/>
  <c r="AI191" i="11"/>
  <c r="AI185" i="11" s="1"/>
  <c r="AD185" i="11"/>
  <c r="BP31" i="11"/>
  <c r="BJ15" i="11" s="1"/>
  <c r="AJ183" i="9"/>
  <c r="AJ176" i="9" s="1"/>
  <c r="AJ170" i="9" s="1"/>
  <c r="AE183" i="10"/>
  <c r="AG176" i="9"/>
  <c r="AG170" i="9" s="1"/>
  <c r="AS27" i="9" s="1"/>
  <c r="AV27" i="9" s="1"/>
  <c r="BO22" i="8"/>
  <c r="BI11" i="8" s="1"/>
  <c r="AA177" i="9"/>
  <c r="Y176" i="9"/>
  <c r="Y170" i="9" s="1"/>
  <c r="AE168" i="14"/>
  <c r="AG168" i="14" s="1"/>
  <c r="AJ168" i="13"/>
  <c r="AV32" i="5"/>
  <c r="Y1" i="7"/>
  <c r="AQ33" i="5"/>
  <c r="AE162" i="10"/>
  <c r="AG157" i="9"/>
  <c r="AG155" i="9" s="1"/>
  <c r="AG145" i="9" s="1"/>
  <c r="AJ162" i="9"/>
  <c r="AJ157" i="9" s="1"/>
  <c r="AJ155" i="9" s="1"/>
  <c r="AJ145" i="9" s="1"/>
  <c r="AE110" i="9"/>
  <c r="AB162" i="13"/>
  <c r="AI162" i="12"/>
  <c r="AI157" i="12" s="1"/>
  <c r="AI155" i="12" s="1"/>
  <c r="AD157" i="12"/>
  <c r="AD155" i="12" s="1"/>
  <c r="AQ33" i="6"/>
  <c r="AV32" i="6"/>
  <c r="Y160" i="10"/>
  <c r="AA157" i="9"/>
  <c r="AA155" i="9" s="1"/>
  <c r="AH160" i="9"/>
  <c r="AH157" i="9" s="1"/>
  <c r="Y156" i="10"/>
  <c r="BO18" i="9"/>
  <c r="AH156" i="9"/>
  <c r="Y145" i="9"/>
  <c r="Y110" i="9" s="1"/>
  <c r="BN30" i="16"/>
  <c r="AX14" i="8"/>
  <c r="AZ14" i="8" s="1"/>
  <c r="AX16" i="8"/>
  <c r="AU16" i="8"/>
  <c r="Y246" i="15"/>
  <c r="AH246" i="14"/>
  <c r="AA199" i="15"/>
  <c r="AI142" i="14"/>
  <c r="AI141" i="14" s="1"/>
  <c r="AD141" i="14"/>
  <c r="BP20" i="14" s="1"/>
  <c r="AB142" i="15"/>
  <c r="AC1" i="7"/>
  <c r="AD152" i="9"/>
  <c r="AB149" i="9"/>
  <c r="AB147" i="9" s="1"/>
  <c r="AB145" i="9" s="1"/>
  <c r="AD258" i="7"/>
  <c r="AR31" i="7" s="1"/>
  <c r="AD145" i="8"/>
  <c r="AD110" i="8" s="1"/>
  <c r="AR26" i="8" s="1"/>
  <c r="BP16" i="8"/>
  <c r="BP15" i="8" s="1"/>
  <c r="BJ10" i="8" s="1"/>
  <c r="AA110" i="8"/>
  <c r="AY31" i="6"/>
  <c r="AY32" i="6" s="1"/>
  <c r="AZ35" i="6" s="1"/>
  <c r="AZ31" i="6"/>
  <c r="AZ32" i="6" s="1"/>
  <c r="Y151" i="10"/>
  <c r="AA149" i="9"/>
  <c r="AA147" i="9" s="1"/>
  <c r="AH151" i="9"/>
  <c r="AH149" i="9" s="1"/>
  <c r="AH147" i="9" s="1"/>
  <c r="AB134" i="15"/>
  <c r="AD134" i="15" s="1"/>
  <c r="AI134" i="14"/>
  <c r="Y134" i="15"/>
  <c r="AA134" i="15" s="1"/>
  <c r="AH134" i="14"/>
  <c r="AE126" i="14"/>
  <c r="AG126" i="14" s="1"/>
  <c r="AJ126" i="13"/>
  <c r="AB126" i="14"/>
  <c r="AD126" i="14" s="1"/>
  <c r="BP19" i="13"/>
  <c r="AI126" i="13"/>
  <c r="Y126" i="10"/>
  <c r="AA123" i="9"/>
  <c r="BO19" i="9"/>
  <c r="AH126" i="9"/>
  <c r="AH123" i="9" s="1"/>
  <c r="AH112" i="9" s="1"/>
  <c r="AB124" i="10"/>
  <c r="AI124" i="9"/>
  <c r="AI123" i="9" s="1"/>
  <c r="AD123" i="9"/>
  <c r="Y116" i="12"/>
  <c r="AA114" i="11"/>
  <c r="AH116" i="11"/>
  <c r="AH114" i="11" s="1"/>
  <c r="AD106" i="9"/>
  <c r="AB105" i="9"/>
  <c r="AB104" i="9" s="1"/>
  <c r="AB100" i="16"/>
  <c r="AD100" i="16" s="1"/>
  <c r="AB98" i="16"/>
  <c r="AD98" i="16" s="1"/>
  <c r="AI98" i="16" s="1"/>
  <c r="AI98" i="15"/>
  <c r="AD97" i="9"/>
  <c r="AB96" i="9"/>
  <c r="AB90" i="9" s="1"/>
  <c r="AR25" i="8"/>
  <c r="AW25" i="8" s="1"/>
  <c r="AG92" i="9"/>
  <c r="AE91" i="9"/>
  <c r="AE90" i="9" s="1"/>
  <c r="AE63" i="9" s="1"/>
  <c r="AS25" i="8"/>
  <c r="AD84" i="9"/>
  <c r="AB83" i="9"/>
  <c r="AW32" i="7"/>
  <c r="AI63" i="8"/>
  <c r="AI12" i="8" s="1"/>
  <c r="BP14" i="8"/>
  <c r="BJ9" i="8" s="1"/>
  <c r="AR24" i="8"/>
  <c r="AY32" i="7"/>
  <c r="AZ35" i="7" s="1"/>
  <c r="AE81" i="15"/>
  <c r="AG81" i="15" s="1"/>
  <c r="AJ81" i="14"/>
  <c r="AB258" i="8"/>
  <c r="Y81" i="16"/>
  <c r="AA81" i="16" s="1"/>
  <c r="AH81" i="16" s="1"/>
  <c r="AH81" i="15"/>
  <c r="BP12" i="8"/>
  <c r="BP9" i="8" s="1"/>
  <c r="AR23" i="8"/>
  <c r="AD63" i="8"/>
  <c r="AD12" i="8" s="1"/>
  <c r="AD79" i="9"/>
  <c r="AB69" i="9"/>
  <c r="AB65" i="9" s="1"/>
  <c r="AE77" i="10"/>
  <c r="AJ77" i="9"/>
  <c r="AJ69" i="9" s="1"/>
  <c r="AJ65" i="9" s="1"/>
  <c r="AG69" i="9"/>
  <c r="AG65" i="9" s="1"/>
  <c r="AZ32" i="7"/>
  <c r="Y70" i="10"/>
  <c r="AH70" i="9"/>
  <c r="AH69" i="9" s="1"/>
  <c r="AH65" i="9" s="1"/>
  <c r="AH63" i="9" s="1"/>
  <c r="AA69" i="9"/>
  <c r="AA65" i="9" s="1"/>
  <c r="AE67" i="11"/>
  <c r="AJ67" i="10"/>
  <c r="AB67" i="14"/>
  <c r="AD67" i="14" s="1"/>
  <c r="AI67" i="13"/>
  <c r="BP11" i="13"/>
  <c r="AD66" i="10"/>
  <c r="BP10" i="10" s="1"/>
  <c r="AB59" i="10"/>
  <c r="AD58" i="9"/>
  <c r="AD57" i="9" s="1"/>
  <c r="AI59" i="9"/>
  <c r="AI58" i="9" s="1"/>
  <c r="AI57" i="9" s="1"/>
  <c r="Y55" i="14"/>
  <c r="AA55" i="14" s="1"/>
  <c r="AH55" i="13"/>
  <c r="Y43" i="9"/>
  <c r="AH14" i="8"/>
  <c r="AH12" i="8" s="1"/>
  <c r="AH10" i="8" s="1"/>
  <c r="AH258" i="8" s="1"/>
  <c r="AB50" i="10"/>
  <c r="AD49" i="9"/>
  <c r="AD43" i="9" s="1"/>
  <c r="AI50" i="9"/>
  <c r="AI49" i="9" s="1"/>
  <c r="AI43" i="9" s="1"/>
  <c r="Y50" i="10"/>
  <c r="AA49" i="9"/>
  <c r="AH50" i="9"/>
  <c r="AH49" i="9" s="1"/>
  <c r="AE45" i="10"/>
  <c r="AJ45" i="9"/>
  <c r="AJ44" i="9" s="1"/>
  <c r="AG44" i="9"/>
  <c r="Y45" i="10"/>
  <c r="AH45" i="9"/>
  <c r="AH44" i="9" s="1"/>
  <c r="AA44" i="9"/>
  <c r="AA41" i="9"/>
  <c r="Y35" i="9"/>
  <c r="BO14" i="8"/>
  <c r="AA14" i="8"/>
  <c r="AA12" i="8" s="1"/>
  <c r="AE38" i="10"/>
  <c r="AG35" i="9"/>
  <c r="AS24" i="9" s="1"/>
  <c r="AJ38" i="9"/>
  <c r="AJ35" i="9" s="1"/>
  <c r="AB33" i="14"/>
  <c r="AD33" i="14" s="1"/>
  <c r="AI33" i="13"/>
  <c r="AX32" i="7"/>
  <c r="AG23" i="9"/>
  <c r="AE20" i="9"/>
  <c r="AE16" i="9" s="1"/>
  <c r="AG14" i="8"/>
  <c r="AG12" i="8" s="1"/>
  <c r="AG10" i="8" s="1"/>
  <c r="AS23" i="8"/>
  <c r="AE17" i="11"/>
  <c r="AS22" i="10"/>
  <c r="AJ17" i="10"/>
  <c r="AB17" i="11"/>
  <c r="AD16" i="10"/>
  <c r="AI17" i="10"/>
  <c r="AI16" i="10" s="1"/>
  <c r="Y17" i="11"/>
  <c r="BO10" i="10"/>
  <c r="AA16" i="10"/>
  <c r="AH17" i="10"/>
  <c r="AH16" i="10" s="1"/>
  <c r="I113" i="9"/>
  <c r="G108" i="9"/>
  <c r="AX15" i="8"/>
  <c r="AZ15" i="8" s="1"/>
  <c r="AU15" i="8"/>
  <c r="J116" i="11"/>
  <c r="L108" i="10"/>
  <c r="AS15" i="10" s="1"/>
  <c r="AV15" i="10" s="1"/>
  <c r="N116" i="10"/>
  <c r="L96" i="9"/>
  <c r="J93" i="9"/>
  <c r="J85" i="9" s="1"/>
  <c r="J19" i="9" s="1"/>
  <c r="J17" i="9" s="1"/>
  <c r="AS17" i="8"/>
  <c r="L86" i="9"/>
  <c r="L17" i="8"/>
  <c r="L79" i="10"/>
  <c r="J78" i="10"/>
  <c r="L78" i="10" s="1"/>
  <c r="N78" i="10" s="1"/>
  <c r="I79" i="10"/>
  <c r="G78" i="10"/>
  <c r="I78" i="10" s="1"/>
  <c r="M78" i="10" s="1"/>
  <c r="G76" i="10"/>
  <c r="I75" i="9"/>
  <c r="AR9" i="9" s="1"/>
  <c r="AU9" i="9" s="1"/>
  <c r="M76" i="9"/>
  <c r="M75" i="9" s="1"/>
  <c r="I74" i="9"/>
  <c r="G72" i="9"/>
  <c r="Y258" i="8"/>
  <c r="G8" i="8"/>
  <c r="G121" i="8" s="1"/>
  <c r="G125" i="8" s="1"/>
  <c r="G70" i="10"/>
  <c r="I69" i="9"/>
  <c r="M70" i="9"/>
  <c r="M69" i="9" s="1"/>
  <c r="I65" i="9"/>
  <c r="G63" i="9"/>
  <c r="G123" i="9"/>
  <c r="M63" i="8"/>
  <c r="M21" i="8" s="1"/>
  <c r="M19" i="8" s="1"/>
  <c r="M17" i="8" s="1"/>
  <c r="M123" i="8"/>
  <c r="J62" i="10"/>
  <c r="L60" i="9"/>
  <c r="L21" i="9" s="1"/>
  <c r="N62" i="9"/>
  <c r="L123" i="9"/>
  <c r="AR17" i="7"/>
  <c r="AU17" i="7" s="1"/>
  <c r="AU14" i="7"/>
  <c r="G61" i="10"/>
  <c r="I60" i="9"/>
  <c r="M61" i="9"/>
  <c r="M60" i="9" s="1"/>
  <c r="BD17" i="9"/>
  <c r="I21" i="8"/>
  <c r="I19" i="8" s="1"/>
  <c r="AR7" i="8"/>
  <c r="AU7" i="8" s="1"/>
  <c r="AA258" i="7"/>
  <c r="BO33" i="7" s="1"/>
  <c r="I8" i="7"/>
  <c r="G22" i="9"/>
  <c r="I23" i="9"/>
  <c r="I125" i="6"/>
  <c r="B5" i="6" s="1"/>
  <c r="C121" i="13"/>
  <c r="C125" i="13" s="1"/>
  <c r="B8" i="15"/>
  <c r="D123" i="14"/>
  <c r="C123" i="14"/>
  <c r="E123" i="14"/>
  <c r="H123" i="14"/>
  <c r="H121" i="14" s="1"/>
  <c r="H125" i="14" s="1"/>
  <c r="Q123" i="14"/>
  <c r="Q121" i="14" s="1"/>
  <c r="Q125" i="14" s="1"/>
  <c r="P123" i="14"/>
  <c r="BE22" i="14"/>
  <c r="K123" i="14"/>
  <c r="K121" i="14" s="1"/>
  <c r="K125" i="14" s="1"/>
  <c r="BC22" i="14"/>
  <c r="AA23" i="14"/>
  <c r="Y20" i="14"/>
  <c r="M57" i="20"/>
  <c r="N8" i="20" s="1"/>
  <c r="AE54" i="16"/>
  <c r="AJ54" i="15"/>
  <c r="AB116" i="11"/>
  <c r="AI116" i="10"/>
  <c r="AG46" i="15"/>
  <c r="AE132" i="16"/>
  <c r="AG132" i="16" s="1"/>
  <c r="AJ132" i="16" s="1"/>
  <c r="AJ132" i="15"/>
  <c r="BE23" i="13"/>
  <c r="N25" i="20"/>
  <c r="N26" i="20" s="1"/>
  <c r="BF22" i="13"/>
  <c r="AE129" i="10"/>
  <c r="AG123" i="9"/>
  <c r="AG112" i="9" s="1"/>
  <c r="AJ129" i="9"/>
  <c r="AJ123" i="9" s="1"/>
  <c r="AJ112" i="9" s="1"/>
  <c r="G111" i="14"/>
  <c r="M111" i="13"/>
  <c r="J99" i="10"/>
  <c r="L105" i="10"/>
  <c r="K121" i="13"/>
  <c r="K125" i="13" s="1"/>
  <c r="Q121" i="13"/>
  <c r="Q125" i="13" s="1"/>
  <c r="AE84" i="16"/>
  <c r="AJ84" i="15"/>
  <c r="AI168" i="15"/>
  <c r="AB168" i="16"/>
  <c r="AG74" i="15"/>
  <c r="P121" i="13"/>
  <c r="P125" i="13" s="1"/>
  <c r="AE134" i="15"/>
  <c r="AG134" i="15" s="1"/>
  <c r="AJ134" i="14"/>
  <c r="AD178" i="11"/>
  <c r="AB176" i="11"/>
  <c r="AB170" i="11" s="1"/>
  <c r="AR27" i="10"/>
  <c r="BP24" i="10"/>
  <c r="J95" i="15"/>
  <c r="N95" i="14"/>
  <c r="AJ174" i="14"/>
  <c r="AJ172" i="14" s="1"/>
  <c r="AG172" i="14"/>
  <c r="AE174" i="15"/>
  <c r="AB92" i="11"/>
  <c r="AD91" i="10"/>
  <c r="AI92" i="10"/>
  <c r="AI91" i="10" s="1"/>
  <c r="AG22" i="16"/>
  <c r="H121" i="13"/>
  <c r="H125" i="13" s="1"/>
  <c r="AE160" i="15"/>
  <c r="I47" i="14"/>
  <c r="G45" i="14"/>
  <c r="AD127" i="11"/>
  <c r="I51" i="16"/>
  <c r="M52" i="16"/>
  <c r="M51" i="16" s="1"/>
  <c r="L55" i="15"/>
  <c r="J54" i="15"/>
  <c r="G12" i="10"/>
  <c r="I10" i="9"/>
  <c r="M12" i="9"/>
  <c r="M10" i="9" s="1"/>
  <c r="AZ16" i="8"/>
  <c r="AE200" i="15"/>
  <c r="AG200" i="15" s="1"/>
  <c r="AJ200" i="14"/>
  <c r="I100" i="15"/>
  <c r="AE187" i="11"/>
  <c r="AG188" i="11"/>
  <c r="AJ248" i="14"/>
  <c r="AE248" i="15"/>
  <c r="AG248" i="15" s="1"/>
  <c r="AJ238" i="14"/>
  <c r="AE238" i="15"/>
  <c r="AG238" i="15" s="1"/>
  <c r="AE201" i="15"/>
  <c r="AG201" i="15" s="1"/>
  <c r="AJ201" i="14"/>
  <c r="AE253" i="15"/>
  <c r="AG253" i="15" s="1"/>
  <c r="AJ253" i="14"/>
  <c r="AE181" i="11"/>
  <c r="AJ181" i="10"/>
  <c r="AJ214" i="14"/>
  <c r="AE214" i="15"/>
  <c r="AG214" i="15" s="1"/>
  <c r="AB259" i="7"/>
  <c r="X259" i="7"/>
  <c r="AI259" i="7"/>
  <c r="AE259" i="7"/>
  <c r="Z259" i="7"/>
  <c r="AA259" i="7"/>
  <c r="AF259" i="7"/>
  <c r="AJ259" i="7"/>
  <c r="AG259" i="7"/>
  <c r="V259" i="7"/>
  <c r="AH259" i="7"/>
  <c r="U259" i="7"/>
  <c r="T15" i="8"/>
  <c r="Y259" i="7"/>
  <c r="AC259" i="7"/>
  <c r="W259" i="7"/>
  <c r="AD259" i="7"/>
  <c r="AJ252" i="14"/>
  <c r="AE252" i="15"/>
  <c r="AG252" i="15" s="1"/>
  <c r="AJ256" i="14"/>
  <c r="AE256" i="15"/>
  <c r="AG256" i="15" s="1"/>
  <c r="I30" i="10"/>
  <c r="G29" i="10"/>
  <c r="G28" i="10" s="1"/>
  <c r="AJ191" i="14"/>
  <c r="AE191" i="15"/>
  <c r="AG191" i="15" s="1"/>
  <c r="AE240" i="15"/>
  <c r="AG240" i="15" s="1"/>
  <c r="AJ240" i="14"/>
  <c r="AE225" i="15"/>
  <c r="AG225" i="15" s="1"/>
  <c r="AJ225" i="14"/>
  <c r="AJ239" i="14"/>
  <c r="AE239" i="15"/>
  <c r="AG239" i="15" s="1"/>
  <c r="G102" i="15"/>
  <c r="I102" i="15" s="1"/>
  <c r="M102" i="14"/>
  <c r="AJ237" i="13"/>
  <c r="AE237" i="14"/>
  <c r="AG237" i="14" s="1"/>
  <c r="AG180" i="14"/>
  <c r="AJ254" i="14"/>
  <c r="AE254" i="15"/>
  <c r="AG254" i="15" s="1"/>
  <c r="AJ255" i="14"/>
  <c r="AE255" i="15"/>
  <c r="AG255" i="15" s="1"/>
  <c r="AJ196" i="10"/>
  <c r="AE196" i="11"/>
  <c r="AZ27" i="8"/>
  <c r="AJ190" i="14"/>
  <c r="AE190" i="15"/>
  <c r="AG190" i="15" s="1"/>
  <c r="AE186" i="11"/>
  <c r="AG185" i="10"/>
  <c r="AJ186" i="10"/>
  <c r="AJ185" i="10" s="1"/>
  <c r="AE246" i="15"/>
  <c r="AG246" i="15" s="1"/>
  <c r="AJ246" i="14"/>
  <c r="G90" i="14"/>
  <c r="I90" i="14" s="1"/>
  <c r="M90" i="13"/>
  <c r="AR13" i="13"/>
  <c r="AW13" i="13"/>
  <c r="AY13" i="13" s="1"/>
  <c r="I101" i="11"/>
  <c r="G99" i="11"/>
  <c r="AE217" i="15"/>
  <c r="AG217" i="15" s="1"/>
  <c r="AJ217" i="14"/>
  <c r="AJ182" i="14"/>
  <c r="AE182" i="15"/>
  <c r="AG182" i="15" s="1"/>
  <c r="AE251" i="15"/>
  <c r="AG251" i="15" s="1"/>
  <c r="AJ251" i="14"/>
  <c r="AE215" i="15"/>
  <c r="AG215" i="15" s="1"/>
  <c r="AJ215" i="14"/>
  <c r="I86" i="10"/>
  <c r="AE212" i="11"/>
  <c r="AJ212" i="10"/>
  <c r="AJ205" i="15"/>
  <c r="AE205" i="16"/>
  <c r="AG205" i="16" s="1"/>
  <c r="AJ205" i="16" s="1"/>
  <c r="AJ250" i="14"/>
  <c r="AE250" i="15"/>
  <c r="AG250" i="15" s="1"/>
  <c r="AE189" i="14"/>
  <c r="AG189" i="14" s="1"/>
  <c r="AJ189" i="13"/>
  <c r="AJ197" i="14"/>
  <c r="AE197" i="15"/>
  <c r="AG197" i="15" s="1"/>
  <c r="AE244" i="11"/>
  <c r="AJ244" i="10"/>
  <c r="AE202" i="15"/>
  <c r="AG202" i="15" s="1"/>
  <c r="AJ202" i="14"/>
  <c r="AZ13" i="9"/>
  <c r="L90" i="10"/>
  <c r="AG228" i="11"/>
  <c r="AE227" i="11"/>
  <c r="AG223" i="11"/>
  <c r="L100" i="15"/>
  <c r="AE204" i="11"/>
  <c r="AG203" i="10"/>
  <c r="AJ204" i="10"/>
  <c r="AJ203" i="10" s="1"/>
  <c r="AJ216" i="14"/>
  <c r="AE216" i="15"/>
  <c r="AG216" i="15" s="1"/>
  <c r="AJ229" i="13"/>
  <c r="AE229" i="14"/>
  <c r="AG229" i="14" s="1"/>
  <c r="AG236" i="11"/>
  <c r="G105" i="15"/>
  <c r="I105" i="15" s="1"/>
  <c r="AJ199" i="14"/>
  <c r="AE199" i="15"/>
  <c r="AG199" i="15" s="1"/>
  <c r="J13" i="15" l="1"/>
  <c r="L13" i="15" s="1"/>
  <c r="N13" i="14"/>
  <c r="J12" i="14"/>
  <c r="L12" i="14" s="1"/>
  <c r="N12" i="13"/>
  <c r="G82" i="16"/>
  <c r="I82" i="16" s="1"/>
  <c r="M82" i="16" s="1"/>
  <c r="M82" i="15"/>
  <c r="BC8" i="12"/>
  <c r="AJ160" i="14"/>
  <c r="W110" i="14"/>
  <c r="W12" i="14"/>
  <c r="L119" i="11"/>
  <c r="J117" i="11"/>
  <c r="AQ16" i="15"/>
  <c r="AW16" i="15" s="1"/>
  <c r="AY16" i="15" s="1"/>
  <c r="BC7" i="15"/>
  <c r="AH245" i="14"/>
  <c r="AI245" i="14"/>
  <c r="AI51" i="14"/>
  <c r="AH51" i="14"/>
  <c r="AJ51" i="14"/>
  <c r="X49" i="14"/>
  <c r="AB222" i="16"/>
  <c r="AD223" i="16"/>
  <c r="AB228" i="14"/>
  <c r="AD227" i="13"/>
  <c r="AD220" i="13" s="1"/>
  <c r="AI228" i="13"/>
  <c r="AI227" i="13" s="1"/>
  <c r="AI220" i="13" s="1"/>
  <c r="I37" i="14"/>
  <c r="G35" i="14"/>
  <c r="L67" i="13"/>
  <c r="J66" i="13"/>
  <c r="G83" i="12"/>
  <c r="I81" i="11"/>
  <c r="M83" i="11"/>
  <c r="M81" i="11" s="1"/>
  <c r="AH239" i="16"/>
  <c r="AI239" i="16"/>
  <c r="X235" i="16"/>
  <c r="J50" i="14"/>
  <c r="N50" i="13"/>
  <c r="N48" i="13" s="1"/>
  <c r="L48" i="13"/>
  <c r="W159" i="16"/>
  <c r="W157" i="15"/>
  <c r="W155" i="15" s="1"/>
  <c r="W145" i="15" s="1"/>
  <c r="X159" i="15"/>
  <c r="W115" i="16"/>
  <c r="W114" i="15"/>
  <c r="W112" i="15" s="1"/>
  <c r="X115" i="15"/>
  <c r="E76" i="16"/>
  <c r="E75" i="15"/>
  <c r="F76" i="15"/>
  <c r="X245" i="15"/>
  <c r="V245" i="16"/>
  <c r="V243" i="15"/>
  <c r="V234" i="15" s="1"/>
  <c r="V232" i="15" s="1"/>
  <c r="BC11" i="14"/>
  <c r="F25" i="14"/>
  <c r="AQ8" i="14" s="1"/>
  <c r="M26" i="14"/>
  <c r="M25" i="14" s="1"/>
  <c r="N26" i="14"/>
  <c r="N25" i="14" s="1"/>
  <c r="M33" i="16"/>
  <c r="M32" i="16" s="1"/>
  <c r="F32" i="16"/>
  <c r="F28" i="16" s="1"/>
  <c r="BC13" i="16"/>
  <c r="C13" i="20" s="1"/>
  <c r="X94" i="15"/>
  <c r="V91" i="15"/>
  <c r="V90" i="15" s="1"/>
  <c r="V94" i="16"/>
  <c r="V160" i="16"/>
  <c r="X160" i="15"/>
  <c r="AI160" i="15" s="1"/>
  <c r="V157" i="15"/>
  <c r="V155" i="15" s="1"/>
  <c r="M46" i="14"/>
  <c r="BC15" i="14"/>
  <c r="F45" i="14"/>
  <c r="BJ13" i="10"/>
  <c r="D70" i="16"/>
  <c r="F70" i="15"/>
  <c r="F69" i="15" s="1"/>
  <c r="D69" i="15"/>
  <c r="X91" i="14"/>
  <c r="AJ94" i="14"/>
  <c r="AH94" i="14"/>
  <c r="AH91" i="14" s="1"/>
  <c r="AI94" i="14"/>
  <c r="L46" i="13"/>
  <c r="J45" i="13"/>
  <c r="AH197" i="16"/>
  <c r="AI197" i="16"/>
  <c r="X195" i="16"/>
  <c r="X194" i="16" s="1"/>
  <c r="AJ159" i="14"/>
  <c r="AI159" i="14"/>
  <c r="AH159" i="14"/>
  <c r="X157" i="14"/>
  <c r="X155" i="14" s="1"/>
  <c r="BN17" i="14" s="1"/>
  <c r="AI115" i="14"/>
  <c r="AJ115" i="14"/>
  <c r="AH115" i="14"/>
  <c r="X114" i="14"/>
  <c r="X112" i="14" s="1"/>
  <c r="Y236" i="14"/>
  <c r="AH236" i="13"/>
  <c r="AH235" i="13" s="1"/>
  <c r="AA235" i="13"/>
  <c r="N76" i="14"/>
  <c r="N75" i="14" s="1"/>
  <c r="F75" i="14"/>
  <c r="AQ9" i="14" s="1"/>
  <c r="W51" i="16"/>
  <c r="X51" i="15"/>
  <c r="W49" i="15"/>
  <c r="W43" i="15" s="1"/>
  <c r="W14" i="15" s="1"/>
  <c r="AW30" i="10"/>
  <c r="AY30" i="10" s="1"/>
  <c r="AU30" i="10"/>
  <c r="D26" i="16"/>
  <c r="D25" i="15"/>
  <c r="F26" i="15"/>
  <c r="M14" i="16"/>
  <c r="F10" i="16"/>
  <c r="AB236" i="12"/>
  <c r="AD235" i="11"/>
  <c r="AD234" i="11" s="1"/>
  <c r="AD232" i="11" s="1"/>
  <c r="AI236" i="11"/>
  <c r="AI235" i="11" s="1"/>
  <c r="AI234" i="11" s="1"/>
  <c r="AI232" i="11" s="1"/>
  <c r="X193" i="15"/>
  <c r="AQ28" i="15" s="1"/>
  <c r="BN28" i="15"/>
  <c r="AZ8" i="13"/>
  <c r="AV8" i="13"/>
  <c r="AU8" i="13"/>
  <c r="AY8" i="13"/>
  <c r="E46" i="16"/>
  <c r="E45" i="15"/>
  <c r="F46" i="15"/>
  <c r="N108" i="10"/>
  <c r="X43" i="13"/>
  <c r="F8" i="10"/>
  <c r="A1" i="10" s="1"/>
  <c r="F21" i="13"/>
  <c r="AG241" i="10"/>
  <c r="AE235" i="10"/>
  <c r="AG213" i="10"/>
  <c r="AE211" i="10"/>
  <c r="AE210" i="10" s="1"/>
  <c r="AE209" i="10" s="1"/>
  <c r="AE207" i="10" s="1"/>
  <c r="AG117" i="10"/>
  <c r="AE114" i="10"/>
  <c r="AV17" i="8"/>
  <c r="J15" i="14"/>
  <c r="L15" i="14" s="1"/>
  <c r="N15" i="13"/>
  <c r="X63" i="13"/>
  <c r="V258" i="12"/>
  <c r="V14" i="14"/>
  <c r="D17" i="13"/>
  <c r="AS32" i="7"/>
  <c r="AV32" i="7" s="1"/>
  <c r="BJ8" i="8"/>
  <c r="BJ7" i="8" s="1"/>
  <c r="BJ16" i="8" s="1"/>
  <c r="AI10" i="8"/>
  <c r="AI8" i="8" s="1"/>
  <c r="X10" i="12"/>
  <c r="X8" i="12" s="1"/>
  <c r="AI112" i="9"/>
  <c r="AB110" i="9"/>
  <c r="BN8" i="12"/>
  <c r="BN7" i="12" s="1"/>
  <c r="BN32" i="12" s="1"/>
  <c r="AX17" i="8"/>
  <c r="AZ17" i="8"/>
  <c r="G21" i="9"/>
  <c r="G19" i="9" s="1"/>
  <c r="G17" i="9" s="1"/>
  <c r="G8" i="9" s="1"/>
  <c r="G121" i="9" s="1"/>
  <c r="G125" i="9" s="1"/>
  <c r="G64" i="15"/>
  <c r="I64" i="15" s="1"/>
  <c r="BD14" i="14"/>
  <c r="M64" i="14"/>
  <c r="BC19" i="13"/>
  <c r="F85" i="13"/>
  <c r="F19" i="13" s="1"/>
  <c r="G50" i="10"/>
  <c r="I48" i="9"/>
  <c r="M50" i="9"/>
  <c r="M48" i="9" s="1"/>
  <c r="AA212" i="11"/>
  <c r="Y211" i="11"/>
  <c r="Y210" i="11" s="1"/>
  <c r="Y209" i="11" s="1"/>
  <c r="Y207" i="11" s="1"/>
  <c r="F121" i="10"/>
  <c r="F125" i="10" s="1"/>
  <c r="AE116" i="12"/>
  <c r="AJ116" i="11"/>
  <c r="AH100" i="14"/>
  <c r="AJ100" i="14"/>
  <c r="X96" i="14"/>
  <c r="X90" i="14" s="1"/>
  <c r="AI100" i="14"/>
  <c r="AH181" i="14"/>
  <c r="AI181" i="14"/>
  <c r="X176" i="14"/>
  <c r="X170" i="14" s="1"/>
  <c r="BN33" i="9"/>
  <c r="BH19" i="9" s="1"/>
  <c r="BH20" i="9" s="1"/>
  <c r="AQ31" i="9"/>
  <c r="E68" i="16"/>
  <c r="E66" i="15"/>
  <c r="F68" i="15"/>
  <c r="G55" i="11"/>
  <c r="I54" i="10"/>
  <c r="M55" i="10"/>
  <c r="M54" i="10" s="1"/>
  <c r="V106" i="16"/>
  <c r="V105" i="15"/>
  <c r="V104" i="15" s="1"/>
  <c r="X106" i="15"/>
  <c r="X149" i="14"/>
  <c r="X147" i="14" s="1"/>
  <c r="AJ150" i="14"/>
  <c r="AJ149" i="14" s="1"/>
  <c r="AJ147" i="14" s="1"/>
  <c r="AI150" i="14"/>
  <c r="AH150" i="14"/>
  <c r="AI213" i="14"/>
  <c r="AH213" i="14"/>
  <c r="X211" i="14"/>
  <c r="X210" i="14" s="1"/>
  <c r="X209" i="14" s="1"/>
  <c r="W75" i="16"/>
  <c r="W69" i="15"/>
  <c r="W65" i="15" s="1"/>
  <c r="X75" i="15"/>
  <c r="AX31" i="8"/>
  <c r="AZ31" i="8" s="1"/>
  <c r="AW31" i="8"/>
  <c r="AY31" i="8" s="1"/>
  <c r="AQ32" i="8"/>
  <c r="AQ33" i="8" s="1"/>
  <c r="AQ24" i="13"/>
  <c r="BN14" i="13"/>
  <c r="BH9" i="13" s="1"/>
  <c r="X24" i="16"/>
  <c r="V20" i="16"/>
  <c r="V16" i="16" s="1"/>
  <c r="AH217" i="14"/>
  <c r="AI217" i="14"/>
  <c r="AA207" i="10"/>
  <c r="BO27" i="10"/>
  <c r="I95" i="10"/>
  <c r="G93" i="10"/>
  <c r="G85" i="10" s="1"/>
  <c r="AA249" i="11"/>
  <c r="Y243" i="11"/>
  <c r="Y234" i="11" s="1"/>
  <c r="Y232" i="11" s="1"/>
  <c r="AQ27" i="13"/>
  <c r="BN24" i="13"/>
  <c r="BN22" i="13" s="1"/>
  <c r="BH11" i="13" s="1"/>
  <c r="G59" i="11"/>
  <c r="I57" i="10"/>
  <c r="M59" i="10"/>
  <c r="M57" i="10" s="1"/>
  <c r="AG143" i="11"/>
  <c r="AE141" i="11"/>
  <c r="X207" i="13"/>
  <c r="AQ29" i="13" s="1"/>
  <c r="BN27" i="13"/>
  <c r="BN25" i="13" s="1"/>
  <c r="BH12" i="13" s="1"/>
  <c r="D105" i="15"/>
  <c r="F105" i="14"/>
  <c r="D99" i="14"/>
  <c r="AJ224" i="9"/>
  <c r="AJ222" i="9" s="1"/>
  <c r="AJ220" i="9" s="1"/>
  <c r="AE224" i="10"/>
  <c r="AG222" i="9"/>
  <c r="AG220" i="9" s="1"/>
  <c r="AH255" i="16"/>
  <c r="AI255" i="16"/>
  <c r="W251" i="16"/>
  <c r="X251" i="15"/>
  <c r="W243" i="15"/>
  <c r="W234" i="15" s="1"/>
  <c r="W232" i="15" s="1"/>
  <c r="AH76" i="14"/>
  <c r="AI76" i="14"/>
  <c r="AJ76" i="14"/>
  <c r="AB39" i="11"/>
  <c r="AD35" i="10"/>
  <c r="AI39" i="10"/>
  <c r="AI35" i="10" s="1"/>
  <c r="D61" i="16"/>
  <c r="F61" i="15"/>
  <c r="D60" i="15"/>
  <c r="AW17" i="8"/>
  <c r="AE14" i="9"/>
  <c r="AE12" i="9" s="1"/>
  <c r="AE10" i="9" s="1"/>
  <c r="AE8" i="9" s="1"/>
  <c r="X258" i="10"/>
  <c r="BN12" i="13"/>
  <c r="BN9" i="13" s="1"/>
  <c r="BN29" i="13"/>
  <c r="AQ30" i="13"/>
  <c r="F121" i="9"/>
  <c r="F125" i="9" s="1"/>
  <c r="A1" i="9"/>
  <c r="E56" i="16"/>
  <c r="E54" i="15"/>
  <c r="F56" i="15"/>
  <c r="AE135" i="16"/>
  <c r="AG135" i="16" s="1"/>
  <c r="AJ135" i="16" s="1"/>
  <c r="AJ135" i="15"/>
  <c r="AB215" i="12"/>
  <c r="AI215" i="11"/>
  <c r="AI211" i="11" s="1"/>
  <c r="AI210" i="11" s="1"/>
  <c r="AI209" i="11" s="1"/>
  <c r="AI207" i="11" s="1"/>
  <c r="AD211" i="11"/>
  <c r="AD210" i="11" s="1"/>
  <c r="AD209" i="11" s="1"/>
  <c r="AD117" i="10"/>
  <c r="AB114" i="10"/>
  <c r="Y101" i="15"/>
  <c r="AA96" i="14"/>
  <c r="AA90" i="14" s="1"/>
  <c r="AH101" i="14"/>
  <c r="F94" i="15"/>
  <c r="D94" i="16"/>
  <c r="D93" i="15"/>
  <c r="D85" i="15" s="1"/>
  <c r="AI24" i="15"/>
  <c r="AJ24" i="15"/>
  <c r="AH24" i="15"/>
  <c r="X20" i="15"/>
  <c r="X16" i="15" s="1"/>
  <c r="BD19" i="9"/>
  <c r="I85" i="9"/>
  <c r="D73" i="16"/>
  <c r="D72" i="15"/>
  <c r="F73" i="15"/>
  <c r="AE106" i="16"/>
  <c r="AG105" i="15"/>
  <c r="AG104" i="15" s="1"/>
  <c r="W100" i="16"/>
  <c r="W96" i="15"/>
  <c r="W90" i="15" s="1"/>
  <c r="X100" i="15"/>
  <c r="AJ152" i="15"/>
  <c r="AE152" i="16"/>
  <c r="AG149" i="15"/>
  <c r="AG147" i="15" s="1"/>
  <c r="W181" i="16"/>
  <c r="W176" i="15"/>
  <c r="W170" i="15" s="1"/>
  <c r="X181" i="15"/>
  <c r="Y237" i="16"/>
  <c r="AH237" i="15"/>
  <c r="AI251" i="14"/>
  <c r="AI243" i="14" s="1"/>
  <c r="AH251" i="14"/>
  <c r="X243" i="14"/>
  <c r="X234" i="14" s="1"/>
  <c r="X232" i="14" s="1"/>
  <c r="V41" i="16"/>
  <c r="X41" i="15"/>
  <c r="V35" i="15"/>
  <c r="V45" i="16"/>
  <c r="X45" i="15"/>
  <c r="V44" i="15"/>
  <c r="V43" i="15" s="1"/>
  <c r="L33" i="16"/>
  <c r="J32" i="16"/>
  <c r="BN16" i="13"/>
  <c r="X145" i="13"/>
  <c r="X110" i="13" s="1"/>
  <c r="AQ26" i="13" s="1"/>
  <c r="L14" i="10"/>
  <c r="J10" i="10"/>
  <c r="BH7" i="12"/>
  <c r="BH16" i="12" s="1"/>
  <c r="X14" i="13"/>
  <c r="X12" i="13" s="1"/>
  <c r="V63" i="14"/>
  <c r="D21" i="14"/>
  <c r="D19" i="14" s="1"/>
  <c r="AB37" i="16"/>
  <c r="AI37" i="15"/>
  <c r="BC10" i="13"/>
  <c r="N56" i="14"/>
  <c r="N54" i="14" s="1"/>
  <c r="M56" i="14"/>
  <c r="F54" i="14"/>
  <c r="V213" i="16"/>
  <c r="X213" i="15"/>
  <c r="V211" i="15"/>
  <c r="V210" i="15" s="1"/>
  <c r="V209" i="15" s="1"/>
  <c r="V207" i="15" s="1"/>
  <c r="L49" i="16"/>
  <c r="BH15" i="13"/>
  <c r="BN13" i="13"/>
  <c r="AQ25" i="13"/>
  <c r="W217" i="16"/>
  <c r="X217" i="15"/>
  <c r="W211" i="15"/>
  <c r="W210" i="15" s="1"/>
  <c r="W209" i="15" s="1"/>
  <c r="W207" i="15" s="1"/>
  <c r="M73" i="14"/>
  <c r="F72" i="14"/>
  <c r="N73" i="14"/>
  <c r="N72" i="14" s="1"/>
  <c r="I68" i="10"/>
  <c r="G66" i="10"/>
  <c r="Y224" i="16"/>
  <c r="AA222" i="15"/>
  <c r="AH224" i="15"/>
  <c r="AH222" i="15" s="1"/>
  <c r="F99" i="13"/>
  <c r="BC18" i="13"/>
  <c r="M105" i="13"/>
  <c r="AE86" i="12"/>
  <c r="AG83" i="11"/>
  <c r="AJ86" i="11"/>
  <c r="AJ83" i="11" s="1"/>
  <c r="E8" i="13"/>
  <c r="E121" i="13" s="1"/>
  <c r="E125" i="13" s="1"/>
  <c r="W258" i="13"/>
  <c r="V76" i="16"/>
  <c r="X76" i="15"/>
  <c r="V69" i="15"/>
  <c r="V65" i="15" s="1"/>
  <c r="V63" i="15" s="1"/>
  <c r="Y190" i="15"/>
  <c r="AA187" i="14"/>
  <c r="AA185" i="14" s="1"/>
  <c r="AH190" i="14"/>
  <c r="AH187" i="14" s="1"/>
  <c r="AH185" i="14" s="1"/>
  <c r="N118" i="12"/>
  <c r="M118" i="12"/>
  <c r="M117" i="12" s="1"/>
  <c r="F117" i="12"/>
  <c r="L53" i="11"/>
  <c r="J51" i="11"/>
  <c r="N68" i="14"/>
  <c r="F66" i="14"/>
  <c r="L37" i="11"/>
  <c r="J35" i="11"/>
  <c r="J28" i="11" s="1"/>
  <c r="AD22" i="12"/>
  <c r="AB20" i="12"/>
  <c r="Y230" i="12"/>
  <c r="AA227" i="11"/>
  <c r="AA220" i="11" s="1"/>
  <c r="BO30" i="11" s="1"/>
  <c r="BI14" i="11" s="1"/>
  <c r="AH230" i="11"/>
  <c r="AH227" i="11" s="1"/>
  <c r="AH220" i="11" s="1"/>
  <c r="AJ106" i="14"/>
  <c r="AJ105" i="14" s="1"/>
  <c r="AJ104" i="14" s="1"/>
  <c r="X105" i="14"/>
  <c r="X104" i="14" s="1"/>
  <c r="AH106" i="14"/>
  <c r="AH105" i="14" s="1"/>
  <c r="AH104" i="14" s="1"/>
  <c r="V150" i="16"/>
  <c r="V149" i="15"/>
  <c r="V147" i="15" s="1"/>
  <c r="X150" i="15"/>
  <c r="AH75" i="14"/>
  <c r="AI75" i="14"/>
  <c r="AJ75" i="14"/>
  <c r="X69" i="14"/>
  <c r="X65" i="14" s="1"/>
  <c r="BN12" i="14" s="1"/>
  <c r="BN9" i="14" s="1"/>
  <c r="AE52" i="10"/>
  <c r="AG49" i="9"/>
  <c r="AG43" i="9" s="1"/>
  <c r="AJ52" i="9"/>
  <c r="AJ49" i="9" s="1"/>
  <c r="AJ43" i="9" s="1"/>
  <c r="AV29" i="12"/>
  <c r="AU29" i="12"/>
  <c r="M67" i="16"/>
  <c r="F17" i="12"/>
  <c r="AQ14" i="12"/>
  <c r="AI87" i="16"/>
  <c r="AJ87" i="16"/>
  <c r="AH87" i="16"/>
  <c r="AH83" i="16" s="1"/>
  <c r="M94" i="14"/>
  <c r="N94" i="14"/>
  <c r="F93" i="14"/>
  <c r="BC21" i="11"/>
  <c r="BC23" i="11" s="1"/>
  <c r="BH17" i="11" s="1"/>
  <c r="F108" i="11"/>
  <c r="AQ15" i="11" s="1"/>
  <c r="AW15" i="11" s="1"/>
  <c r="AY15" i="11" s="1"/>
  <c r="AG99" i="10"/>
  <c r="AE96" i="10"/>
  <c r="E105" i="16"/>
  <c r="E99" i="16" s="1"/>
  <c r="E99" i="15"/>
  <c r="AI41" i="14"/>
  <c r="AJ41" i="14"/>
  <c r="BN31" i="14"/>
  <c r="BH15" i="14" s="1"/>
  <c r="X35" i="14"/>
  <c r="L70" i="11"/>
  <c r="J69" i="11"/>
  <c r="AI45" i="14"/>
  <c r="AI44" i="14" s="1"/>
  <c r="X44" i="14"/>
  <c r="N61" i="14"/>
  <c r="F60" i="14"/>
  <c r="BC17" i="14"/>
  <c r="D118" i="14"/>
  <c r="F118" i="13"/>
  <c r="D117" i="13"/>
  <c r="D108" i="13" s="1"/>
  <c r="V258" i="13" s="1"/>
  <c r="AG97" i="11"/>
  <c r="F123" i="14"/>
  <c r="N8" i="8"/>
  <c r="N121" i="8" s="1"/>
  <c r="N125" i="8" s="1"/>
  <c r="AS30" i="9"/>
  <c r="AV30" i="9" s="1"/>
  <c r="E21" i="14"/>
  <c r="E19" i="14" s="1"/>
  <c r="E17" i="14" s="1"/>
  <c r="AQ23" i="13"/>
  <c r="AX30" i="9"/>
  <c r="AZ30" i="9" s="1"/>
  <c r="AG245" i="10"/>
  <c r="AE243" i="10"/>
  <c r="AW28" i="8"/>
  <c r="AY28" i="8" s="1"/>
  <c r="AU28" i="8"/>
  <c r="AB204" i="10"/>
  <c r="AD203" i="9"/>
  <c r="AD194" i="9" s="1"/>
  <c r="AI204" i="9"/>
  <c r="AI203" i="9" s="1"/>
  <c r="AI194" i="9" s="1"/>
  <c r="AI193" i="9" s="1"/>
  <c r="AJ198" i="9"/>
  <c r="AJ195" i="9" s="1"/>
  <c r="AJ194" i="9" s="1"/>
  <c r="AJ193" i="9" s="1"/>
  <c r="AE198" i="10"/>
  <c r="AG195" i="9"/>
  <c r="AG194" i="9" s="1"/>
  <c r="AG193" i="9" s="1"/>
  <c r="AS28" i="9" s="1"/>
  <c r="AB198" i="13"/>
  <c r="AD195" i="12"/>
  <c r="AI198" i="12"/>
  <c r="AI195" i="12" s="1"/>
  <c r="AZ35" i="5"/>
  <c r="AA196" i="10"/>
  <c r="Y195" i="10"/>
  <c r="Y194" i="10" s="1"/>
  <c r="Y193" i="10" s="1"/>
  <c r="AA193" i="9"/>
  <c r="BO28" i="9"/>
  <c r="BO25" i="9" s="1"/>
  <c r="BI12" i="9" s="1"/>
  <c r="AD191" i="12"/>
  <c r="AB185" i="12"/>
  <c r="AG183" i="10"/>
  <c r="AE176" i="10"/>
  <c r="AE170" i="10" s="1"/>
  <c r="BP33" i="7"/>
  <c r="Y177" i="10"/>
  <c r="AA176" i="9"/>
  <c r="AA170" i="9" s="1"/>
  <c r="BO24" i="9" s="1"/>
  <c r="BO23" i="9"/>
  <c r="AH177" i="9"/>
  <c r="AH176" i="9" s="1"/>
  <c r="AH170" i="9" s="1"/>
  <c r="AW27" i="10"/>
  <c r="AY27" i="10" s="1"/>
  <c r="AU27" i="10"/>
  <c r="AE168" i="15"/>
  <c r="AG168" i="15" s="1"/>
  <c r="AJ168" i="14"/>
  <c r="AJ110" i="9"/>
  <c r="AG162" i="10"/>
  <c r="AE157" i="10"/>
  <c r="AE155" i="10" s="1"/>
  <c r="AE145" i="10" s="1"/>
  <c r="AG110" i="9"/>
  <c r="AS26" i="9" s="1"/>
  <c r="AX26" i="9" s="1"/>
  <c r="AZ26" i="9" s="1"/>
  <c r="AD162" i="13"/>
  <c r="AB157" i="13"/>
  <c r="AB155" i="13" s="1"/>
  <c r="AH155" i="9"/>
  <c r="AH145" i="9" s="1"/>
  <c r="AH110" i="9" s="1"/>
  <c r="AA160" i="10"/>
  <c r="Y157" i="10"/>
  <c r="Y155" i="10" s="1"/>
  <c r="AY35" i="6"/>
  <c r="AA156" i="10"/>
  <c r="AA246" i="15"/>
  <c r="AA10" i="8"/>
  <c r="AA8" i="8" s="1"/>
  <c r="U1" i="8" s="1"/>
  <c r="AD142" i="15"/>
  <c r="AB141" i="15"/>
  <c r="BH14" i="16"/>
  <c r="C54" i="20"/>
  <c r="Y199" i="16"/>
  <c r="AH199" i="15"/>
  <c r="AU26" i="8"/>
  <c r="AW26" i="8"/>
  <c r="AY26" i="8" s="1"/>
  <c r="AB152" i="10"/>
  <c r="AD149" i="9"/>
  <c r="AD147" i="9" s="1"/>
  <c r="AI152" i="9"/>
  <c r="AI149" i="9" s="1"/>
  <c r="AI147" i="9" s="1"/>
  <c r="AI145" i="9" s="1"/>
  <c r="AD10" i="8"/>
  <c r="AD8" i="8" s="1"/>
  <c r="AA145" i="9"/>
  <c r="BO16" i="9"/>
  <c r="AA151" i="10"/>
  <c r="Y149" i="10"/>
  <c r="Y147" i="10" s="1"/>
  <c r="AB134" i="16"/>
  <c r="AD134" i="16" s="1"/>
  <c r="AI134" i="16" s="1"/>
  <c r="AI134" i="15"/>
  <c r="Y134" i="16"/>
  <c r="AA134" i="16" s="1"/>
  <c r="AH134" i="16" s="1"/>
  <c r="AH134" i="15"/>
  <c r="AE126" i="15"/>
  <c r="AG126" i="15" s="1"/>
  <c r="AJ126" i="14"/>
  <c r="AB126" i="15"/>
  <c r="AD126" i="15" s="1"/>
  <c r="BP19" i="14"/>
  <c r="AI126" i="14"/>
  <c r="AA126" i="10"/>
  <c r="Y123" i="10"/>
  <c r="Y112" i="10" s="1"/>
  <c r="BO17" i="9"/>
  <c r="AA112" i="9"/>
  <c r="AD124" i="10"/>
  <c r="AB123" i="10"/>
  <c r="BP17" i="9"/>
  <c r="AD112" i="9"/>
  <c r="AA116" i="12"/>
  <c r="Y114" i="12"/>
  <c r="AB106" i="10"/>
  <c r="AD105" i="9"/>
  <c r="AD104" i="9" s="1"/>
  <c r="AI106" i="9"/>
  <c r="AI105" i="9" s="1"/>
  <c r="AI104" i="9" s="1"/>
  <c r="AJ8" i="8"/>
  <c r="AU25" i="8"/>
  <c r="AB97" i="10"/>
  <c r="AD96" i="9"/>
  <c r="AD90" i="9" s="1"/>
  <c r="AI97" i="9"/>
  <c r="AI96" i="9" s="1"/>
  <c r="AI90" i="9" s="1"/>
  <c r="AE92" i="10"/>
  <c r="AG91" i="9"/>
  <c r="AG90" i="9" s="1"/>
  <c r="AJ92" i="9"/>
  <c r="AJ91" i="9" s="1"/>
  <c r="AJ90" i="9" s="1"/>
  <c r="AJ63" i="9" s="1"/>
  <c r="AV25" i="8"/>
  <c r="AX25" i="8"/>
  <c r="AZ25" i="8" s="1"/>
  <c r="AY35" i="7"/>
  <c r="BP8" i="8"/>
  <c r="BP7" i="8" s="1"/>
  <c r="BP32" i="8" s="1"/>
  <c r="AB63" i="9"/>
  <c r="AB12" i="9" s="1"/>
  <c r="AB84" i="10"/>
  <c r="AD83" i="9"/>
  <c r="AI84" i="9"/>
  <c r="AI83" i="9" s="1"/>
  <c r="AW24" i="8"/>
  <c r="AY24" i="8" s="1"/>
  <c r="AU24" i="8"/>
  <c r="AJ81" i="15"/>
  <c r="AE81" i="16"/>
  <c r="AG81" i="16" s="1"/>
  <c r="AJ81" i="16" s="1"/>
  <c r="AW23" i="8"/>
  <c r="AY23" i="8" s="1"/>
  <c r="AU23" i="8"/>
  <c r="AB79" i="10"/>
  <c r="AD69" i="9"/>
  <c r="AD65" i="9" s="1"/>
  <c r="AI79" i="9"/>
  <c r="AI69" i="9" s="1"/>
  <c r="AI65" i="9" s="1"/>
  <c r="AG77" i="10"/>
  <c r="AE69" i="10"/>
  <c r="AE65" i="10" s="1"/>
  <c r="AA70" i="10"/>
  <c r="Y69" i="10"/>
  <c r="Y65" i="10" s="1"/>
  <c r="Y63" i="10" s="1"/>
  <c r="AA63" i="9"/>
  <c r="BO12" i="9"/>
  <c r="BO9" i="9" s="1"/>
  <c r="AG67" i="11"/>
  <c r="AB67" i="15"/>
  <c r="AD67" i="15" s="1"/>
  <c r="BP11" i="14"/>
  <c r="AI67" i="14"/>
  <c r="AB66" i="11"/>
  <c r="AI66" i="10"/>
  <c r="AR22" i="10"/>
  <c r="AW22" i="10" s="1"/>
  <c r="AY22" i="10" s="1"/>
  <c r="AD59" i="10"/>
  <c r="AB58" i="10"/>
  <c r="AB57" i="10" s="1"/>
  <c r="AI14" i="9"/>
  <c r="Y55" i="15"/>
  <c r="AA55" i="15" s="1"/>
  <c r="AH55" i="14"/>
  <c r="Y14" i="9"/>
  <c r="Y12" i="9" s="1"/>
  <c r="Y10" i="9" s="1"/>
  <c r="Y8" i="9" s="1"/>
  <c r="AA43" i="9"/>
  <c r="BO13" i="9" s="1"/>
  <c r="AH8" i="8"/>
  <c r="AY25" i="8"/>
  <c r="AD50" i="10"/>
  <c r="AB49" i="10"/>
  <c r="AB43" i="10" s="1"/>
  <c r="AD14" i="9"/>
  <c r="AA50" i="10"/>
  <c r="Y49" i="10"/>
  <c r="AH43" i="9"/>
  <c r="AG45" i="10"/>
  <c r="AE44" i="10"/>
  <c r="AA45" i="10"/>
  <c r="Y44" i="10"/>
  <c r="BI9" i="8"/>
  <c r="BI7" i="8" s="1"/>
  <c r="BI16" i="8" s="1"/>
  <c r="BO8" i="8"/>
  <c r="BO7" i="8" s="1"/>
  <c r="BO32" i="8" s="1"/>
  <c r="Y41" i="10"/>
  <c r="AA35" i="9"/>
  <c r="BO31" i="9"/>
  <c r="BI15" i="9" s="1"/>
  <c r="AH41" i="9"/>
  <c r="AH35" i="9" s="1"/>
  <c r="AG38" i="10"/>
  <c r="AE35" i="10"/>
  <c r="AX24" i="9"/>
  <c r="AZ24" i="9" s="1"/>
  <c r="AV24" i="9"/>
  <c r="AB33" i="15"/>
  <c r="AD33" i="15" s="1"/>
  <c r="AI33" i="14"/>
  <c r="AG8" i="8"/>
  <c r="AG258" i="8"/>
  <c r="AS31" i="8" s="1"/>
  <c r="AE23" i="10"/>
  <c r="AG20" i="9"/>
  <c r="AG16" i="9" s="1"/>
  <c r="AJ23" i="9"/>
  <c r="AJ20" i="9" s="1"/>
  <c r="AJ16" i="9" s="1"/>
  <c r="AV23" i="8"/>
  <c r="AX23" i="8"/>
  <c r="AG17" i="11"/>
  <c r="AX22" i="10"/>
  <c r="AZ22" i="10" s="1"/>
  <c r="AV22" i="10"/>
  <c r="AD17" i="11"/>
  <c r="AB16" i="11"/>
  <c r="AA17" i="11"/>
  <c r="Y16" i="11"/>
  <c r="G113" i="10"/>
  <c r="BD20" i="9"/>
  <c r="I108" i="9"/>
  <c r="AR15" i="9" s="1"/>
  <c r="M113" i="9"/>
  <c r="M108" i="9" s="1"/>
  <c r="L116" i="11"/>
  <c r="J108" i="11"/>
  <c r="J96" i="10"/>
  <c r="L93" i="9"/>
  <c r="AX14" i="9" s="1"/>
  <c r="AZ14" i="9" s="1"/>
  <c r="N96" i="9"/>
  <c r="N93" i="9" s="1"/>
  <c r="AR32" i="7"/>
  <c r="AU31" i="7"/>
  <c r="L8" i="8"/>
  <c r="L121" i="8" s="1"/>
  <c r="L125" i="8" s="1"/>
  <c r="J86" i="10"/>
  <c r="N86" i="9"/>
  <c r="J8" i="9"/>
  <c r="J121" i="9" s="1"/>
  <c r="J125" i="9" s="1"/>
  <c r="J79" i="11"/>
  <c r="N79" i="10"/>
  <c r="G79" i="11"/>
  <c r="M79" i="10"/>
  <c r="I76" i="10"/>
  <c r="AW9" i="10" s="1"/>
  <c r="AY9" i="10" s="1"/>
  <c r="G75" i="10"/>
  <c r="G74" i="10"/>
  <c r="I72" i="9"/>
  <c r="M74" i="9"/>
  <c r="M72" i="9" s="1"/>
  <c r="I70" i="10"/>
  <c r="G69" i="10"/>
  <c r="AE258" i="8"/>
  <c r="M8" i="8"/>
  <c r="M121" i="8" s="1"/>
  <c r="M125" i="8" s="1"/>
  <c r="G65" i="10"/>
  <c r="I63" i="9"/>
  <c r="M65" i="9"/>
  <c r="I123" i="9"/>
  <c r="BD22" i="9"/>
  <c r="AW14" i="9"/>
  <c r="AY14" i="9" s="1"/>
  <c r="N60" i="9"/>
  <c r="N21" i="9" s="1"/>
  <c r="N123" i="9"/>
  <c r="L62" i="10"/>
  <c r="J60" i="10"/>
  <c r="J21" i="10" s="1"/>
  <c r="J123" i="10"/>
  <c r="I61" i="10"/>
  <c r="G60" i="10"/>
  <c r="AR14" i="8"/>
  <c r="I17" i="8"/>
  <c r="AW7" i="9"/>
  <c r="AY7" i="9" s="1"/>
  <c r="I22" i="9"/>
  <c r="G23" i="10"/>
  <c r="M23" i="9"/>
  <c r="M22" i="9" s="1"/>
  <c r="BD12" i="9"/>
  <c r="BD10" i="9" s="1"/>
  <c r="BD9" i="9" s="1"/>
  <c r="J5" i="7"/>
  <c r="I121" i="7"/>
  <c r="K1" i="7"/>
  <c r="J55" i="16"/>
  <c r="L54" i="15"/>
  <c r="N55" i="15"/>
  <c r="AB127" i="12"/>
  <c r="AI127" i="11"/>
  <c r="L95" i="15"/>
  <c r="AD168" i="16"/>
  <c r="AG84" i="16"/>
  <c r="L99" i="10"/>
  <c r="N105" i="10"/>
  <c r="N99" i="10" s="1"/>
  <c r="J105" i="11"/>
  <c r="AJ46" i="15"/>
  <c r="AE46" i="16"/>
  <c r="AG54" i="16"/>
  <c r="Y23" i="15"/>
  <c r="AA20" i="14"/>
  <c r="AH23" i="14"/>
  <c r="AH20" i="14" s="1"/>
  <c r="AJ22" i="16"/>
  <c r="AG174" i="15"/>
  <c r="AE172" i="15"/>
  <c r="AB178" i="12"/>
  <c r="AD176" i="11"/>
  <c r="AD170" i="11" s="1"/>
  <c r="AI178" i="11"/>
  <c r="AI176" i="11" s="1"/>
  <c r="AI170" i="11" s="1"/>
  <c r="AJ134" i="15"/>
  <c r="AE134" i="16"/>
  <c r="AG134" i="16" s="1"/>
  <c r="AJ134" i="16" s="1"/>
  <c r="AG129" i="10"/>
  <c r="AE123" i="10"/>
  <c r="AE112" i="10" s="1"/>
  <c r="AD116" i="11"/>
  <c r="P121" i="14"/>
  <c r="P125" i="14" s="1"/>
  <c r="AD92" i="11"/>
  <c r="AB91" i="11"/>
  <c r="AJ124" i="15"/>
  <c r="AE124" i="16"/>
  <c r="I111" i="14"/>
  <c r="O25" i="20"/>
  <c r="BE23" i="14"/>
  <c r="C121" i="14"/>
  <c r="C125" i="14" s="1"/>
  <c r="B8" i="16"/>
  <c r="K123" i="15"/>
  <c r="K121" i="15" s="1"/>
  <c r="K125" i="15" s="1"/>
  <c r="D123" i="15"/>
  <c r="H123" i="15"/>
  <c r="Q123" i="15"/>
  <c r="Q121" i="15" s="1"/>
  <c r="Q125" i="15" s="1"/>
  <c r="E123" i="15"/>
  <c r="P123" i="15"/>
  <c r="P121" i="15" s="1"/>
  <c r="P125" i="15" s="1"/>
  <c r="C123" i="15"/>
  <c r="C121" i="15" s="1"/>
  <c r="C125" i="15" s="1"/>
  <c r="BE22" i="15"/>
  <c r="G47" i="15"/>
  <c r="I45" i="14"/>
  <c r="M47" i="14"/>
  <c r="AG160" i="15"/>
  <c r="BP22" i="10"/>
  <c r="BJ11" i="10" s="1"/>
  <c r="AE74" i="16"/>
  <c r="AJ74" i="15"/>
  <c r="N57" i="20"/>
  <c r="O8" i="20" s="1"/>
  <c r="AR16" i="9"/>
  <c r="BD7" i="9"/>
  <c r="I12" i="10"/>
  <c r="G10" i="10"/>
  <c r="AJ199" i="15"/>
  <c r="AE199" i="16"/>
  <c r="AG199" i="16" s="1"/>
  <c r="AJ199" i="16" s="1"/>
  <c r="J90" i="11"/>
  <c r="N90" i="10"/>
  <c r="AX13" i="10"/>
  <c r="AS13" i="10"/>
  <c r="AJ217" i="15"/>
  <c r="AE217" i="16"/>
  <c r="AG217" i="16" s="1"/>
  <c r="AE246" i="16"/>
  <c r="AG246" i="16" s="1"/>
  <c r="AJ246" i="16" s="1"/>
  <c r="AJ246" i="15"/>
  <c r="AE190" i="16"/>
  <c r="AG190" i="16" s="1"/>
  <c r="AJ190" i="16" s="1"/>
  <c r="AJ190" i="15"/>
  <c r="AG196" i="11"/>
  <c r="AE254" i="16"/>
  <c r="AG254" i="16" s="1"/>
  <c r="AJ254" i="16" s="1"/>
  <c r="AJ254" i="15"/>
  <c r="G102" i="16"/>
  <c r="I102" i="16" s="1"/>
  <c r="M102" i="15"/>
  <c r="AJ256" i="15"/>
  <c r="AE256" i="16"/>
  <c r="AG256" i="16" s="1"/>
  <c r="AJ256" i="16" s="1"/>
  <c r="AJ214" i="15"/>
  <c r="AE214" i="16"/>
  <c r="AG214" i="16" s="1"/>
  <c r="AJ214" i="16" s="1"/>
  <c r="AG181" i="11"/>
  <c r="AJ201" i="15"/>
  <c r="AE201" i="16"/>
  <c r="AG201" i="16" s="1"/>
  <c r="AJ201" i="16" s="1"/>
  <c r="AE236" i="12"/>
  <c r="AJ236" i="11"/>
  <c r="AJ251" i="15"/>
  <c r="AE251" i="16"/>
  <c r="AG251" i="16" s="1"/>
  <c r="AE180" i="15"/>
  <c r="AJ180" i="14"/>
  <c r="AE237" i="15"/>
  <c r="AG237" i="15" s="1"/>
  <c r="AJ237" i="14"/>
  <c r="AJ240" i="15"/>
  <c r="AE240" i="16"/>
  <c r="AG240" i="16" s="1"/>
  <c r="AJ240" i="16" s="1"/>
  <c r="G30" i="11"/>
  <c r="I29" i="10"/>
  <c r="I28" i="10" s="1"/>
  <c r="M30" i="10"/>
  <c r="M29" i="10" s="1"/>
  <c r="M28" i="10" s="1"/>
  <c r="BD13" i="10"/>
  <c r="AE238" i="16"/>
  <c r="AG238" i="16" s="1"/>
  <c r="AJ238" i="16" s="1"/>
  <c r="AJ238" i="15"/>
  <c r="AE188" i="12"/>
  <c r="AG187" i="11"/>
  <c r="AJ188" i="11"/>
  <c r="AJ187" i="11" s="1"/>
  <c r="G105" i="16"/>
  <c r="I105" i="16" s="1"/>
  <c r="AE229" i="15"/>
  <c r="AG229" i="15" s="1"/>
  <c r="AJ229" i="14"/>
  <c r="AJ216" i="15"/>
  <c r="AE216" i="16"/>
  <c r="AG216" i="16" s="1"/>
  <c r="AJ216" i="16" s="1"/>
  <c r="AE203" i="11"/>
  <c r="AG204" i="11"/>
  <c r="AG227" i="11"/>
  <c r="AJ228" i="11"/>
  <c r="AJ227" i="11" s="1"/>
  <c r="AE228" i="12"/>
  <c r="AG244" i="11"/>
  <c r="AE189" i="15"/>
  <c r="AG189" i="15" s="1"/>
  <c r="AJ189" i="14"/>
  <c r="G90" i="15"/>
  <c r="I90" i="15" s="1"/>
  <c r="AR13" i="14"/>
  <c r="AW13" i="14"/>
  <c r="AY13" i="14" s="1"/>
  <c r="M90" i="14"/>
  <c r="AJ255" i="15"/>
  <c r="AE255" i="16"/>
  <c r="AG255" i="16" s="1"/>
  <c r="AJ255" i="16" s="1"/>
  <c r="AJ191" i="15"/>
  <c r="AE191" i="16"/>
  <c r="AG191" i="16" s="1"/>
  <c r="AJ191" i="16" s="1"/>
  <c r="AJ252" i="15"/>
  <c r="AE252" i="16"/>
  <c r="AG252" i="16" s="1"/>
  <c r="AJ252" i="16" s="1"/>
  <c r="AB259" i="8"/>
  <c r="AJ259" i="8"/>
  <c r="X259" i="8"/>
  <c r="U259" i="8"/>
  <c r="Y259" i="8"/>
  <c r="AF259" i="8"/>
  <c r="AH259" i="8"/>
  <c r="W259" i="8"/>
  <c r="AA259" i="8"/>
  <c r="AC259" i="8"/>
  <c r="Z259" i="8"/>
  <c r="AI259" i="8"/>
  <c r="AG259" i="8"/>
  <c r="T15" i="9"/>
  <c r="V259" i="8"/>
  <c r="AD259" i="8"/>
  <c r="AE259" i="8"/>
  <c r="AJ253" i="15"/>
  <c r="AE253" i="16"/>
  <c r="AG253" i="16" s="1"/>
  <c r="AJ253" i="16" s="1"/>
  <c r="AE200" i="16"/>
  <c r="AG200" i="16" s="1"/>
  <c r="AJ200" i="16" s="1"/>
  <c r="AJ200" i="15"/>
  <c r="N100" i="15"/>
  <c r="J100" i="16"/>
  <c r="AE223" i="12"/>
  <c r="AJ223" i="11"/>
  <c r="AJ202" i="15"/>
  <c r="AE202" i="16"/>
  <c r="AG202" i="16" s="1"/>
  <c r="AJ202" i="16" s="1"/>
  <c r="AJ197" i="15"/>
  <c r="AE197" i="16"/>
  <c r="AG197" i="16" s="1"/>
  <c r="AJ197" i="16" s="1"/>
  <c r="AE250" i="16"/>
  <c r="AG250" i="16" s="1"/>
  <c r="AJ250" i="16" s="1"/>
  <c r="AJ250" i="15"/>
  <c r="AX27" i="9"/>
  <c r="AG212" i="11"/>
  <c r="G86" i="11"/>
  <c r="M86" i="10"/>
  <c r="AJ215" i="15"/>
  <c r="AE215" i="16"/>
  <c r="AG215" i="16" s="1"/>
  <c r="AJ215" i="16" s="1"/>
  <c r="AJ182" i="15"/>
  <c r="AE182" i="16"/>
  <c r="AG182" i="16" s="1"/>
  <c r="AJ182" i="16" s="1"/>
  <c r="G101" i="12"/>
  <c r="M101" i="11"/>
  <c r="M99" i="11" s="1"/>
  <c r="BD18" i="11"/>
  <c r="I99" i="11"/>
  <c r="AE185" i="11"/>
  <c r="AG186" i="11"/>
  <c r="AJ239" i="15"/>
  <c r="AE239" i="16"/>
  <c r="AG239" i="16" s="1"/>
  <c r="AJ239" i="16" s="1"/>
  <c r="AE225" i="16"/>
  <c r="AG225" i="16" s="1"/>
  <c r="AJ225" i="16" s="1"/>
  <c r="AJ225" i="15"/>
  <c r="AJ248" i="15"/>
  <c r="AE248" i="16"/>
  <c r="AG248" i="16" s="1"/>
  <c r="AJ248" i="16" s="1"/>
  <c r="G100" i="16"/>
  <c r="M100" i="15"/>
  <c r="V14" i="15" l="1"/>
  <c r="BC22" i="15"/>
  <c r="J12" i="15"/>
  <c r="L12" i="15" s="1"/>
  <c r="N12" i="14"/>
  <c r="J13" i="16"/>
  <c r="L13" i="16" s="1"/>
  <c r="N13" i="16" s="1"/>
  <c r="N13" i="15"/>
  <c r="W10" i="14"/>
  <c r="W8" i="14" s="1"/>
  <c r="W110" i="15"/>
  <c r="AD236" i="12"/>
  <c r="AB235" i="12"/>
  <c r="AB234" i="12" s="1"/>
  <c r="AB232" i="12" s="1"/>
  <c r="F70" i="16"/>
  <c r="F69" i="16" s="1"/>
  <c r="D69" i="16"/>
  <c r="N76" i="15"/>
  <c r="N75" i="15" s="1"/>
  <c r="F75" i="15"/>
  <c r="AQ9" i="15" s="1"/>
  <c r="W157" i="16"/>
  <c r="W155" i="16" s="1"/>
  <c r="W145" i="16" s="1"/>
  <c r="X159" i="16"/>
  <c r="AD228" i="14"/>
  <c r="AB227" i="14"/>
  <c r="AB220" i="14" s="1"/>
  <c r="J119" i="12"/>
  <c r="L117" i="11"/>
  <c r="L108" i="11" s="1"/>
  <c r="AS15" i="11" s="1"/>
  <c r="AV15" i="11" s="1"/>
  <c r="N119" i="11"/>
  <c r="N117" i="11" s="1"/>
  <c r="AA236" i="14"/>
  <c r="Y235" i="14"/>
  <c r="L50" i="14"/>
  <c r="J48" i="14"/>
  <c r="BP30" i="13"/>
  <c r="X51" i="16"/>
  <c r="W49" i="16"/>
  <c r="W43" i="16" s="1"/>
  <c r="W14" i="16" s="1"/>
  <c r="X160" i="16"/>
  <c r="AI160" i="16" s="1"/>
  <c r="V157" i="16"/>
  <c r="V155" i="16" s="1"/>
  <c r="X245" i="16"/>
  <c r="V243" i="16"/>
  <c r="V234" i="16" s="1"/>
  <c r="V232" i="16" s="1"/>
  <c r="F76" i="16"/>
  <c r="E75" i="16"/>
  <c r="AH159" i="15"/>
  <c r="AI159" i="15"/>
  <c r="X157" i="15"/>
  <c r="X155" i="15" s="1"/>
  <c r="BN17" i="15" s="1"/>
  <c r="AJ159" i="15"/>
  <c r="BC10" i="14"/>
  <c r="V145" i="15"/>
  <c r="V110" i="15" s="1"/>
  <c r="E45" i="16"/>
  <c r="F46" i="16"/>
  <c r="BP29" i="11"/>
  <c r="BJ13" i="11" s="1"/>
  <c r="AR30" i="11"/>
  <c r="F25" i="15"/>
  <c r="AQ8" i="15" s="1"/>
  <c r="BC11" i="15"/>
  <c r="N26" i="15"/>
  <c r="N25" i="15" s="1"/>
  <c r="M26" i="15"/>
  <c r="M25" i="15" s="1"/>
  <c r="X94" i="16"/>
  <c r="V91" i="16"/>
  <c r="V90" i="16" s="1"/>
  <c r="AZ8" i="14"/>
  <c r="AU8" i="14"/>
  <c r="AY8" i="14"/>
  <c r="AV8" i="14"/>
  <c r="AI245" i="15"/>
  <c r="AH245" i="15"/>
  <c r="AH115" i="15"/>
  <c r="AI115" i="15"/>
  <c r="AJ115" i="15"/>
  <c r="X114" i="15"/>
  <c r="X112" i="15" s="1"/>
  <c r="L66" i="13"/>
  <c r="N67" i="13"/>
  <c r="N66" i="13" s="1"/>
  <c r="J67" i="14"/>
  <c r="BC15" i="15"/>
  <c r="F45" i="15"/>
  <c r="M46" i="15"/>
  <c r="BC7" i="16"/>
  <c r="AQ16" i="16"/>
  <c r="AW16" i="16" s="1"/>
  <c r="AY16" i="16" s="1"/>
  <c r="C8" i="20"/>
  <c r="D25" i="16"/>
  <c r="F26" i="16"/>
  <c r="AI51" i="15"/>
  <c r="AH51" i="15"/>
  <c r="AJ51" i="15"/>
  <c r="X49" i="15"/>
  <c r="BN28" i="16"/>
  <c r="C52" i="20" s="1"/>
  <c r="X193" i="16"/>
  <c r="AQ28" i="16" s="1"/>
  <c r="J46" i="14"/>
  <c r="L45" i="13"/>
  <c r="N46" i="13"/>
  <c r="N45" i="13" s="1"/>
  <c r="AH94" i="15"/>
  <c r="AH91" i="15" s="1"/>
  <c r="AI94" i="15"/>
  <c r="AJ94" i="15"/>
  <c r="X91" i="15"/>
  <c r="X115" i="16"/>
  <c r="W114" i="16"/>
  <c r="W112" i="16" s="1"/>
  <c r="I83" i="12"/>
  <c r="G81" i="12"/>
  <c r="G37" i="15"/>
  <c r="I35" i="14"/>
  <c r="M37" i="14"/>
  <c r="M35" i="14" s="1"/>
  <c r="AD222" i="16"/>
  <c r="AI223" i="16"/>
  <c r="AI222" i="16" s="1"/>
  <c r="F123" i="15"/>
  <c r="AE234" i="10"/>
  <c r="AE232" i="10" s="1"/>
  <c r="X43" i="14"/>
  <c r="BN13" i="14" s="1"/>
  <c r="BH8" i="14" s="1"/>
  <c r="D17" i="14"/>
  <c r="E21" i="15"/>
  <c r="E19" i="15" s="1"/>
  <c r="E17" i="15" s="1"/>
  <c r="AE117" i="11"/>
  <c r="AJ117" i="10"/>
  <c r="AJ114" i="10" s="1"/>
  <c r="AG114" i="10"/>
  <c r="AE241" i="11"/>
  <c r="AJ241" i="10"/>
  <c r="AJ235" i="10" s="1"/>
  <c r="AG235" i="10"/>
  <c r="AE213" i="11"/>
  <c r="AJ213" i="10"/>
  <c r="AJ211" i="10" s="1"/>
  <c r="AJ210" i="10" s="1"/>
  <c r="AJ209" i="10" s="1"/>
  <c r="AJ207" i="10" s="1"/>
  <c r="AG211" i="10"/>
  <c r="AG210" i="10" s="1"/>
  <c r="AG209" i="10" s="1"/>
  <c r="AG207" i="10" s="1"/>
  <c r="AS29" i="10" s="1"/>
  <c r="AX29" i="10" s="1"/>
  <c r="AZ29" i="10" s="1"/>
  <c r="F8" i="11"/>
  <c r="F121" i="11" s="1"/>
  <c r="F125" i="11" s="1"/>
  <c r="X258" i="11"/>
  <c r="AQ31" i="11" s="1"/>
  <c r="AA110" i="9"/>
  <c r="J15" i="15"/>
  <c r="L15" i="15" s="1"/>
  <c r="N15" i="14"/>
  <c r="W63" i="15"/>
  <c r="W12" i="15" s="1"/>
  <c r="V12" i="14"/>
  <c r="V10" i="14" s="1"/>
  <c r="V8" i="14" s="1"/>
  <c r="AB10" i="9"/>
  <c r="AB8" i="9" s="1"/>
  <c r="AI258" i="8"/>
  <c r="AI110" i="9"/>
  <c r="AQ23" i="14"/>
  <c r="AU22" i="10"/>
  <c r="BD8" i="9"/>
  <c r="BD23" i="9" s="1"/>
  <c r="G64" i="16"/>
  <c r="I64" i="16" s="1"/>
  <c r="BD14" i="15"/>
  <c r="M64" i="15"/>
  <c r="E8" i="14"/>
  <c r="E121" i="14" s="1"/>
  <c r="E125" i="14" s="1"/>
  <c r="BC19" i="14"/>
  <c r="F85" i="14"/>
  <c r="AA190" i="15"/>
  <c r="Y187" i="15"/>
  <c r="Y185" i="15" s="1"/>
  <c r="AG86" i="12"/>
  <c r="AE83" i="12"/>
  <c r="AH217" i="15"/>
  <c r="AI217" i="15"/>
  <c r="X213" i="16"/>
  <c r="V211" i="16"/>
  <c r="V210" i="16" s="1"/>
  <c r="V209" i="16" s="1"/>
  <c r="V207" i="16" s="1"/>
  <c r="AD37" i="16"/>
  <c r="BN15" i="13"/>
  <c r="BH10" i="13" s="1"/>
  <c r="AI45" i="15"/>
  <c r="AI44" i="15" s="1"/>
  <c r="X44" i="15"/>
  <c r="X43" i="15" s="1"/>
  <c r="X41" i="16"/>
  <c r="V35" i="16"/>
  <c r="F73" i="16"/>
  <c r="D72" i="16"/>
  <c r="F94" i="16"/>
  <c r="D93" i="16"/>
  <c r="D85" i="16" s="1"/>
  <c r="AA101" i="15"/>
  <c r="Y96" i="15"/>
  <c r="Y90" i="15" s="1"/>
  <c r="F54" i="15"/>
  <c r="M56" i="15"/>
  <c r="N56" i="15"/>
  <c r="F61" i="16"/>
  <c r="D60" i="16"/>
  <c r="AH251" i="15"/>
  <c r="AI251" i="15"/>
  <c r="AI243" i="15" s="1"/>
  <c r="X243" i="15"/>
  <c r="X234" i="15" s="1"/>
  <c r="X232" i="15" s="1"/>
  <c r="BC18" i="14"/>
  <c r="F99" i="14"/>
  <c r="M105" i="14"/>
  <c r="I59" i="11"/>
  <c r="G57" i="11"/>
  <c r="Y249" i="12"/>
  <c r="AH249" i="11"/>
  <c r="AH243" i="11" s="1"/>
  <c r="AH234" i="11" s="1"/>
  <c r="AH232" i="11" s="1"/>
  <c r="AA243" i="11"/>
  <c r="AA234" i="11" s="1"/>
  <c r="AA232" i="11" s="1"/>
  <c r="BO29" i="11" s="1"/>
  <c r="BI13" i="11" s="1"/>
  <c r="AH24" i="16"/>
  <c r="AI24" i="16"/>
  <c r="AJ24" i="16"/>
  <c r="X20" i="16"/>
  <c r="X16" i="16" s="1"/>
  <c r="AH75" i="15"/>
  <c r="AI75" i="15"/>
  <c r="AJ75" i="15"/>
  <c r="X69" i="15"/>
  <c r="X65" i="15" s="1"/>
  <c r="BN12" i="15" s="1"/>
  <c r="BN9" i="15" s="1"/>
  <c r="V105" i="16"/>
  <c r="V104" i="16" s="1"/>
  <c r="X106" i="16"/>
  <c r="N68" i="15"/>
  <c r="F66" i="15"/>
  <c r="N54" i="15"/>
  <c r="AS25" i="9"/>
  <c r="AV25" i="9" s="1"/>
  <c r="BO22" i="9"/>
  <c r="BI11" i="9" s="1"/>
  <c r="V12" i="15"/>
  <c r="V10" i="15" s="1"/>
  <c r="V8" i="15" s="1"/>
  <c r="D8" i="13"/>
  <c r="D121" i="13" s="1"/>
  <c r="D125" i="13" s="1"/>
  <c r="AE97" i="12"/>
  <c r="AJ97" i="11"/>
  <c r="AJ150" i="15"/>
  <c r="AJ149" i="15" s="1"/>
  <c r="AJ147" i="15" s="1"/>
  <c r="AI150" i="15"/>
  <c r="AH150" i="15"/>
  <c r="X149" i="15"/>
  <c r="X147" i="15" s="1"/>
  <c r="AA230" i="12"/>
  <c r="Y227" i="12"/>
  <c r="Y220" i="12" s="1"/>
  <c r="J37" i="12"/>
  <c r="L35" i="11"/>
  <c r="L28" i="11" s="1"/>
  <c r="AS9" i="11" s="1"/>
  <c r="AV9" i="11" s="1"/>
  <c r="AX9" i="11"/>
  <c r="AZ9" i="11" s="1"/>
  <c r="N37" i="11"/>
  <c r="N35" i="11" s="1"/>
  <c r="N28" i="11" s="1"/>
  <c r="F108" i="12"/>
  <c r="AQ15" i="12" s="1"/>
  <c r="AW15" i="12" s="1"/>
  <c r="AY15" i="12" s="1"/>
  <c r="BC21" i="12"/>
  <c r="BC23" i="12" s="1"/>
  <c r="BH17" i="12" s="1"/>
  <c r="X76" i="16"/>
  <c r="V69" i="16"/>
  <c r="V65" i="16" s="1"/>
  <c r="V63" i="16" s="1"/>
  <c r="AA224" i="16"/>
  <c r="Y222" i="16"/>
  <c r="G68" i="11"/>
  <c r="I66" i="10"/>
  <c r="M68" i="10"/>
  <c r="M66" i="10" s="1"/>
  <c r="AH213" i="15"/>
  <c r="AI213" i="15"/>
  <c r="X211" i="15"/>
  <c r="X210" i="15" s="1"/>
  <c r="X209" i="15" s="1"/>
  <c r="AI41" i="15"/>
  <c r="AJ41" i="15"/>
  <c r="BN31" i="15"/>
  <c r="BH15" i="15" s="1"/>
  <c r="X35" i="15"/>
  <c r="AH181" i="15"/>
  <c r="AI181" i="15"/>
  <c r="X176" i="15"/>
  <c r="X170" i="15" s="1"/>
  <c r="AG152" i="16"/>
  <c r="AE149" i="16"/>
  <c r="AE147" i="16" s="1"/>
  <c r="W96" i="16"/>
  <c r="W90" i="16" s="1"/>
  <c r="X100" i="16"/>
  <c r="AD207" i="11"/>
  <c r="AR29" i="11" s="1"/>
  <c r="AW29" i="11" s="1"/>
  <c r="AY29" i="11" s="1"/>
  <c r="BP27" i="11"/>
  <c r="BN33" i="10"/>
  <c r="AQ31" i="10"/>
  <c r="N61" i="15"/>
  <c r="F60" i="15"/>
  <c r="BC17" i="15"/>
  <c r="AD39" i="11"/>
  <c r="AB35" i="11"/>
  <c r="AU29" i="13"/>
  <c r="AV29" i="13"/>
  <c r="BN27" i="14"/>
  <c r="BN25" i="14" s="1"/>
  <c r="BH12" i="14" s="1"/>
  <c r="X207" i="14"/>
  <c r="AQ29" i="14" s="1"/>
  <c r="I55" i="11"/>
  <c r="G54" i="11"/>
  <c r="AW31" i="9"/>
  <c r="AY31" i="9" s="1"/>
  <c r="AQ32" i="9"/>
  <c r="AQ33" i="9" s="1"/>
  <c r="AX31" i="9"/>
  <c r="AZ31" i="9" s="1"/>
  <c r="X63" i="14"/>
  <c r="BC9" i="13"/>
  <c r="BC8" i="13" s="1"/>
  <c r="AH96" i="14"/>
  <c r="AH90" i="14" s="1"/>
  <c r="N118" i="13"/>
  <c r="M118" i="13"/>
  <c r="M117" i="13" s="1"/>
  <c r="F117" i="13"/>
  <c r="J70" i="12"/>
  <c r="L69" i="11"/>
  <c r="N70" i="11"/>
  <c r="N69" i="11" s="1"/>
  <c r="AE99" i="11"/>
  <c r="AJ99" i="10"/>
  <c r="AJ96" i="10" s="1"/>
  <c r="AG96" i="10"/>
  <c r="V149" i="16"/>
  <c r="V147" i="16" s="1"/>
  <c r="V145" i="16" s="1"/>
  <c r="V110" i="16" s="1"/>
  <c r="X150" i="16"/>
  <c r="AB22" i="13"/>
  <c r="AI22" i="12"/>
  <c r="AI20" i="12" s="1"/>
  <c r="AD20" i="12"/>
  <c r="X217" i="16"/>
  <c r="AJ217" i="16" s="1"/>
  <c r="W211" i="16"/>
  <c r="W210" i="16" s="1"/>
  <c r="W209" i="16" s="1"/>
  <c r="W207" i="16" s="1"/>
  <c r="N49" i="16"/>
  <c r="X45" i="16"/>
  <c r="V44" i="16"/>
  <c r="V43" i="16" s="1"/>
  <c r="BN29" i="14"/>
  <c r="BH13" i="14" s="1"/>
  <c r="AQ30" i="14"/>
  <c r="W176" i="16"/>
  <c r="W170" i="16" s="1"/>
  <c r="X181" i="16"/>
  <c r="AH100" i="15"/>
  <c r="AJ100" i="15"/>
  <c r="X96" i="15"/>
  <c r="X90" i="15" s="1"/>
  <c r="AI100" i="15"/>
  <c r="AG106" i="16"/>
  <c r="AG105" i="16" s="1"/>
  <c r="AG104" i="16" s="1"/>
  <c r="AE105" i="16"/>
  <c r="AE104" i="16" s="1"/>
  <c r="M94" i="15"/>
  <c r="N94" i="15"/>
  <c r="F93" i="15"/>
  <c r="AD215" i="12"/>
  <c r="AB211" i="12"/>
  <c r="AB210" i="12" s="1"/>
  <c r="AB209" i="12" s="1"/>
  <c r="AB207" i="12" s="1"/>
  <c r="BH13" i="13"/>
  <c r="X251" i="16"/>
  <c r="AJ251" i="16" s="1"/>
  <c r="W243" i="16"/>
  <c r="W234" i="16" s="1"/>
  <c r="W232" i="16" s="1"/>
  <c r="AG224" i="10"/>
  <c r="AE222" i="10"/>
  <c r="AE220" i="10" s="1"/>
  <c r="D105" i="16"/>
  <c r="F105" i="15"/>
  <c r="D99" i="15"/>
  <c r="AE143" i="12"/>
  <c r="AG141" i="11"/>
  <c r="AJ143" i="11"/>
  <c r="AJ141" i="11" s="1"/>
  <c r="BN16" i="14"/>
  <c r="BN15" i="14" s="1"/>
  <c r="BH10" i="14" s="1"/>
  <c r="X145" i="14"/>
  <c r="X110" i="14" s="1"/>
  <c r="AQ26" i="14" s="1"/>
  <c r="AQ27" i="14"/>
  <c r="BN24" i="14"/>
  <c r="BN22" i="14" s="1"/>
  <c r="BH11" i="14" s="1"/>
  <c r="I50" i="10"/>
  <c r="G48" i="10"/>
  <c r="D118" i="15"/>
  <c r="F118" i="14"/>
  <c r="D117" i="14"/>
  <c r="D108" i="14" s="1"/>
  <c r="AQ25" i="14"/>
  <c r="BN14" i="14"/>
  <c r="BH9" i="14" s="1"/>
  <c r="AQ24" i="14"/>
  <c r="AG52" i="10"/>
  <c r="AE49" i="10"/>
  <c r="AE43" i="10" s="1"/>
  <c r="J53" i="12"/>
  <c r="L51" i="11"/>
  <c r="N53" i="11"/>
  <c r="N51" i="11" s="1"/>
  <c r="AH76" i="15"/>
  <c r="AJ76" i="15"/>
  <c r="AI76" i="15"/>
  <c r="J14" i="11"/>
  <c r="L10" i="10"/>
  <c r="AS16" i="10" s="1"/>
  <c r="AV16" i="10" s="1"/>
  <c r="N14" i="10"/>
  <c r="N10" i="10" s="1"/>
  <c r="N33" i="16"/>
  <c r="N32" i="16" s="1"/>
  <c r="L32" i="16"/>
  <c r="AA237" i="16"/>
  <c r="N73" i="15"/>
  <c r="N72" i="15" s="1"/>
  <c r="M73" i="15"/>
  <c r="F72" i="15"/>
  <c r="AB117" i="11"/>
  <c r="AI117" i="10"/>
  <c r="AI114" i="10" s="1"/>
  <c r="AD114" i="10"/>
  <c r="E54" i="16"/>
  <c r="F56" i="16"/>
  <c r="BH8" i="13"/>
  <c r="BN8" i="13"/>
  <c r="AQ14" i="13"/>
  <c r="F17" i="13"/>
  <c r="G95" i="11"/>
  <c r="I93" i="10"/>
  <c r="M95" i="10"/>
  <c r="M93" i="10" s="1"/>
  <c r="M85" i="10" s="1"/>
  <c r="W69" i="16"/>
  <c r="W65" i="16" s="1"/>
  <c r="W63" i="16" s="1"/>
  <c r="W12" i="16" s="1"/>
  <c r="X75" i="16"/>
  <c r="AH106" i="15"/>
  <c r="AH105" i="15" s="1"/>
  <c r="AH104" i="15" s="1"/>
  <c r="AJ106" i="15"/>
  <c r="AJ105" i="15" s="1"/>
  <c r="AJ104" i="15" s="1"/>
  <c r="X105" i="15"/>
  <c r="X104" i="15" s="1"/>
  <c r="E66" i="16"/>
  <c r="F68" i="16"/>
  <c r="AG116" i="12"/>
  <c r="Y212" i="12"/>
  <c r="AA211" i="11"/>
  <c r="AA210" i="11" s="1"/>
  <c r="AA209" i="11" s="1"/>
  <c r="AH212" i="11"/>
  <c r="AH211" i="11" s="1"/>
  <c r="AH210" i="11" s="1"/>
  <c r="AH209" i="11" s="1"/>
  <c r="AH207" i="11" s="1"/>
  <c r="F21" i="14"/>
  <c r="AJ14" i="9"/>
  <c r="AJ12" i="9" s="1"/>
  <c r="AJ10" i="9" s="1"/>
  <c r="AJ258" i="9" s="1"/>
  <c r="AB112" i="10"/>
  <c r="X10" i="13"/>
  <c r="AQ17" i="11"/>
  <c r="D21" i="15"/>
  <c r="D19" i="15" s="1"/>
  <c r="D17" i="15" s="1"/>
  <c r="AJ245" i="10"/>
  <c r="AJ243" i="10" s="1"/>
  <c r="AJ234" i="10" s="1"/>
  <c r="AJ232" i="10" s="1"/>
  <c r="AE245" i="11"/>
  <c r="AG243" i="10"/>
  <c r="AG234" i="10" s="1"/>
  <c r="AG232" i="10" s="1"/>
  <c r="AD204" i="10"/>
  <c r="AB203" i="10"/>
  <c r="AB194" i="10" s="1"/>
  <c r="AB193" i="10" s="1"/>
  <c r="AD193" i="9"/>
  <c r="AR28" i="9" s="1"/>
  <c r="BP28" i="9"/>
  <c r="BP25" i="9" s="1"/>
  <c r="BJ12" i="9" s="1"/>
  <c r="AG198" i="10"/>
  <c r="AE195" i="10"/>
  <c r="AE194" i="10" s="1"/>
  <c r="AE193" i="10" s="1"/>
  <c r="AV28" i="9"/>
  <c r="AX28" i="9"/>
  <c r="AZ28" i="9" s="1"/>
  <c r="AD198" i="13"/>
  <c r="AB195" i="13"/>
  <c r="Y196" i="11"/>
  <c r="BO26" i="10"/>
  <c r="AA195" i="10"/>
  <c r="AA194" i="10" s="1"/>
  <c r="AH196" i="10"/>
  <c r="AH195" i="10" s="1"/>
  <c r="AH194" i="10" s="1"/>
  <c r="AH193" i="10" s="1"/>
  <c r="AB191" i="13"/>
  <c r="AI191" i="12"/>
  <c r="AI185" i="12" s="1"/>
  <c r="AD185" i="12"/>
  <c r="BP31" i="12"/>
  <c r="BJ15" i="12" s="1"/>
  <c r="AJ183" i="10"/>
  <c r="AJ176" i="10" s="1"/>
  <c r="AJ170" i="10" s="1"/>
  <c r="AE183" i="11"/>
  <c r="AG176" i="10"/>
  <c r="AG170" i="10" s="1"/>
  <c r="AS27" i="10" s="1"/>
  <c r="AV27" i="10" s="1"/>
  <c r="AA177" i="10"/>
  <c r="Y176" i="10"/>
  <c r="Y170" i="10" s="1"/>
  <c r="AV26" i="9"/>
  <c r="AE168" i="16"/>
  <c r="AG168" i="16" s="1"/>
  <c r="AJ168" i="16" s="1"/>
  <c r="AJ168" i="15"/>
  <c r="AE110" i="10"/>
  <c r="AE162" i="11"/>
  <c r="AG157" i="10"/>
  <c r="AG155" i="10" s="1"/>
  <c r="AG145" i="10" s="1"/>
  <c r="AJ162" i="10"/>
  <c r="AJ157" i="10" s="1"/>
  <c r="AJ155" i="10" s="1"/>
  <c r="AJ145" i="10" s="1"/>
  <c r="AB162" i="14"/>
  <c r="AD157" i="13"/>
  <c r="AD155" i="13" s="1"/>
  <c r="AI162" i="13"/>
  <c r="AI157" i="13" s="1"/>
  <c r="AI155" i="13" s="1"/>
  <c r="AD258" i="8"/>
  <c r="AR31" i="8" s="1"/>
  <c r="AC1" i="8"/>
  <c r="Y1" i="8"/>
  <c r="Y160" i="11"/>
  <c r="AA157" i="10"/>
  <c r="AA155" i="10" s="1"/>
  <c r="AH160" i="10"/>
  <c r="AH157" i="10" s="1"/>
  <c r="Y156" i="11"/>
  <c r="BO18" i="10"/>
  <c r="AH156" i="10"/>
  <c r="Y145" i="10"/>
  <c r="Y110" i="10" s="1"/>
  <c r="Y246" i="16"/>
  <c r="AH246" i="15"/>
  <c r="BP13" i="9"/>
  <c r="AX16" i="9"/>
  <c r="AU16" i="9"/>
  <c r="AA199" i="16"/>
  <c r="AB142" i="16"/>
  <c r="AD141" i="15"/>
  <c r="BP20" i="15" s="1"/>
  <c r="AI142" i="15"/>
  <c r="AI141" i="15" s="1"/>
  <c r="N85" i="9"/>
  <c r="N19" i="9" s="1"/>
  <c r="N17" i="9" s="1"/>
  <c r="N8" i="9" s="1"/>
  <c r="N121" i="9" s="1"/>
  <c r="N125" i="9" s="1"/>
  <c r="AW32" i="8"/>
  <c r="AD152" i="10"/>
  <c r="AB149" i="10"/>
  <c r="AB147" i="10" s="1"/>
  <c r="AB145" i="10" s="1"/>
  <c r="AD145" i="9"/>
  <c r="AD110" i="9" s="1"/>
  <c r="AR26" i="9" s="1"/>
  <c r="BP16" i="9"/>
  <c r="BP15" i="9" s="1"/>
  <c r="BJ10" i="9" s="1"/>
  <c r="Y151" i="11"/>
  <c r="AA149" i="10"/>
  <c r="AA147" i="10" s="1"/>
  <c r="AH151" i="10"/>
  <c r="AH149" i="10" s="1"/>
  <c r="AH147" i="10" s="1"/>
  <c r="BO15" i="9"/>
  <c r="BI10" i="9" s="1"/>
  <c r="AE126" i="16"/>
  <c r="AG126" i="16" s="1"/>
  <c r="AJ126" i="16" s="1"/>
  <c r="AJ126" i="15"/>
  <c r="AB126" i="16"/>
  <c r="AD126" i="16" s="1"/>
  <c r="AI126" i="15"/>
  <c r="BP19" i="15"/>
  <c r="Y126" i="11"/>
  <c r="BO19" i="10"/>
  <c r="AA123" i="10"/>
  <c r="AH126" i="10"/>
  <c r="AH123" i="10" s="1"/>
  <c r="AH112" i="10" s="1"/>
  <c r="AB124" i="11"/>
  <c r="AI124" i="10"/>
  <c r="AI123" i="10" s="1"/>
  <c r="AD123" i="10"/>
  <c r="Y116" i="13"/>
  <c r="AH116" i="12"/>
  <c r="AH114" i="12" s="1"/>
  <c r="AA114" i="12"/>
  <c r="AD106" i="10"/>
  <c r="AB105" i="10"/>
  <c r="AB104" i="10" s="1"/>
  <c r="AR25" i="9"/>
  <c r="AW25" i="9" s="1"/>
  <c r="AD97" i="10"/>
  <c r="AB96" i="10"/>
  <c r="AB90" i="10" s="1"/>
  <c r="AG63" i="9"/>
  <c r="AG92" i="10"/>
  <c r="AE91" i="10"/>
  <c r="AE90" i="10" s="1"/>
  <c r="AE63" i="10" s="1"/>
  <c r="AI63" i="9"/>
  <c r="AI12" i="9" s="1"/>
  <c r="AD84" i="10"/>
  <c r="AB83" i="10"/>
  <c r="BP14" i="9"/>
  <c r="BJ9" i="9" s="1"/>
  <c r="AR24" i="9"/>
  <c r="AY32" i="8"/>
  <c r="AZ35" i="8" s="1"/>
  <c r="BP12" i="9"/>
  <c r="BP9" i="9" s="1"/>
  <c r="AR23" i="9"/>
  <c r="AD63" i="9"/>
  <c r="AD12" i="9" s="1"/>
  <c r="AD79" i="10"/>
  <c r="AB69" i="10"/>
  <c r="AB65" i="10" s="1"/>
  <c r="BI8" i="9"/>
  <c r="AE77" i="11"/>
  <c r="AG69" i="10"/>
  <c r="AG65" i="10" s="1"/>
  <c r="AJ77" i="10"/>
  <c r="AJ69" i="10" s="1"/>
  <c r="AJ65" i="10" s="1"/>
  <c r="Y70" i="11"/>
  <c r="AA69" i="10"/>
  <c r="AA65" i="10" s="1"/>
  <c r="AH70" i="10"/>
  <c r="AH69" i="10" s="1"/>
  <c r="AH65" i="10" s="1"/>
  <c r="AH63" i="10" s="1"/>
  <c r="AE67" i="12"/>
  <c r="AJ67" i="11"/>
  <c r="AB67" i="16"/>
  <c r="AD67" i="16" s="1"/>
  <c r="AI67" i="15"/>
  <c r="BP11" i="15"/>
  <c r="AD66" i="11"/>
  <c r="BP10" i="11" s="1"/>
  <c r="AB59" i="11"/>
  <c r="AI59" i="10"/>
  <c r="AI58" i="10" s="1"/>
  <c r="AI57" i="10" s="1"/>
  <c r="AD58" i="10"/>
  <c r="AD57" i="10" s="1"/>
  <c r="AB14" i="10"/>
  <c r="Y55" i="16"/>
  <c r="AA55" i="16" s="1"/>
  <c r="AH55" i="16" s="1"/>
  <c r="AH55" i="15"/>
  <c r="Y43" i="10"/>
  <c r="Y258" i="9"/>
  <c r="AH14" i="9"/>
  <c r="AH12" i="9" s="1"/>
  <c r="AH10" i="9" s="1"/>
  <c r="AH8" i="9" s="1"/>
  <c r="AB50" i="11"/>
  <c r="AD49" i="10"/>
  <c r="AD43" i="10" s="1"/>
  <c r="AI50" i="10"/>
  <c r="AI49" i="10" s="1"/>
  <c r="AI43" i="10" s="1"/>
  <c r="Y50" i="11"/>
  <c r="AA49" i="10"/>
  <c r="AH50" i="10"/>
  <c r="AH49" i="10" s="1"/>
  <c r="AE45" i="11"/>
  <c r="AG44" i="10"/>
  <c r="AJ45" i="10"/>
  <c r="AJ44" i="10" s="1"/>
  <c r="Y45" i="11"/>
  <c r="AA44" i="10"/>
  <c r="AH45" i="10"/>
  <c r="AH44" i="10" s="1"/>
  <c r="AA41" i="10"/>
  <c r="Y35" i="10"/>
  <c r="BO14" i="9"/>
  <c r="AA14" i="9"/>
  <c r="AA12" i="9" s="1"/>
  <c r="AE38" i="11"/>
  <c r="AG35" i="10"/>
  <c r="AS24" i="10" s="1"/>
  <c r="AJ38" i="10"/>
  <c r="AJ35" i="10" s="1"/>
  <c r="AB33" i="16"/>
  <c r="AD33" i="16" s="1"/>
  <c r="AI33" i="16" s="1"/>
  <c r="AI33" i="15"/>
  <c r="AG23" i="10"/>
  <c r="AE20" i="10"/>
  <c r="AE16" i="10" s="1"/>
  <c r="AS32" i="8"/>
  <c r="AV32" i="8" s="1"/>
  <c r="AV31" i="8"/>
  <c r="AZ23" i="8"/>
  <c r="AZ32" i="8" s="1"/>
  <c r="AX32" i="8"/>
  <c r="AG14" i="9"/>
  <c r="AS23" i="9"/>
  <c r="AE17" i="12"/>
  <c r="AS22" i="11"/>
  <c r="AJ17" i="11"/>
  <c r="AB17" i="12"/>
  <c r="AD16" i="11"/>
  <c r="AI17" i="11"/>
  <c r="AI16" i="11" s="1"/>
  <c r="Y17" i="12"/>
  <c r="BO10" i="11"/>
  <c r="AH17" i="11"/>
  <c r="AH16" i="11" s="1"/>
  <c r="AA16" i="11"/>
  <c r="I113" i="10"/>
  <c r="G108" i="10"/>
  <c r="AX15" i="9"/>
  <c r="AZ15" i="9" s="1"/>
  <c r="AU15" i="9"/>
  <c r="J116" i="12"/>
  <c r="N116" i="11"/>
  <c r="N108" i="11" s="1"/>
  <c r="L96" i="10"/>
  <c r="J93" i="10"/>
  <c r="J85" i="10" s="1"/>
  <c r="J19" i="10" s="1"/>
  <c r="J17" i="10" s="1"/>
  <c r="J8" i="10" s="1"/>
  <c r="J121" i="10" s="1"/>
  <c r="J125" i="10" s="1"/>
  <c r="L85" i="9"/>
  <c r="L19" i="9" s="1"/>
  <c r="L86" i="10"/>
  <c r="AV35" i="7"/>
  <c r="AU32" i="7"/>
  <c r="AU35" i="7"/>
  <c r="L79" i="11"/>
  <c r="J78" i="11"/>
  <c r="L78" i="11" s="1"/>
  <c r="N78" i="11" s="1"/>
  <c r="I79" i="11"/>
  <c r="G78" i="11"/>
  <c r="I78" i="11" s="1"/>
  <c r="M78" i="11" s="1"/>
  <c r="G76" i="11"/>
  <c r="I75" i="10"/>
  <c r="AR9" i="10" s="1"/>
  <c r="AU9" i="10" s="1"/>
  <c r="M76" i="10"/>
  <c r="M75" i="10" s="1"/>
  <c r="I74" i="10"/>
  <c r="G72" i="10"/>
  <c r="G70" i="11"/>
  <c r="M70" i="10"/>
  <c r="M69" i="10" s="1"/>
  <c r="I69" i="10"/>
  <c r="AY17" i="9"/>
  <c r="M63" i="9"/>
  <c r="M123" i="9"/>
  <c r="I65" i="10"/>
  <c r="G63" i="10"/>
  <c r="G123" i="10"/>
  <c r="M21" i="9"/>
  <c r="M19" i="9" s="1"/>
  <c r="M17" i="9" s="1"/>
  <c r="M8" i="9" s="1"/>
  <c r="J62" i="11"/>
  <c r="L60" i="10"/>
  <c r="L21" i="10" s="1"/>
  <c r="N62" i="10"/>
  <c r="L123" i="10"/>
  <c r="AR17" i="8"/>
  <c r="AU17" i="8" s="1"/>
  <c r="AU14" i="8"/>
  <c r="G61" i="11"/>
  <c r="I60" i="10"/>
  <c r="M61" i="10"/>
  <c r="M60" i="10" s="1"/>
  <c r="BD17" i="10"/>
  <c r="I8" i="8"/>
  <c r="AA258" i="8"/>
  <c r="BO33" i="8" s="1"/>
  <c r="I125" i="7"/>
  <c r="B5" i="7" s="1"/>
  <c r="G22" i="10"/>
  <c r="I23" i="10"/>
  <c r="AR7" i="9"/>
  <c r="I21" i="9"/>
  <c r="I19" i="9" s="1"/>
  <c r="AG74" i="16"/>
  <c r="I47" i="15"/>
  <c r="G45" i="15"/>
  <c r="G111" i="15"/>
  <c r="M111" i="14"/>
  <c r="AB116" i="12"/>
  <c r="AI116" i="11"/>
  <c r="AG172" i="15"/>
  <c r="AJ174" i="15"/>
  <c r="AJ172" i="15" s="1"/>
  <c r="AE174" i="16"/>
  <c r="AJ54" i="16"/>
  <c r="AI168" i="16"/>
  <c r="AD127" i="12"/>
  <c r="L55" i="16"/>
  <c r="J54" i="16"/>
  <c r="H121" i="15"/>
  <c r="H125" i="15" s="1"/>
  <c r="J95" i="16"/>
  <c r="N95" i="15"/>
  <c r="M45" i="14"/>
  <c r="BE23" i="15"/>
  <c r="P25" i="20"/>
  <c r="P26" i="20" s="1"/>
  <c r="H123" i="16"/>
  <c r="H121" i="16" s="1"/>
  <c r="H125" i="16" s="1"/>
  <c r="C123" i="16"/>
  <c r="P123" i="16"/>
  <c r="Q123" i="16"/>
  <c r="Q121" i="16" s="1"/>
  <c r="Q125" i="16" s="1"/>
  <c r="K123" i="16"/>
  <c r="K121" i="16" s="1"/>
  <c r="K125" i="16" s="1"/>
  <c r="BE22" i="16"/>
  <c r="D123" i="16"/>
  <c r="E123" i="16"/>
  <c r="O26" i="20"/>
  <c r="AG124" i="16"/>
  <c r="AB92" i="12"/>
  <c r="AD91" i="11"/>
  <c r="AI92" i="11"/>
  <c r="AI91" i="11" s="1"/>
  <c r="AD178" i="12"/>
  <c r="AB176" i="12"/>
  <c r="AB170" i="12" s="1"/>
  <c r="AA23" i="15"/>
  <c r="Y20" i="15"/>
  <c r="AG46" i="16"/>
  <c r="J99" i="11"/>
  <c r="L105" i="11"/>
  <c r="AE160" i="16"/>
  <c r="AJ160" i="15"/>
  <c r="AE129" i="11"/>
  <c r="AG123" i="10"/>
  <c r="AG112" i="10" s="1"/>
  <c r="AJ129" i="10"/>
  <c r="AJ123" i="10" s="1"/>
  <c r="AJ112" i="10" s="1"/>
  <c r="AR27" i="11"/>
  <c r="BP24" i="11"/>
  <c r="BP22" i="11" s="1"/>
  <c r="BJ11" i="11" s="1"/>
  <c r="AJ84" i="16"/>
  <c r="AZ16" i="9"/>
  <c r="AZ17" i="9" s="1"/>
  <c r="G12" i="11"/>
  <c r="M12" i="10"/>
  <c r="M10" i="10" s="1"/>
  <c r="I10" i="10"/>
  <c r="AE186" i="12"/>
  <c r="AG185" i="11"/>
  <c r="AJ186" i="11"/>
  <c r="AJ185" i="11" s="1"/>
  <c r="I100" i="16"/>
  <c r="I86" i="11"/>
  <c r="AG223" i="12"/>
  <c r="AZ27" i="9"/>
  <c r="Y259" i="9"/>
  <c r="AC259" i="9"/>
  <c r="Z259" i="9"/>
  <c r="AI259" i="9"/>
  <c r="AF259" i="9"/>
  <c r="AH259" i="9"/>
  <c r="AJ259" i="9"/>
  <c r="T15" i="10"/>
  <c r="U259" i="9"/>
  <c r="AD259" i="9"/>
  <c r="V259" i="9"/>
  <c r="AB259" i="9"/>
  <c r="AA259" i="9"/>
  <c r="X259" i="9"/>
  <c r="AG259" i="9"/>
  <c r="AE259" i="9"/>
  <c r="W259" i="9"/>
  <c r="G90" i="16"/>
  <c r="I90" i="16" s="1"/>
  <c r="M90" i="15"/>
  <c r="AR13" i="15"/>
  <c r="AW13" i="15"/>
  <c r="AY13" i="15" s="1"/>
  <c r="AJ229" i="15"/>
  <c r="AE229" i="16"/>
  <c r="AG229" i="16" s="1"/>
  <c r="AJ229" i="16" s="1"/>
  <c r="AE227" i="12"/>
  <c r="AG228" i="12"/>
  <c r="AG180" i="15"/>
  <c r="M102" i="16"/>
  <c r="D20" i="20"/>
  <c r="AJ196" i="11"/>
  <c r="AE196" i="12"/>
  <c r="I101" i="12"/>
  <c r="G99" i="12"/>
  <c r="AE189" i="16"/>
  <c r="AG189" i="16" s="1"/>
  <c r="AJ189" i="16" s="1"/>
  <c r="AJ189" i="15"/>
  <c r="D21" i="20"/>
  <c r="I30" i="11"/>
  <c r="G29" i="11"/>
  <c r="G28" i="11" s="1"/>
  <c r="AJ237" i="15"/>
  <c r="AE237" i="16"/>
  <c r="AG237" i="16" s="1"/>
  <c r="AJ237" i="16" s="1"/>
  <c r="L90" i="11"/>
  <c r="AE212" i="12"/>
  <c r="AJ212" i="11"/>
  <c r="L100" i="16"/>
  <c r="AE244" i="12"/>
  <c r="AJ244" i="11"/>
  <c r="AJ204" i="11"/>
  <c r="AJ203" i="11" s="1"/>
  <c r="AE204" i="12"/>
  <c r="AG203" i="11"/>
  <c r="AE187" i="12"/>
  <c r="AG188" i="12"/>
  <c r="AG236" i="12"/>
  <c r="AJ181" i="11"/>
  <c r="AE181" i="12"/>
  <c r="AZ13" i="10"/>
  <c r="J12" i="16" l="1"/>
  <c r="L12" i="16" s="1"/>
  <c r="N12" i="16" s="1"/>
  <c r="N12" i="15"/>
  <c r="V258" i="14"/>
  <c r="AQ23" i="15"/>
  <c r="D21" i="16"/>
  <c r="W258" i="14"/>
  <c r="W10" i="15"/>
  <c r="W8" i="15" s="1"/>
  <c r="W110" i="16"/>
  <c r="W10" i="16" s="1"/>
  <c r="W8" i="16" s="1"/>
  <c r="F19" i="14"/>
  <c r="BC9" i="14"/>
  <c r="BC8" i="14" s="1"/>
  <c r="I37" i="15"/>
  <c r="G35" i="15"/>
  <c r="AH115" i="16"/>
  <c r="AI115" i="16"/>
  <c r="AJ115" i="16"/>
  <c r="X114" i="16"/>
  <c r="X112" i="16" s="1"/>
  <c r="F45" i="16"/>
  <c r="BC15" i="16"/>
  <c r="C15" i="20" s="1"/>
  <c r="M46" i="16"/>
  <c r="AH245" i="16"/>
  <c r="AI245" i="16"/>
  <c r="AJ51" i="16"/>
  <c r="X49" i="16"/>
  <c r="AI51" i="16"/>
  <c r="AH51" i="16"/>
  <c r="J50" i="15"/>
  <c r="N50" i="14"/>
  <c r="N48" i="14" s="1"/>
  <c r="L48" i="14"/>
  <c r="AH159" i="16"/>
  <c r="AI159" i="16"/>
  <c r="X157" i="16"/>
  <c r="X155" i="16" s="1"/>
  <c r="BN17" i="16" s="1"/>
  <c r="C41" i="20" s="1"/>
  <c r="AJ159" i="16"/>
  <c r="L46" i="14"/>
  <c r="J45" i="14"/>
  <c r="L67" i="14"/>
  <c r="J66" i="14"/>
  <c r="AB228" i="15"/>
  <c r="AD227" i="14"/>
  <c r="AD220" i="14" s="1"/>
  <c r="AI228" i="14"/>
  <c r="AI227" i="14" s="1"/>
  <c r="AI220" i="14" s="1"/>
  <c r="AB236" i="13"/>
  <c r="AD235" i="12"/>
  <c r="AD234" i="12" s="1"/>
  <c r="AD232" i="12" s="1"/>
  <c r="AI236" i="12"/>
  <c r="AI235" i="12" s="1"/>
  <c r="AI234" i="12" s="1"/>
  <c r="AI232" i="12" s="1"/>
  <c r="G83" i="13"/>
  <c r="I81" i="12"/>
  <c r="M83" i="12"/>
  <c r="M81" i="12" s="1"/>
  <c r="BC11" i="16"/>
  <c r="C11" i="20" s="1"/>
  <c r="F25" i="16"/>
  <c r="AQ8" i="16" s="1"/>
  <c r="M26" i="16"/>
  <c r="M25" i="16" s="1"/>
  <c r="N26" i="16"/>
  <c r="N25" i="16" s="1"/>
  <c r="AW30" i="11"/>
  <c r="AY30" i="11" s="1"/>
  <c r="AU30" i="11"/>
  <c r="N76" i="16"/>
  <c r="N75" i="16" s="1"/>
  <c r="F75" i="16"/>
  <c r="AQ9" i="16" s="1"/>
  <c r="BJ14" i="13"/>
  <c r="Y236" i="15"/>
  <c r="AH236" i="14"/>
  <c r="AH235" i="14" s="1"/>
  <c r="AA235" i="14"/>
  <c r="X14" i="14"/>
  <c r="X12" i="14" s="1"/>
  <c r="X10" i="14" s="1"/>
  <c r="X8" i="14" s="1"/>
  <c r="AJ94" i="16"/>
  <c r="X91" i="16"/>
  <c r="AI94" i="16"/>
  <c r="AH94" i="16"/>
  <c r="AH91" i="16" s="1"/>
  <c r="AV8" i="15"/>
  <c r="AZ8" i="15"/>
  <c r="AU8" i="15"/>
  <c r="AY8" i="15"/>
  <c r="L119" i="12"/>
  <c r="J117" i="12"/>
  <c r="J108" i="12" s="1"/>
  <c r="BC10" i="15"/>
  <c r="D8" i="14"/>
  <c r="D121" i="14" s="1"/>
  <c r="D125" i="14" s="1"/>
  <c r="AG117" i="11"/>
  <c r="AE114" i="11"/>
  <c r="X14" i="15"/>
  <c r="AG213" i="11"/>
  <c r="AE211" i="11"/>
  <c r="AE210" i="11" s="1"/>
  <c r="AE209" i="11" s="1"/>
  <c r="AE207" i="11" s="1"/>
  <c r="AG241" i="11"/>
  <c r="AE235" i="11"/>
  <c r="AX17" i="9"/>
  <c r="A1" i="11"/>
  <c r="BN33" i="11"/>
  <c r="BH19" i="11" s="1"/>
  <c r="BH20" i="11" s="1"/>
  <c r="AA10" i="9"/>
  <c r="AA8" i="9" s="1"/>
  <c r="U1" i="9" s="1"/>
  <c r="AB110" i="10"/>
  <c r="AW17" i="9"/>
  <c r="J15" i="16"/>
  <c r="L15" i="16" s="1"/>
  <c r="N15" i="16" s="1"/>
  <c r="N15" i="15"/>
  <c r="AI10" i="9"/>
  <c r="AI258" i="9" s="1"/>
  <c r="AB258" i="9"/>
  <c r="BN7" i="13"/>
  <c r="BN32" i="13" s="1"/>
  <c r="BH7" i="13"/>
  <c r="BH16" i="13" s="1"/>
  <c r="AI112" i="10"/>
  <c r="BH7" i="14"/>
  <c r="BH16" i="14" s="1"/>
  <c r="AX25" i="9"/>
  <c r="AZ25" i="9" s="1"/>
  <c r="BJ8" i="9"/>
  <c r="BJ7" i="9" s="1"/>
  <c r="BJ16" i="9" s="1"/>
  <c r="BD14" i="16"/>
  <c r="D14" i="20" s="1"/>
  <c r="M64" i="16"/>
  <c r="AA212" i="12"/>
  <c r="Y211" i="12"/>
  <c r="Y210" i="12" s="1"/>
  <c r="Y209" i="12" s="1"/>
  <c r="Y207" i="12" s="1"/>
  <c r="AI75" i="16"/>
  <c r="AH75" i="16"/>
  <c r="AJ75" i="16"/>
  <c r="X69" i="16"/>
  <c r="X65" i="16" s="1"/>
  <c r="BN12" i="16" s="1"/>
  <c r="I95" i="11"/>
  <c r="G93" i="11"/>
  <c r="G85" i="11" s="1"/>
  <c r="L53" i="12"/>
  <c r="J51" i="12"/>
  <c r="M118" i="14"/>
  <c r="M117" i="14" s="1"/>
  <c r="N118" i="14"/>
  <c r="F117" i="14"/>
  <c r="BC18" i="15"/>
  <c r="BC9" i="15" s="1"/>
  <c r="F99" i="15"/>
  <c r="M105" i="15"/>
  <c r="AI45" i="16"/>
  <c r="AI44" i="16" s="1"/>
  <c r="X44" i="16"/>
  <c r="AJ150" i="16"/>
  <c r="AH150" i="16"/>
  <c r="AI150" i="16"/>
  <c r="X149" i="16"/>
  <c r="X147" i="16" s="1"/>
  <c r="AG99" i="11"/>
  <c r="AE96" i="11"/>
  <c r="F108" i="13"/>
  <c r="AQ15" i="13" s="1"/>
  <c r="AW15" i="13" s="1"/>
  <c r="AY15" i="13" s="1"/>
  <c r="BC21" i="13"/>
  <c r="AB39" i="12"/>
  <c r="AD35" i="11"/>
  <c r="AI39" i="11"/>
  <c r="AI35" i="11" s="1"/>
  <c r="AQ32" i="10"/>
  <c r="AQ33" i="10" s="1"/>
  <c r="AW31" i="10"/>
  <c r="AY31" i="10" s="1"/>
  <c r="AX31" i="10"/>
  <c r="AZ31" i="10" s="1"/>
  <c r="Y101" i="16"/>
  <c r="AH101" i="15"/>
  <c r="AH96" i="15" s="1"/>
  <c r="AH90" i="15" s="1"/>
  <c r="AA96" i="15"/>
  <c r="AA90" i="15" s="1"/>
  <c r="N73" i="16"/>
  <c r="N72" i="16" s="1"/>
  <c r="M73" i="16"/>
  <c r="F72" i="16"/>
  <c r="AI37" i="16"/>
  <c r="Y190" i="16"/>
  <c r="AA187" i="15"/>
  <c r="AA185" i="15" s="1"/>
  <c r="AH190" i="15"/>
  <c r="AH187" i="15" s="1"/>
  <c r="AH185" i="15" s="1"/>
  <c r="AQ17" i="12"/>
  <c r="D19" i="16"/>
  <c r="N56" i="16"/>
  <c r="F54" i="16"/>
  <c r="M56" i="16"/>
  <c r="F105" i="16"/>
  <c r="D99" i="16"/>
  <c r="F17" i="14"/>
  <c r="AQ14" i="14"/>
  <c r="AA207" i="11"/>
  <c r="BO27" i="11"/>
  <c r="N68" i="16"/>
  <c r="F66" i="16"/>
  <c r="I85" i="10"/>
  <c r="BD19" i="10"/>
  <c r="G50" i="11"/>
  <c r="I48" i="10"/>
  <c r="M50" i="10"/>
  <c r="M48" i="10" s="1"/>
  <c r="AJ224" i="10"/>
  <c r="AJ222" i="10" s="1"/>
  <c r="AJ220" i="10" s="1"/>
  <c r="AE224" i="11"/>
  <c r="AG222" i="10"/>
  <c r="AG220" i="10" s="1"/>
  <c r="AI181" i="16"/>
  <c r="AH181" i="16"/>
  <c r="X176" i="16"/>
  <c r="X170" i="16" s="1"/>
  <c r="AD22" i="13"/>
  <c r="AB20" i="13"/>
  <c r="L70" i="12"/>
  <c r="J69" i="12"/>
  <c r="AU29" i="14"/>
  <c r="AV29" i="14"/>
  <c r="AH100" i="16"/>
  <c r="AJ100" i="16"/>
  <c r="X96" i="16"/>
  <c r="X90" i="16" s="1"/>
  <c r="AI100" i="16"/>
  <c r="AQ27" i="15"/>
  <c r="BN24" i="15"/>
  <c r="BN22" i="15" s="1"/>
  <c r="BH11" i="15" s="1"/>
  <c r="I68" i="11"/>
  <c r="G66" i="11"/>
  <c r="AH76" i="16"/>
  <c r="AJ76" i="16"/>
  <c r="AI76" i="16"/>
  <c r="L37" i="12"/>
  <c r="J35" i="12"/>
  <c r="J28" i="12" s="1"/>
  <c r="AH106" i="16"/>
  <c r="AH105" i="16" s="1"/>
  <c r="AH104" i="16" s="1"/>
  <c r="X105" i="16"/>
  <c r="X104" i="16" s="1"/>
  <c r="AJ106" i="16"/>
  <c r="AJ105" i="16" s="1"/>
  <c r="AJ104" i="16" s="1"/>
  <c r="AA249" i="12"/>
  <c r="Y243" i="12"/>
  <c r="Y234" i="12" s="1"/>
  <c r="Y232" i="12" s="1"/>
  <c r="BN13" i="15"/>
  <c r="BH8" i="15" s="1"/>
  <c r="AQ25" i="15"/>
  <c r="V14" i="16"/>
  <c r="V12" i="16" s="1"/>
  <c r="V10" i="16" s="1"/>
  <c r="V8" i="16" s="1"/>
  <c r="BC23" i="13"/>
  <c r="F8" i="12"/>
  <c r="AE116" i="13"/>
  <c r="AJ116" i="12"/>
  <c r="AD117" i="11"/>
  <c r="AB114" i="11"/>
  <c r="AH237" i="16"/>
  <c r="D118" i="16"/>
  <c r="F118" i="15"/>
  <c r="D117" i="15"/>
  <c r="D108" i="15" s="1"/>
  <c r="V258" i="15" s="1"/>
  <c r="AH251" i="16"/>
  <c r="AI251" i="16"/>
  <c r="AI243" i="16" s="1"/>
  <c r="X243" i="16"/>
  <c r="X234" i="16" s="1"/>
  <c r="X232" i="16" s="1"/>
  <c r="AB215" i="13"/>
  <c r="AD211" i="12"/>
  <c r="AD210" i="12" s="1"/>
  <c r="AD209" i="12" s="1"/>
  <c r="AI215" i="12"/>
  <c r="AI211" i="12" s="1"/>
  <c r="AI210" i="12" s="1"/>
  <c r="AI209" i="12" s="1"/>
  <c r="AI207" i="12" s="1"/>
  <c r="AA222" i="16"/>
  <c r="AH224" i="16"/>
  <c r="AH222" i="16" s="1"/>
  <c r="Y230" i="13"/>
  <c r="AA227" i="12"/>
  <c r="AA220" i="12" s="1"/>
  <c r="BO30" i="12" s="1"/>
  <c r="BI14" i="12" s="1"/>
  <c r="AH230" i="12"/>
  <c r="AH227" i="12" s="1"/>
  <c r="AH220" i="12" s="1"/>
  <c r="G59" i="12"/>
  <c r="I57" i="11"/>
  <c r="M59" i="11"/>
  <c r="M57" i="11" s="1"/>
  <c r="BN29" i="15"/>
  <c r="BH13" i="15" s="1"/>
  <c r="AQ30" i="15"/>
  <c r="N61" i="16"/>
  <c r="F60" i="16"/>
  <c r="BC17" i="16"/>
  <c r="X8" i="13"/>
  <c r="E8" i="15"/>
  <c r="E121" i="15" s="1"/>
  <c r="E125" i="15" s="1"/>
  <c r="L14" i="11"/>
  <c r="J10" i="11"/>
  <c r="AE52" i="11"/>
  <c r="AG49" i="10"/>
  <c r="AG43" i="10" s="1"/>
  <c r="AJ52" i="10"/>
  <c r="AJ49" i="10" s="1"/>
  <c r="AJ43" i="10" s="1"/>
  <c r="AG143" i="12"/>
  <c r="AE141" i="12"/>
  <c r="BC19" i="15"/>
  <c r="F85" i="15"/>
  <c r="AH217" i="16"/>
  <c r="AI217" i="16"/>
  <c r="G55" i="12"/>
  <c r="I54" i="11"/>
  <c r="M55" i="11"/>
  <c r="M54" i="11" s="1"/>
  <c r="AJ152" i="16"/>
  <c r="AG149" i="16"/>
  <c r="AG147" i="16" s="1"/>
  <c r="AQ24" i="15"/>
  <c r="BN14" i="15"/>
  <c r="BH9" i="15" s="1"/>
  <c r="X207" i="15"/>
  <c r="AQ29" i="15" s="1"/>
  <c r="BN27" i="15"/>
  <c r="BN25" i="15" s="1"/>
  <c r="BH12" i="15" s="1"/>
  <c r="AX31" i="11"/>
  <c r="AZ31" i="11" s="1"/>
  <c r="AW31" i="11"/>
  <c r="AY31" i="11" s="1"/>
  <c r="AQ32" i="11"/>
  <c r="AQ33" i="11" s="1"/>
  <c r="BN16" i="15"/>
  <c r="BN15" i="15" s="1"/>
  <c r="BH10" i="15" s="1"/>
  <c r="X145" i="15"/>
  <c r="X110" i="15" s="1"/>
  <c r="AQ26" i="15" s="1"/>
  <c r="AG97" i="12"/>
  <c r="N94" i="16"/>
  <c r="M94" i="16"/>
  <c r="F93" i="16"/>
  <c r="AI41" i="16"/>
  <c r="AJ41" i="16"/>
  <c r="BN31" i="16"/>
  <c r="X35" i="16"/>
  <c r="AI213" i="16"/>
  <c r="AH213" i="16"/>
  <c r="X211" i="16"/>
  <c r="X210" i="16" s="1"/>
  <c r="X209" i="16" s="1"/>
  <c r="AE86" i="13"/>
  <c r="AJ86" i="12"/>
  <c r="AJ83" i="12" s="1"/>
  <c r="AG83" i="12"/>
  <c r="AS30" i="10"/>
  <c r="AV30" i="10" s="1"/>
  <c r="X63" i="15"/>
  <c r="BC22" i="16"/>
  <c r="C25" i="20" s="1"/>
  <c r="F123" i="16"/>
  <c r="AR22" i="11"/>
  <c r="AU22" i="11" s="1"/>
  <c r="AE14" i="10"/>
  <c r="AE12" i="10" s="1"/>
  <c r="AE10" i="10" s="1"/>
  <c r="AE8" i="10" s="1"/>
  <c r="AU25" i="9"/>
  <c r="E21" i="16"/>
  <c r="E19" i="16" s="1"/>
  <c r="E17" i="16" s="1"/>
  <c r="X258" i="12"/>
  <c r="F21" i="15"/>
  <c r="F19" i="15" s="1"/>
  <c r="BN8" i="14"/>
  <c r="BN7" i="14" s="1"/>
  <c r="BN32" i="14" s="1"/>
  <c r="AG245" i="11"/>
  <c r="AE243" i="11"/>
  <c r="AE234" i="11" s="1"/>
  <c r="AE232" i="11" s="1"/>
  <c r="AB204" i="11"/>
  <c r="AD203" i="10"/>
  <c r="AD194" i="10" s="1"/>
  <c r="AI204" i="10"/>
  <c r="AI203" i="10" s="1"/>
  <c r="AI194" i="10" s="1"/>
  <c r="AI193" i="10" s="1"/>
  <c r="AW28" i="9"/>
  <c r="AY28" i="9" s="1"/>
  <c r="AU28" i="9"/>
  <c r="AJ198" i="10"/>
  <c r="AJ195" i="10" s="1"/>
  <c r="AJ194" i="10" s="1"/>
  <c r="AJ193" i="10" s="1"/>
  <c r="AE198" i="11"/>
  <c r="AG195" i="10"/>
  <c r="AG194" i="10" s="1"/>
  <c r="AG193" i="10" s="1"/>
  <c r="AS28" i="10" s="1"/>
  <c r="AB198" i="14"/>
  <c r="AD195" i="13"/>
  <c r="AI198" i="13"/>
  <c r="AI195" i="13" s="1"/>
  <c r="BO28" i="10"/>
  <c r="BO25" i="10" s="1"/>
  <c r="BI12" i="10" s="1"/>
  <c r="AA193" i="10"/>
  <c r="AA196" i="11"/>
  <c r="Y195" i="11"/>
  <c r="Y194" i="11" s="1"/>
  <c r="Y193" i="11" s="1"/>
  <c r="AD191" i="13"/>
  <c r="AB185" i="13"/>
  <c r="AG183" i="11"/>
  <c r="AE176" i="11"/>
  <c r="AE170" i="11" s="1"/>
  <c r="Y177" i="11"/>
  <c r="AA176" i="10"/>
  <c r="AA170" i="10" s="1"/>
  <c r="BO24" i="10" s="1"/>
  <c r="BO23" i="10"/>
  <c r="AH177" i="10"/>
  <c r="AH176" i="10" s="1"/>
  <c r="AH170" i="10" s="1"/>
  <c r="AW27" i="11"/>
  <c r="AY27" i="11" s="1"/>
  <c r="AU27" i="11"/>
  <c r="AJ110" i="10"/>
  <c r="AG162" i="11"/>
  <c r="AE157" i="11"/>
  <c r="AE155" i="11" s="1"/>
  <c r="AE145" i="11" s="1"/>
  <c r="AG110" i="10"/>
  <c r="AS26" i="10" s="1"/>
  <c r="AV26" i="10" s="1"/>
  <c r="AD162" i="14"/>
  <c r="AB157" i="14"/>
  <c r="AB155" i="14" s="1"/>
  <c r="BP33" i="8"/>
  <c r="AA160" i="11"/>
  <c r="Y157" i="11"/>
  <c r="Y155" i="11" s="1"/>
  <c r="AH155" i="10"/>
  <c r="AH145" i="10" s="1"/>
  <c r="AH110" i="10" s="1"/>
  <c r="AA156" i="11"/>
  <c r="Y14" i="10"/>
  <c r="Y12" i="10" s="1"/>
  <c r="Y10" i="10" s="1"/>
  <c r="Y8" i="10" s="1"/>
  <c r="BP8" i="9"/>
  <c r="BP7" i="9" s="1"/>
  <c r="BP32" i="9" s="1"/>
  <c r="AB141" i="16"/>
  <c r="AD142" i="16"/>
  <c r="AA246" i="16"/>
  <c r="AH199" i="16"/>
  <c r="AW26" i="9"/>
  <c r="AY26" i="9" s="1"/>
  <c r="AU26" i="9"/>
  <c r="AB152" i="11"/>
  <c r="AD149" i="10"/>
  <c r="AD147" i="10" s="1"/>
  <c r="AI152" i="10"/>
  <c r="AI149" i="10" s="1"/>
  <c r="AI147" i="10" s="1"/>
  <c r="AI145" i="10" s="1"/>
  <c r="AI110" i="10" s="1"/>
  <c r="AD10" i="9"/>
  <c r="AD8" i="9" s="1"/>
  <c r="Y1" i="9" s="1"/>
  <c r="AA145" i="10"/>
  <c r="BO16" i="10"/>
  <c r="AA151" i="11"/>
  <c r="Y149" i="11"/>
  <c r="Y147" i="11" s="1"/>
  <c r="BP19" i="16"/>
  <c r="E43" i="20" s="1"/>
  <c r="AI126" i="16"/>
  <c r="BO17" i="10"/>
  <c r="AA112" i="10"/>
  <c r="AA126" i="11"/>
  <c r="Y123" i="11"/>
  <c r="Y112" i="11" s="1"/>
  <c r="AD124" i="11"/>
  <c r="AB123" i="11"/>
  <c r="BP17" i="10"/>
  <c r="AD112" i="10"/>
  <c r="AA116" i="13"/>
  <c r="Y114" i="13"/>
  <c r="AB106" i="11"/>
  <c r="AD105" i="10"/>
  <c r="AD104" i="10" s="1"/>
  <c r="AI106" i="10"/>
  <c r="AI105" i="10" s="1"/>
  <c r="AI104" i="10" s="1"/>
  <c r="AJ8" i="9"/>
  <c r="AB97" i="11"/>
  <c r="AD96" i="10"/>
  <c r="AD90" i="10" s="1"/>
  <c r="BP13" i="10" s="1"/>
  <c r="AI97" i="10"/>
  <c r="AI96" i="10" s="1"/>
  <c r="AI90" i="10" s="1"/>
  <c r="AG12" i="9"/>
  <c r="AG10" i="9" s="1"/>
  <c r="AG8" i="9" s="1"/>
  <c r="AE92" i="11"/>
  <c r="AG91" i="10"/>
  <c r="AG90" i="10" s="1"/>
  <c r="AG63" i="10" s="1"/>
  <c r="AJ92" i="10"/>
  <c r="AJ91" i="10" s="1"/>
  <c r="AJ90" i="10" s="1"/>
  <c r="AJ63" i="10" s="1"/>
  <c r="AB63" i="10"/>
  <c r="AB12" i="10" s="1"/>
  <c r="AD83" i="10"/>
  <c r="AB84" i="11"/>
  <c r="AI84" i="10"/>
  <c r="AI83" i="10" s="1"/>
  <c r="AW24" i="9"/>
  <c r="AY24" i="9" s="1"/>
  <c r="AU24" i="9"/>
  <c r="AY35" i="8"/>
  <c r="AU23" i="9"/>
  <c r="AW23" i="9"/>
  <c r="AY23" i="9" s="1"/>
  <c r="AB79" i="11"/>
  <c r="AD69" i="10"/>
  <c r="AD65" i="10" s="1"/>
  <c r="AI79" i="10"/>
  <c r="AI69" i="10" s="1"/>
  <c r="AI65" i="10" s="1"/>
  <c r="AG77" i="11"/>
  <c r="AE69" i="11"/>
  <c r="AE65" i="11" s="1"/>
  <c r="AA70" i="11"/>
  <c r="Y69" i="11"/>
  <c r="Y65" i="11" s="1"/>
  <c r="Y63" i="11" s="1"/>
  <c r="AA63" i="10"/>
  <c r="BO12" i="10"/>
  <c r="BO9" i="10" s="1"/>
  <c r="AG67" i="12"/>
  <c r="BP11" i="16"/>
  <c r="E35" i="20" s="1"/>
  <c r="AI67" i="16"/>
  <c r="AB66" i="12"/>
  <c r="AI66" i="11"/>
  <c r="AD59" i="11"/>
  <c r="AB58" i="11"/>
  <c r="AB57" i="11" s="1"/>
  <c r="AI14" i="10"/>
  <c r="AH43" i="10"/>
  <c r="AH258" i="9"/>
  <c r="AA43" i="10"/>
  <c r="BO13" i="10" s="1"/>
  <c r="AY25" i="9"/>
  <c r="AD50" i="11"/>
  <c r="AB49" i="11"/>
  <c r="AB43" i="11" s="1"/>
  <c r="AD14" i="10"/>
  <c r="AA50" i="11"/>
  <c r="Y49" i="11"/>
  <c r="AG45" i="11"/>
  <c r="AE44" i="11"/>
  <c r="AA45" i="11"/>
  <c r="Y44" i="11"/>
  <c r="Y41" i="11"/>
  <c r="AA35" i="10"/>
  <c r="AH41" i="10"/>
  <c r="AH35" i="10" s="1"/>
  <c r="BO31" i="10"/>
  <c r="BI9" i="9"/>
  <c r="BI7" i="9" s="1"/>
  <c r="BI16" i="9" s="1"/>
  <c r="BO8" i="9"/>
  <c r="BO7" i="9" s="1"/>
  <c r="BO32" i="9" s="1"/>
  <c r="AG38" i="11"/>
  <c r="AE35" i="11"/>
  <c r="AX24" i="10"/>
  <c r="AZ24" i="10" s="1"/>
  <c r="AV24" i="10"/>
  <c r="AE23" i="11"/>
  <c r="AG20" i="10"/>
  <c r="AG16" i="10" s="1"/>
  <c r="AJ23" i="10"/>
  <c r="AJ20" i="10" s="1"/>
  <c r="AJ16" i="10" s="1"/>
  <c r="AV23" i="9"/>
  <c r="AX23" i="9"/>
  <c r="AG17" i="12"/>
  <c r="AX22" i="11"/>
  <c r="AZ22" i="11" s="1"/>
  <c r="AV22" i="11"/>
  <c r="AD17" i="12"/>
  <c r="AB16" i="12"/>
  <c r="AA17" i="12"/>
  <c r="Y16" i="12"/>
  <c r="G113" i="11"/>
  <c r="M113" i="10"/>
  <c r="M108" i="10" s="1"/>
  <c r="BD20" i="10"/>
  <c r="I108" i="10"/>
  <c r="AR15" i="10" s="1"/>
  <c r="L116" i="12"/>
  <c r="J96" i="11"/>
  <c r="L93" i="10"/>
  <c r="AX14" i="10" s="1"/>
  <c r="AZ14" i="10" s="1"/>
  <c r="N96" i="10"/>
  <c r="N93" i="10" s="1"/>
  <c r="L17" i="9"/>
  <c r="AS14" i="9"/>
  <c r="AF258" i="9"/>
  <c r="BQ33" i="9" s="1"/>
  <c r="AR32" i="8"/>
  <c r="AU35" i="8" s="1"/>
  <c r="AU31" i="8"/>
  <c r="J86" i="11"/>
  <c r="N86" i="10"/>
  <c r="J79" i="12"/>
  <c r="N79" i="11"/>
  <c r="G79" i="12"/>
  <c r="M79" i="11"/>
  <c r="I76" i="11"/>
  <c r="G75" i="11"/>
  <c r="G74" i="11"/>
  <c r="I72" i="10"/>
  <c r="M74" i="10"/>
  <c r="M72" i="10" s="1"/>
  <c r="G21" i="10"/>
  <c r="G19" i="10" s="1"/>
  <c r="G17" i="10" s="1"/>
  <c r="G8" i="10" s="1"/>
  <c r="G121" i="10" s="1"/>
  <c r="G125" i="10" s="1"/>
  <c r="I70" i="11"/>
  <c r="G69" i="11"/>
  <c r="AE258" i="9"/>
  <c r="G65" i="11"/>
  <c r="I63" i="10"/>
  <c r="M65" i="10"/>
  <c r="BD22" i="10"/>
  <c r="I123" i="10"/>
  <c r="AW14" i="10"/>
  <c r="AY14" i="10" s="1"/>
  <c r="M121" i="9"/>
  <c r="M125" i="9" s="1"/>
  <c r="J60" i="11"/>
  <c r="J21" i="11" s="1"/>
  <c r="L62" i="11"/>
  <c r="J123" i="11"/>
  <c r="N60" i="10"/>
  <c r="N21" i="10" s="1"/>
  <c r="N123" i="10"/>
  <c r="I61" i="11"/>
  <c r="G60" i="11"/>
  <c r="I17" i="9"/>
  <c r="AR14" i="9"/>
  <c r="BD12" i="10"/>
  <c r="BD10" i="10" s="1"/>
  <c r="BD9" i="10" s="1"/>
  <c r="I22" i="10"/>
  <c r="G23" i="11"/>
  <c r="AW7" i="10"/>
  <c r="AY7" i="10" s="1"/>
  <c r="M23" i="10"/>
  <c r="M22" i="10" s="1"/>
  <c r="AU7" i="9"/>
  <c r="I121" i="8"/>
  <c r="I125" i="8" s="1"/>
  <c r="K1" i="8"/>
  <c r="J5" i="8"/>
  <c r="AG129" i="11"/>
  <c r="AE123" i="11"/>
  <c r="AE112" i="11" s="1"/>
  <c r="Y23" i="16"/>
  <c r="AA20" i="15"/>
  <c r="AH23" i="15"/>
  <c r="AH20" i="15" s="1"/>
  <c r="J105" i="12"/>
  <c r="N105" i="11"/>
  <c r="N99" i="11" s="1"/>
  <c r="L99" i="11"/>
  <c r="C121" i="16"/>
  <c r="C125" i="16" s="1"/>
  <c r="AD116" i="12"/>
  <c r="I111" i="15"/>
  <c r="AJ74" i="16"/>
  <c r="AB178" i="13"/>
  <c r="AD176" i="12"/>
  <c r="AD170" i="12" s="1"/>
  <c r="AI178" i="12"/>
  <c r="AI176" i="12" s="1"/>
  <c r="AI170" i="12" s="1"/>
  <c r="AJ124" i="16"/>
  <c r="P121" i="16"/>
  <c r="P125" i="16" s="1"/>
  <c r="P57" i="20"/>
  <c r="Q8" i="20" s="1"/>
  <c r="L54" i="16"/>
  <c r="N55" i="16"/>
  <c r="AG174" i="16"/>
  <c r="AE172" i="16"/>
  <c r="O57" i="20"/>
  <c r="P8" i="20" s="1"/>
  <c r="L95" i="16"/>
  <c r="AB127" i="13"/>
  <c r="AI127" i="12"/>
  <c r="AG160" i="16"/>
  <c r="AJ46" i="16"/>
  <c r="AD92" i="12"/>
  <c r="AB91" i="12"/>
  <c r="BE23" i="16"/>
  <c r="Q25" i="20"/>
  <c r="BF22" i="16"/>
  <c r="G47" i="16"/>
  <c r="M47" i="15"/>
  <c r="I45" i="15"/>
  <c r="I12" i="11"/>
  <c r="G10" i="11"/>
  <c r="AR16" i="10"/>
  <c r="BD7" i="10"/>
  <c r="AE223" i="13"/>
  <c r="AJ223" i="12"/>
  <c r="AE236" i="13"/>
  <c r="AJ236" i="12"/>
  <c r="AE188" i="13"/>
  <c r="AG187" i="12"/>
  <c r="AJ188" i="12"/>
  <c r="AJ187" i="12" s="1"/>
  <c r="AG244" i="12"/>
  <c r="N100" i="16"/>
  <c r="G30" i="12"/>
  <c r="I29" i="11"/>
  <c r="I28" i="11" s="1"/>
  <c r="M30" i="11"/>
  <c r="M29" i="11" s="1"/>
  <c r="M28" i="11" s="1"/>
  <c r="BD13" i="11"/>
  <c r="AE203" i="12"/>
  <c r="AG204" i="12"/>
  <c r="J90" i="12"/>
  <c r="N90" i="11"/>
  <c r="AS13" i="11"/>
  <c r="AX13" i="11"/>
  <c r="G101" i="13"/>
  <c r="M101" i="12"/>
  <c r="M99" i="12" s="1"/>
  <c r="I99" i="12"/>
  <c r="BD18" i="12"/>
  <c r="X259" i="10"/>
  <c r="AD259" i="10"/>
  <c r="V259" i="10"/>
  <c r="AC259" i="10"/>
  <c r="T15" i="11"/>
  <c r="Y259" i="10"/>
  <c r="AB259" i="10"/>
  <c r="AG259" i="10"/>
  <c r="AA259" i="10"/>
  <c r="Z259" i="10"/>
  <c r="AF259" i="10"/>
  <c r="U259" i="10"/>
  <c r="AI259" i="10"/>
  <c r="AJ259" i="10"/>
  <c r="AE259" i="10"/>
  <c r="W259" i="10"/>
  <c r="AG212" i="12"/>
  <c r="AG196" i="12"/>
  <c r="M90" i="16"/>
  <c r="AW13" i="16"/>
  <c r="AY13" i="16" s="1"/>
  <c r="AR13" i="16"/>
  <c r="AG181" i="12"/>
  <c r="AJ180" i="15"/>
  <c r="AE180" i="16"/>
  <c r="AE228" i="13"/>
  <c r="AJ228" i="12"/>
  <c r="AJ227" i="12" s="1"/>
  <c r="AG227" i="12"/>
  <c r="AX27" i="10"/>
  <c r="G86" i="12"/>
  <c r="M86" i="11"/>
  <c r="M100" i="16"/>
  <c r="D18" i="20"/>
  <c r="AG186" i="12"/>
  <c r="AE185" i="12"/>
  <c r="W258" i="15" l="1"/>
  <c r="X12" i="15"/>
  <c r="BC8" i="15"/>
  <c r="J119" i="13"/>
  <c r="L117" i="12"/>
  <c r="L108" i="12" s="1"/>
  <c r="AS15" i="12" s="1"/>
  <c r="AV15" i="12" s="1"/>
  <c r="N119" i="12"/>
  <c r="N117" i="12" s="1"/>
  <c r="BP30" i="14"/>
  <c r="BJ14" i="14" s="1"/>
  <c r="L50" i="15"/>
  <c r="J48" i="15"/>
  <c r="G37" i="16"/>
  <c r="M37" i="15"/>
  <c r="M35" i="15" s="1"/>
  <c r="I35" i="15"/>
  <c r="N54" i="16"/>
  <c r="AY8" i="16"/>
  <c r="AU8" i="16"/>
  <c r="AZ8" i="16"/>
  <c r="AV8" i="16"/>
  <c r="I83" i="13"/>
  <c r="G81" i="13"/>
  <c r="AD236" i="13"/>
  <c r="AB235" i="13"/>
  <c r="AB234" i="13" s="1"/>
  <c r="AB232" i="13" s="1"/>
  <c r="X258" i="13"/>
  <c r="AQ31" i="13" s="1"/>
  <c r="X43" i="16"/>
  <c r="N67" i="14"/>
  <c r="N66" i="14" s="1"/>
  <c r="L66" i="14"/>
  <c r="J67" i="15"/>
  <c r="AA236" i="15"/>
  <c r="Y235" i="15"/>
  <c r="BP29" i="12"/>
  <c r="BJ13" i="12" s="1"/>
  <c r="AR30" i="12"/>
  <c r="AD228" i="15"/>
  <c r="AB227" i="15"/>
  <c r="AB220" i="15" s="1"/>
  <c r="L45" i="14"/>
  <c r="J46" i="15"/>
  <c r="N46" i="14"/>
  <c r="N45" i="14" s="1"/>
  <c r="AJ241" i="11"/>
  <c r="AJ235" i="11" s="1"/>
  <c r="AE241" i="12"/>
  <c r="AG235" i="11"/>
  <c r="D17" i="16"/>
  <c r="AE117" i="12"/>
  <c r="AJ117" i="11"/>
  <c r="AJ114" i="11" s="1"/>
  <c r="AG114" i="11"/>
  <c r="AE213" i="12"/>
  <c r="AJ213" i="11"/>
  <c r="AJ211" i="11" s="1"/>
  <c r="AJ210" i="11" s="1"/>
  <c r="AJ209" i="11" s="1"/>
  <c r="AJ207" i="11" s="1"/>
  <c r="AG211" i="11"/>
  <c r="AG210" i="11" s="1"/>
  <c r="AG209" i="11" s="1"/>
  <c r="AG207" i="11" s="1"/>
  <c r="AS29" i="11" s="1"/>
  <c r="AX29" i="11" s="1"/>
  <c r="AZ29" i="11" s="1"/>
  <c r="AB10" i="10"/>
  <c r="AB258" i="10" s="1"/>
  <c r="AW22" i="11"/>
  <c r="AY22" i="11" s="1"/>
  <c r="AI8" i="9"/>
  <c r="BH17" i="13"/>
  <c r="AQ23" i="16"/>
  <c r="AH259" i="10"/>
  <c r="BN8" i="15"/>
  <c r="BN7" i="15" s="1"/>
  <c r="BN32" i="15" s="1"/>
  <c r="BH7" i="15"/>
  <c r="BH16" i="15" s="1"/>
  <c r="BD8" i="10"/>
  <c r="BD23" i="10" s="1"/>
  <c r="AX30" i="10"/>
  <c r="AZ30" i="10" s="1"/>
  <c r="AG86" i="13"/>
  <c r="AE83" i="13"/>
  <c r="BN14" i="16"/>
  <c r="AQ24" i="16"/>
  <c r="BC19" i="16"/>
  <c r="C22" i="20" s="1"/>
  <c r="F85" i="16"/>
  <c r="AE97" i="13"/>
  <c r="AJ97" i="12"/>
  <c r="AE143" i="13"/>
  <c r="AG141" i="12"/>
  <c r="AJ143" i="12"/>
  <c r="AJ141" i="12" s="1"/>
  <c r="AD215" i="13"/>
  <c r="AB211" i="13"/>
  <c r="AB210" i="13" s="1"/>
  <c r="AB209" i="13" s="1"/>
  <c r="AB207" i="13" s="1"/>
  <c r="Y249" i="13"/>
  <c r="AH249" i="12"/>
  <c r="AH243" i="12" s="1"/>
  <c r="AH234" i="12" s="1"/>
  <c r="AH232" i="12" s="1"/>
  <c r="AA243" i="12"/>
  <c r="AA234" i="12" s="1"/>
  <c r="AA232" i="12" s="1"/>
  <c r="BO29" i="12" s="1"/>
  <c r="BI13" i="12" s="1"/>
  <c r="J70" i="13"/>
  <c r="L69" i="12"/>
  <c r="N70" i="12"/>
  <c r="N69" i="12" s="1"/>
  <c r="BC18" i="16"/>
  <c r="F99" i="16"/>
  <c r="C21" i="20"/>
  <c r="M105" i="16"/>
  <c r="BN16" i="16"/>
  <c r="X145" i="16"/>
  <c r="X110" i="16" s="1"/>
  <c r="AQ26" i="16" s="1"/>
  <c r="AQ25" i="16"/>
  <c r="BN13" i="16"/>
  <c r="C37" i="20" s="1"/>
  <c r="AB112" i="11"/>
  <c r="F8" i="13"/>
  <c r="F121" i="13" s="1"/>
  <c r="F125" i="13" s="1"/>
  <c r="X63" i="16"/>
  <c r="X207" i="16"/>
  <c r="AQ29" i="16" s="1"/>
  <c r="BN27" i="16"/>
  <c r="J14" i="12"/>
  <c r="L10" i="11"/>
  <c r="AS16" i="11" s="1"/>
  <c r="AV16" i="11" s="1"/>
  <c r="N14" i="11"/>
  <c r="N10" i="11" s="1"/>
  <c r="I59" i="12"/>
  <c r="G57" i="12"/>
  <c r="BN29" i="16"/>
  <c r="AQ30" i="16"/>
  <c r="N118" i="15"/>
  <c r="M118" i="15"/>
  <c r="M117" i="15" s="1"/>
  <c r="F117" i="15"/>
  <c r="AG116" i="13"/>
  <c r="J37" i="13"/>
  <c r="L35" i="12"/>
  <c r="L28" i="12" s="1"/>
  <c r="AS9" i="12" s="1"/>
  <c r="AV9" i="12" s="1"/>
  <c r="N37" i="12"/>
  <c r="N35" i="12" s="1"/>
  <c r="N28" i="12" s="1"/>
  <c r="AX9" i="12"/>
  <c r="AZ9" i="12" s="1"/>
  <c r="AA190" i="16"/>
  <c r="Y187" i="16"/>
  <c r="Y185" i="16" s="1"/>
  <c r="AA101" i="16"/>
  <c r="Y96" i="16"/>
  <c r="Y90" i="16" s="1"/>
  <c r="BC21" i="14"/>
  <c r="BC23" i="14" s="1"/>
  <c r="BH17" i="14" s="1"/>
  <c r="F108" i="14"/>
  <c r="AQ15" i="14" s="1"/>
  <c r="AW15" i="14" s="1"/>
  <c r="AY15" i="14" s="1"/>
  <c r="J53" i="13"/>
  <c r="L51" i="12"/>
  <c r="N53" i="12"/>
  <c r="N51" i="12" s="1"/>
  <c r="Y212" i="13"/>
  <c r="AA211" i="12"/>
  <c r="AA210" i="12" s="1"/>
  <c r="AA209" i="12" s="1"/>
  <c r="AH212" i="12"/>
  <c r="AH211" i="12" s="1"/>
  <c r="AH210" i="12" s="1"/>
  <c r="AH209" i="12" s="1"/>
  <c r="AH207" i="12" s="1"/>
  <c r="AU29" i="15"/>
  <c r="AV29" i="15"/>
  <c r="AG52" i="11"/>
  <c r="AE49" i="11"/>
  <c r="AE43" i="11" s="1"/>
  <c r="AA230" i="13"/>
  <c r="Y227" i="13"/>
  <c r="Y220" i="13" s="1"/>
  <c r="BP27" i="12"/>
  <c r="AD207" i="12"/>
  <c r="AR29" i="12" s="1"/>
  <c r="AW29" i="12" s="1"/>
  <c r="AY29" i="12" s="1"/>
  <c r="AQ27" i="16"/>
  <c r="BN24" i="16"/>
  <c r="AG224" i="11"/>
  <c r="AE222" i="11"/>
  <c r="AE220" i="11" s="1"/>
  <c r="I50" i="11"/>
  <c r="G48" i="11"/>
  <c r="AD39" i="12"/>
  <c r="AB35" i="12"/>
  <c r="AJ99" i="11"/>
  <c r="AJ96" i="11" s="1"/>
  <c r="AE99" i="12"/>
  <c r="AG96" i="11"/>
  <c r="G95" i="12"/>
  <c r="I93" i="11"/>
  <c r="M95" i="11"/>
  <c r="M93" i="11" s="1"/>
  <c r="M85" i="11" s="1"/>
  <c r="X10" i="15"/>
  <c r="X8" i="15" s="1"/>
  <c r="AQ17" i="13"/>
  <c r="X14" i="16"/>
  <c r="AJ149" i="16"/>
  <c r="AJ147" i="16" s="1"/>
  <c r="D8" i="15"/>
  <c r="D121" i="15" s="1"/>
  <c r="D125" i="15" s="1"/>
  <c r="F17" i="15"/>
  <c r="AQ14" i="15"/>
  <c r="BH15" i="16"/>
  <c r="C55" i="20"/>
  <c r="BN33" i="12"/>
  <c r="BH19" i="12" s="1"/>
  <c r="BH20" i="12" s="1"/>
  <c r="AQ31" i="12"/>
  <c r="E8" i="16"/>
  <c r="E121" i="16" s="1"/>
  <c r="E125" i="16" s="1"/>
  <c r="W258" i="16"/>
  <c r="I55" i="12"/>
  <c r="G54" i="12"/>
  <c r="BC10" i="16"/>
  <c r="C17" i="20"/>
  <c r="C10" i="20" s="1"/>
  <c r="C36" i="20"/>
  <c r="C33" i="20" s="1"/>
  <c r="BN9" i="16"/>
  <c r="F118" i="16"/>
  <c r="D117" i="16"/>
  <c r="D108" i="16" s="1"/>
  <c r="V258" i="16" s="1"/>
  <c r="AB117" i="12"/>
  <c r="AI117" i="11"/>
  <c r="AI114" i="11" s="1"/>
  <c r="AD114" i="11"/>
  <c r="A1" i="12"/>
  <c r="F121" i="12"/>
  <c r="F125" i="12" s="1"/>
  <c r="G68" i="12"/>
  <c r="I66" i="11"/>
  <c r="M68" i="11"/>
  <c r="M66" i="11" s="1"/>
  <c r="AB22" i="14"/>
  <c r="AD20" i="13"/>
  <c r="AI22" i="13"/>
  <c r="AI20" i="13" s="1"/>
  <c r="AJ14" i="10"/>
  <c r="AJ12" i="10" s="1"/>
  <c r="AJ10" i="10" s="1"/>
  <c r="AJ8" i="10" s="1"/>
  <c r="N85" i="10"/>
  <c r="N19" i="10" s="1"/>
  <c r="N17" i="10" s="1"/>
  <c r="N8" i="10" s="1"/>
  <c r="N121" i="10" s="1"/>
  <c r="N125" i="10" s="1"/>
  <c r="AX26" i="10"/>
  <c r="AZ26" i="10" s="1"/>
  <c r="F21" i="16"/>
  <c r="AE245" i="12"/>
  <c r="AJ245" i="11"/>
  <c r="AJ243" i="11" s="1"/>
  <c r="AJ234" i="11" s="1"/>
  <c r="AJ232" i="11" s="1"/>
  <c r="AG243" i="11"/>
  <c r="AG234" i="11" s="1"/>
  <c r="AG232" i="11" s="1"/>
  <c r="AD204" i="11"/>
  <c r="AB203" i="11"/>
  <c r="AB194" i="11" s="1"/>
  <c r="AB193" i="11" s="1"/>
  <c r="BP28" i="10"/>
  <c r="BP25" i="10" s="1"/>
  <c r="BJ12" i="10" s="1"/>
  <c r="AD193" i="10"/>
  <c r="AR28" i="10" s="1"/>
  <c r="AG198" i="11"/>
  <c r="AE195" i="11"/>
  <c r="AE194" i="11" s="1"/>
  <c r="AE193" i="11" s="1"/>
  <c r="AX28" i="10"/>
  <c r="AZ28" i="10" s="1"/>
  <c r="AV28" i="10"/>
  <c r="AD198" i="14"/>
  <c r="AB195" i="14"/>
  <c r="Y196" i="12"/>
  <c r="BO26" i="11"/>
  <c r="AA195" i="11"/>
  <c r="AA194" i="11" s="1"/>
  <c r="AH196" i="11"/>
  <c r="AH195" i="11" s="1"/>
  <c r="AH194" i="11" s="1"/>
  <c r="AH193" i="11" s="1"/>
  <c r="AB191" i="14"/>
  <c r="AI191" i="13"/>
  <c r="AI185" i="13" s="1"/>
  <c r="AD185" i="13"/>
  <c r="BP31" i="13"/>
  <c r="BJ15" i="13" s="1"/>
  <c r="AJ183" i="11"/>
  <c r="AJ176" i="11" s="1"/>
  <c r="AJ170" i="11" s="1"/>
  <c r="AE183" i="12"/>
  <c r="AG176" i="11"/>
  <c r="AG170" i="11" s="1"/>
  <c r="AS27" i="11" s="1"/>
  <c r="AV27" i="11" s="1"/>
  <c r="BO22" i="10"/>
  <c r="BI11" i="10" s="1"/>
  <c r="AA177" i="11"/>
  <c r="Y176" i="11"/>
  <c r="Y170" i="11" s="1"/>
  <c r="AE110" i="11"/>
  <c r="AE162" i="12"/>
  <c r="AJ162" i="11"/>
  <c r="AJ157" i="11" s="1"/>
  <c r="AJ155" i="11" s="1"/>
  <c r="AJ145" i="11" s="1"/>
  <c r="AG157" i="11"/>
  <c r="AG155" i="11" s="1"/>
  <c r="AG145" i="11" s="1"/>
  <c r="AB162" i="15"/>
  <c r="AD157" i="14"/>
  <c r="AD155" i="14" s="1"/>
  <c r="AI162" i="14"/>
  <c r="AI157" i="14" s="1"/>
  <c r="AI155" i="14" s="1"/>
  <c r="AC1" i="9"/>
  <c r="AA157" i="11"/>
  <c r="AA155" i="11" s="1"/>
  <c r="AH160" i="11"/>
  <c r="AH157" i="11" s="1"/>
  <c r="Y160" i="12"/>
  <c r="Y156" i="12"/>
  <c r="BO18" i="11"/>
  <c r="AH156" i="11"/>
  <c r="AA110" i="10"/>
  <c r="Y145" i="11"/>
  <c r="Y110" i="11" s="1"/>
  <c r="AI142" i="16"/>
  <c r="AI141" i="16" s="1"/>
  <c r="AD141" i="16"/>
  <c r="BP20" i="16" s="1"/>
  <c r="E44" i="20" s="1"/>
  <c r="AH246" i="16"/>
  <c r="AS25" i="10"/>
  <c r="AX25" i="10" s="1"/>
  <c r="AZ25" i="10" s="1"/>
  <c r="AX16" i="10"/>
  <c r="AU16" i="10"/>
  <c r="AD152" i="11"/>
  <c r="AB149" i="11"/>
  <c r="AB147" i="11" s="1"/>
  <c r="AB145" i="11" s="1"/>
  <c r="AD145" i="10"/>
  <c r="AD110" i="10" s="1"/>
  <c r="AR26" i="10" s="1"/>
  <c r="BP16" i="10"/>
  <c r="BP15" i="10" s="1"/>
  <c r="BJ10" i="10" s="1"/>
  <c r="Y151" i="12"/>
  <c r="AA149" i="11"/>
  <c r="AA147" i="11" s="1"/>
  <c r="AH151" i="11"/>
  <c r="AH149" i="11" s="1"/>
  <c r="AH147" i="11" s="1"/>
  <c r="Y126" i="12"/>
  <c r="BO19" i="11"/>
  <c r="AA123" i="11"/>
  <c r="AH126" i="11"/>
  <c r="AH123" i="11" s="1"/>
  <c r="AH112" i="11" s="1"/>
  <c r="BO15" i="10"/>
  <c r="BI10" i="10" s="1"/>
  <c r="AB124" i="12"/>
  <c r="AI124" i="11"/>
  <c r="AI123" i="11" s="1"/>
  <c r="AI112" i="11" s="1"/>
  <c r="AD123" i="11"/>
  <c r="Y116" i="14"/>
  <c r="AA114" i="13"/>
  <c r="AH116" i="13"/>
  <c r="AH114" i="13" s="1"/>
  <c r="AB105" i="11"/>
  <c r="AB104" i="11" s="1"/>
  <c r="AD106" i="11"/>
  <c r="AD97" i="11"/>
  <c r="AB96" i="11"/>
  <c r="AB90" i="11" s="1"/>
  <c r="AR25" i="10"/>
  <c r="AW25" i="10" s="1"/>
  <c r="AG258" i="9"/>
  <c r="AS31" i="9" s="1"/>
  <c r="AS32" i="9" s="1"/>
  <c r="AV32" i="9" s="1"/>
  <c r="AG92" i="11"/>
  <c r="AE91" i="11"/>
  <c r="AE90" i="11" s="1"/>
  <c r="AE63" i="11" s="1"/>
  <c r="AI63" i="10"/>
  <c r="AI12" i="10" s="1"/>
  <c r="AI10" i="10" s="1"/>
  <c r="AI258" i="10" s="1"/>
  <c r="AB8" i="10"/>
  <c r="AR24" i="10"/>
  <c r="BP14" i="10"/>
  <c r="BJ9" i="10" s="1"/>
  <c r="AD84" i="11"/>
  <c r="AB83" i="11"/>
  <c r="AY32" i="9"/>
  <c r="AZ35" i="9" s="1"/>
  <c r="AD79" i="11"/>
  <c r="AB69" i="11"/>
  <c r="AB65" i="11" s="1"/>
  <c r="BP12" i="10"/>
  <c r="BP9" i="10" s="1"/>
  <c r="BJ8" i="10" s="1"/>
  <c r="AD63" i="10"/>
  <c r="AD12" i="10" s="1"/>
  <c r="AR23" i="10"/>
  <c r="AW32" i="9"/>
  <c r="AE77" i="12"/>
  <c r="AJ77" i="11"/>
  <c r="AJ69" i="11" s="1"/>
  <c r="AJ65" i="11" s="1"/>
  <c r="AG69" i="11"/>
  <c r="AG65" i="11" s="1"/>
  <c r="BI8" i="10"/>
  <c r="Y70" i="12"/>
  <c r="AA69" i="11"/>
  <c r="AA65" i="11" s="1"/>
  <c r="AH70" i="11"/>
  <c r="AH69" i="11" s="1"/>
  <c r="AH65" i="11" s="1"/>
  <c r="AH63" i="11" s="1"/>
  <c r="AE67" i="13"/>
  <c r="AJ67" i="12"/>
  <c r="AD66" i="12"/>
  <c r="AR22" i="12" s="1"/>
  <c r="AB59" i="12"/>
  <c r="AD58" i="11"/>
  <c r="AD57" i="11" s="1"/>
  <c r="AI59" i="11"/>
  <c r="AI58" i="11" s="1"/>
  <c r="AI57" i="11" s="1"/>
  <c r="AB14" i="11"/>
  <c r="AH14" i="10"/>
  <c r="AH12" i="10" s="1"/>
  <c r="AH10" i="10" s="1"/>
  <c r="AH258" i="10" s="1"/>
  <c r="AB50" i="12"/>
  <c r="AD49" i="11"/>
  <c r="AD43" i="11" s="1"/>
  <c r="AI50" i="11"/>
  <c r="AI49" i="11" s="1"/>
  <c r="AI43" i="11" s="1"/>
  <c r="Y50" i="12"/>
  <c r="AA49" i="11"/>
  <c r="AH50" i="11"/>
  <c r="AH49" i="11" s="1"/>
  <c r="Y43" i="11"/>
  <c r="AE45" i="12"/>
  <c r="AJ45" i="11"/>
  <c r="AJ44" i="11" s="1"/>
  <c r="AG44" i="11"/>
  <c r="Y45" i="12"/>
  <c r="AA44" i="11"/>
  <c r="AH45" i="11"/>
  <c r="AH44" i="11" s="1"/>
  <c r="BO14" i="10"/>
  <c r="AA14" i="10"/>
  <c r="AA12" i="10" s="1"/>
  <c r="AA41" i="11"/>
  <c r="AA259" i="11" s="1"/>
  <c r="Y35" i="11"/>
  <c r="BI15" i="10"/>
  <c r="AE38" i="12"/>
  <c r="AJ38" i="11"/>
  <c r="AJ35" i="11" s="1"/>
  <c r="AG35" i="11"/>
  <c r="AS24" i="11" s="1"/>
  <c r="AG14" i="10"/>
  <c r="AG12" i="10" s="1"/>
  <c r="AG10" i="10" s="1"/>
  <c r="AS23" i="10"/>
  <c r="AG23" i="11"/>
  <c r="AE20" i="11"/>
  <c r="AE16" i="11" s="1"/>
  <c r="AZ23" i="9"/>
  <c r="AZ32" i="9" s="1"/>
  <c r="AX32" i="9"/>
  <c r="AE17" i="13"/>
  <c r="AS22" i="12"/>
  <c r="AJ17" i="12"/>
  <c r="AB17" i="13"/>
  <c r="AD16" i="12"/>
  <c r="AI17" i="12"/>
  <c r="AI16" i="12" s="1"/>
  <c r="Y17" i="13"/>
  <c r="BO10" i="12"/>
  <c r="AH17" i="12"/>
  <c r="AH16" i="12" s="1"/>
  <c r="AA16" i="12"/>
  <c r="I113" i="11"/>
  <c r="G108" i="11"/>
  <c r="AX15" i="10"/>
  <c r="AZ15" i="10" s="1"/>
  <c r="AU15" i="10"/>
  <c r="J116" i="13"/>
  <c r="N116" i="12"/>
  <c r="N108" i="12" s="1"/>
  <c r="L96" i="11"/>
  <c r="J93" i="11"/>
  <c r="J85" i="11" s="1"/>
  <c r="J19" i="11" s="1"/>
  <c r="J17" i="11" s="1"/>
  <c r="AV14" i="9"/>
  <c r="AS17" i="9"/>
  <c r="AV17" i="9" s="1"/>
  <c r="L8" i="9"/>
  <c r="L121" i="9" s="1"/>
  <c r="L125" i="9" s="1"/>
  <c r="AD258" i="9"/>
  <c r="L85" i="10"/>
  <c r="L19" i="10" s="1"/>
  <c r="AV35" i="8"/>
  <c r="AU32" i="8"/>
  <c r="L86" i="11"/>
  <c r="L79" i="12"/>
  <c r="J78" i="12"/>
  <c r="L78" i="12" s="1"/>
  <c r="N78" i="12" s="1"/>
  <c r="I79" i="12"/>
  <c r="G78" i="12"/>
  <c r="I78" i="12" s="1"/>
  <c r="M78" i="12" s="1"/>
  <c r="G76" i="12"/>
  <c r="I75" i="11"/>
  <c r="AR9" i="11" s="1"/>
  <c r="AU9" i="11" s="1"/>
  <c r="M76" i="11"/>
  <c r="M75" i="11" s="1"/>
  <c r="AW9" i="11"/>
  <c r="AY9" i="11" s="1"/>
  <c r="I74" i="11"/>
  <c r="G72" i="11"/>
  <c r="Y258" i="10"/>
  <c r="G70" i="12"/>
  <c r="I69" i="11"/>
  <c r="M70" i="11"/>
  <c r="M69" i="11" s="1"/>
  <c r="I65" i="11"/>
  <c r="G63" i="11"/>
  <c r="G123" i="11"/>
  <c r="M63" i="10"/>
  <c r="M21" i="10" s="1"/>
  <c r="M19" i="10" s="1"/>
  <c r="M17" i="10" s="1"/>
  <c r="M8" i="10" s="1"/>
  <c r="M123" i="10"/>
  <c r="AY17" i="10"/>
  <c r="N62" i="11"/>
  <c r="L60" i="11"/>
  <c r="L21" i="11" s="1"/>
  <c r="J62" i="12"/>
  <c r="L123" i="11"/>
  <c r="G61" i="12"/>
  <c r="I60" i="11"/>
  <c r="M61" i="11"/>
  <c r="M60" i="11" s="1"/>
  <c r="BD17" i="11"/>
  <c r="AR17" i="9"/>
  <c r="AU17" i="9" s="1"/>
  <c r="AU14" i="9"/>
  <c r="I23" i="11"/>
  <c r="G22" i="11"/>
  <c r="AA258" i="9"/>
  <c r="BO33" i="9" s="1"/>
  <c r="I8" i="9"/>
  <c r="I21" i="10"/>
  <c r="I19" i="10" s="1"/>
  <c r="AR7" i="10"/>
  <c r="AU7" i="10" s="1"/>
  <c r="AJ160" i="16"/>
  <c r="AD178" i="13"/>
  <c r="AB176" i="13"/>
  <c r="AB170" i="13" s="1"/>
  <c r="J99" i="12"/>
  <c r="L105" i="12"/>
  <c r="AE129" i="12"/>
  <c r="AJ129" i="11"/>
  <c r="AJ123" i="11" s="1"/>
  <c r="AG123" i="11"/>
  <c r="AG112" i="11" s="1"/>
  <c r="I47" i="16"/>
  <c r="G45" i="16"/>
  <c r="Q26" i="20"/>
  <c r="Q57" i="20" s="1"/>
  <c r="R25" i="20"/>
  <c r="R26" i="20" s="1"/>
  <c r="R57" i="20" s="1"/>
  <c r="BP24" i="12"/>
  <c r="BP22" i="12" s="1"/>
  <c r="BJ11" i="12" s="1"/>
  <c r="AR27" i="12"/>
  <c r="G111" i="16"/>
  <c r="M111" i="15"/>
  <c r="AA23" i="16"/>
  <c r="Y20" i="16"/>
  <c r="AD127" i="13"/>
  <c r="AB116" i="13"/>
  <c r="AI116" i="12"/>
  <c r="M45" i="15"/>
  <c r="AB92" i="13"/>
  <c r="AD91" i="12"/>
  <c r="AI92" i="12"/>
  <c r="AI91" i="12" s="1"/>
  <c r="N95" i="16"/>
  <c r="AG172" i="16"/>
  <c r="AJ174" i="16"/>
  <c r="AJ172" i="16" s="1"/>
  <c r="G12" i="12"/>
  <c r="I10" i="11"/>
  <c r="M12" i="11"/>
  <c r="M10" i="11" s="1"/>
  <c r="AG203" i="12"/>
  <c r="AJ204" i="12"/>
  <c r="AJ203" i="12" s="1"/>
  <c r="AE204" i="13"/>
  <c r="AE244" i="13"/>
  <c r="AJ244" i="12"/>
  <c r="AE186" i="13"/>
  <c r="AG185" i="12"/>
  <c r="AJ186" i="12"/>
  <c r="AJ185" i="12" s="1"/>
  <c r="I86" i="12"/>
  <c r="AG228" i="13"/>
  <c r="AE227" i="13"/>
  <c r="AZ13" i="11"/>
  <c r="L90" i="12"/>
  <c r="AG188" i="13"/>
  <c r="AE187" i="13"/>
  <c r="AZ27" i="10"/>
  <c r="AG180" i="16"/>
  <c r="AJ181" i="12"/>
  <c r="AE181" i="13"/>
  <c r="AJ212" i="12"/>
  <c r="AE212" i="13"/>
  <c r="I30" i="12"/>
  <c r="G29" i="12"/>
  <c r="G28" i="12" s="1"/>
  <c r="AG236" i="13"/>
  <c r="AG223" i="13"/>
  <c r="AE196" i="13"/>
  <c r="AJ196" i="12"/>
  <c r="X259" i="11"/>
  <c r="AD259" i="11"/>
  <c r="AC259" i="11"/>
  <c r="AG259" i="11"/>
  <c r="AE259" i="11"/>
  <c r="AB259" i="11"/>
  <c r="W259" i="11"/>
  <c r="U259" i="11"/>
  <c r="T15" i="12"/>
  <c r="AI259" i="11"/>
  <c r="Z259" i="11"/>
  <c r="Y259" i="11"/>
  <c r="V259" i="11"/>
  <c r="AF259" i="11"/>
  <c r="I101" i="13"/>
  <c r="G99" i="13"/>
  <c r="L119" i="13" l="1"/>
  <c r="J117" i="13"/>
  <c r="J108" i="13" s="1"/>
  <c r="AJ112" i="11"/>
  <c r="F19" i="16"/>
  <c r="F17" i="16" s="1"/>
  <c r="BN33" i="13"/>
  <c r="BH19" i="13" s="1"/>
  <c r="BH20" i="13" s="1"/>
  <c r="J45" i="15"/>
  <c r="L46" i="15"/>
  <c r="AW30" i="12"/>
  <c r="AY30" i="12" s="1"/>
  <c r="AU30" i="12"/>
  <c r="L67" i="15"/>
  <c r="J66" i="15"/>
  <c r="G83" i="14"/>
  <c r="I81" i="13"/>
  <c r="M83" i="13"/>
  <c r="M81" i="13" s="1"/>
  <c r="J50" i="16"/>
  <c r="N50" i="15"/>
  <c r="N48" i="15" s="1"/>
  <c r="L48" i="15"/>
  <c r="AB228" i="16"/>
  <c r="AD227" i="15"/>
  <c r="AD220" i="15" s="1"/>
  <c r="AI228" i="15"/>
  <c r="AI227" i="15" s="1"/>
  <c r="AI220" i="15" s="1"/>
  <c r="Y236" i="16"/>
  <c r="AH236" i="15"/>
  <c r="AH235" i="15" s="1"/>
  <c r="AA235" i="15"/>
  <c r="AB236" i="14"/>
  <c r="AD235" i="13"/>
  <c r="AD234" i="13" s="1"/>
  <c r="AD232" i="13" s="1"/>
  <c r="AI236" i="13"/>
  <c r="AI235" i="13" s="1"/>
  <c r="AI234" i="13" s="1"/>
  <c r="AI232" i="13" s="1"/>
  <c r="I37" i="16"/>
  <c r="G35" i="16"/>
  <c r="AG117" i="12"/>
  <c r="AE114" i="12"/>
  <c r="AG241" i="12"/>
  <c r="AE235" i="12"/>
  <c r="AG213" i="12"/>
  <c r="AE211" i="12"/>
  <c r="AE210" i="12" s="1"/>
  <c r="AE209" i="12" s="1"/>
  <c r="AE207" i="12" s="1"/>
  <c r="AH155" i="11"/>
  <c r="AH145" i="11" s="1"/>
  <c r="AH110" i="11" s="1"/>
  <c r="AX27" i="11"/>
  <c r="AZ27" i="11" s="1"/>
  <c r="AX17" i="10"/>
  <c r="AG110" i="11"/>
  <c r="AS26" i="11" s="1"/>
  <c r="AV26" i="11" s="1"/>
  <c r="BP10" i="12"/>
  <c r="AW17" i="10"/>
  <c r="AZ16" i="10"/>
  <c r="AZ17" i="10" s="1"/>
  <c r="C32" i="20"/>
  <c r="AJ259" i="11"/>
  <c r="X12" i="16"/>
  <c r="X10" i="16" s="1"/>
  <c r="X8" i="16" s="1"/>
  <c r="AE14" i="11"/>
  <c r="AE12" i="11" s="1"/>
  <c r="AE10" i="11" s="1"/>
  <c r="AE8" i="11" s="1"/>
  <c r="AD22" i="14"/>
  <c r="AB20" i="14"/>
  <c r="AD117" i="12"/>
  <c r="AB114" i="12"/>
  <c r="G55" i="13"/>
  <c r="I54" i="12"/>
  <c r="M55" i="12"/>
  <c r="M54" i="12" s="1"/>
  <c r="AG99" i="12"/>
  <c r="AE96" i="12"/>
  <c r="BN22" i="16"/>
  <c r="BH11" i="16" s="1"/>
  <c r="C48" i="20"/>
  <c r="C46" i="20" s="1"/>
  <c r="AA212" i="13"/>
  <c r="Y211" i="13"/>
  <c r="Y210" i="13" s="1"/>
  <c r="Y209" i="13" s="1"/>
  <c r="Y207" i="13" s="1"/>
  <c r="F108" i="15"/>
  <c r="AQ15" i="15" s="1"/>
  <c r="AW15" i="15" s="1"/>
  <c r="AY15" i="15" s="1"/>
  <c r="BC21" i="15"/>
  <c r="BC23" i="15" s="1"/>
  <c r="BH17" i="15" s="1"/>
  <c r="BH13" i="16"/>
  <c r="C53" i="20"/>
  <c r="BN15" i="16"/>
  <c r="BH10" i="16" s="1"/>
  <c r="C40" i="20"/>
  <c r="C39" i="20" s="1"/>
  <c r="AB215" i="14"/>
  <c r="AD211" i="13"/>
  <c r="AD210" i="13" s="1"/>
  <c r="AD209" i="13" s="1"/>
  <c r="AI215" i="13"/>
  <c r="AI211" i="13" s="1"/>
  <c r="AI210" i="13" s="1"/>
  <c r="AI209" i="13" s="1"/>
  <c r="AI207" i="13" s="1"/>
  <c r="AJ86" i="13"/>
  <c r="AJ83" i="13" s="1"/>
  <c r="AE86" i="14"/>
  <c r="AG83" i="13"/>
  <c r="I68" i="12"/>
  <c r="G66" i="12"/>
  <c r="BH8" i="16"/>
  <c r="BN8" i="16"/>
  <c r="AW31" i="12"/>
  <c r="AY31" i="12" s="1"/>
  <c r="AX31" i="12"/>
  <c r="AZ31" i="12" s="1"/>
  <c r="AQ32" i="12"/>
  <c r="AQ33" i="12" s="1"/>
  <c r="AB39" i="13"/>
  <c r="AD35" i="12"/>
  <c r="AI39" i="12"/>
  <c r="AI35" i="12" s="1"/>
  <c r="AE224" i="12"/>
  <c r="AJ224" i="11"/>
  <c r="AJ222" i="11" s="1"/>
  <c r="AJ220" i="11" s="1"/>
  <c r="AG222" i="11"/>
  <c r="AG220" i="11" s="1"/>
  <c r="AS30" i="11" s="1"/>
  <c r="AV30" i="11" s="1"/>
  <c r="AE52" i="12"/>
  <c r="AG49" i="11"/>
  <c r="AG43" i="11" s="1"/>
  <c r="AJ52" i="11"/>
  <c r="AJ49" i="11" s="1"/>
  <c r="AJ43" i="11" s="1"/>
  <c r="AA207" i="12"/>
  <c r="BO27" i="12"/>
  <c r="L53" i="13"/>
  <c r="J51" i="13"/>
  <c r="AH101" i="16"/>
  <c r="AH96" i="16" s="1"/>
  <c r="AH90" i="16" s="1"/>
  <c r="AA96" i="16"/>
  <c r="AA90" i="16" s="1"/>
  <c r="AU29" i="16"/>
  <c r="AV29" i="16"/>
  <c r="L70" i="13"/>
  <c r="J69" i="13"/>
  <c r="AG143" i="13"/>
  <c r="AE141" i="13"/>
  <c r="F8" i="14"/>
  <c r="AB110" i="11"/>
  <c r="AQ17" i="14"/>
  <c r="X258" i="14"/>
  <c r="N118" i="16"/>
  <c r="M118" i="16"/>
  <c r="M117" i="16" s="1"/>
  <c r="F117" i="16"/>
  <c r="I95" i="12"/>
  <c r="G93" i="12"/>
  <c r="G85" i="12" s="1"/>
  <c r="AE116" i="14"/>
  <c r="AJ116" i="13"/>
  <c r="G59" i="13"/>
  <c r="I57" i="12"/>
  <c r="M59" i="12"/>
  <c r="M57" i="12" s="1"/>
  <c r="AW31" i="13"/>
  <c r="AY31" i="13" s="1"/>
  <c r="AX31" i="13"/>
  <c r="AZ31" i="13" s="1"/>
  <c r="AQ32" i="13"/>
  <c r="AQ33" i="13" s="1"/>
  <c r="BN25" i="16"/>
  <c r="BH12" i="16" s="1"/>
  <c r="C51" i="20"/>
  <c r="C49" i="20" s="1"/>
  <c r="AA249" i="13"/>
  <c r="Y243" i="13"/>
  <c r="Y234" i="13" s="1"/>
  <c r="Y232" i="13" s="1"/>
  <c r="AG97" i="13"/>
  <c r="BH9" i="16"/>
  <c r="C38" i="20"/>
  <c r="A1" i="13"/>
  <c r="D8" i="16"/>
  <c r="D121" i="16" s="1"/>
  <c r="D125" i="16" s="1"/>
  <c r="BC9" i="16"/>
  <c r="BC8" i="16" s="1"/>
  <c r="I85" i="11"/>
  <c r="BD19" i="11"/>
  <c r="M50" i="11"/>
  <c r="M48" i="11" s="1"/>
  <c r="I48" i="11"/>
  <c r="G50" i="12"/>
  <c r="Y230" i="14"/>
  <c r="AA227" i="13"/>
  <c r="AA220" i="13" s="1"/>
  <c r="BO30" i="13" s="1"/>
  <c r="AH230" i="13"/>
  <c r="AH227" i="13" s="1"/>
  <c r="AH220" i="13" s="1"/>
  <c r="AA187" i="16"/>
  <c r="AA185" i="16" s="1"/>
  <c r="AH190" i="16"/>
  <c r="AH187" i="16" s="1"/>
  <c r="AH185" i="16" s="1"/>
  <c r="L37" i="13"/>
  <c r="J35" i="13"/>
  <c r="J28" i="13" s="1"/>
  <c r="L14" i="12"/>
  <c r="J10" i="12"/>
  <c r="C9" i="20"/>
  <c r="AV25" i="10"/>
  <c r="AG245" i="12"/>
  <c r="AE243" i="12"/>
  <c r="AE234" i="12" s="1"/>
  <c r="AE232" i="12" s="1"/>
  <c r="AW28" i="10"/>
  <c r="AY28" i="10" s="1"/>
  <c r="AU28" i="10"/>
  <c r="AB204" i="12"/>
  <c r="AD203" i="11"/>
  <c r="AD194" i="11" s="1"/>
  <c r="AI204" i="11"/>
  <c r="AI203" i="11" s="1"/>
  <c r="AI194" i="11" s="1"/>
  <c r="AI193" i="11" s="1"/>
  <c r="AE198" i="12"/>
  <c r="AJ198" i="11"/>
  <c r="AJ195" i="11" s="1"/>
  <c r="AJ194" i="11" s="1"/>
  <c r="AJ193" i="11" s="1"/>
  <c r="AG195" i="11"/>
  <c r="AG194" i="11" s="1"/>
  <c r="AG193" i="11" s="1"/>
  <c r="AS28" i="11" s="1"/>
  <c r="AB198" i="15"/>
  <c r="AD195" i="14"/>
  <c r="AI198" i="14"/>
  <c r="AI195" i="14" s="1"/>
  <c r="BO28" i="11"/>
  <c r="AA193" i="11"/>
  <c r="AA196" i="12"/>
  <c r="Y195" i="12"/>
  <c r="Y194" i="12" s="1"/>
  <c r="Y193" i="12" s="1"/>
  <c r="BO25" i="11"/>
  <c r="BI12" i="11" s="1"/>
  <c r="AD191" i="14"/>
  <c r="AB185" i="14"/>
  <c r="AG183" i="12"/>
  <c r="AE176" i="12"/>
  <c r="AE170" i="12" s="1"/>
  <c r="Y177" i="12"/>
  <c r="BO23" i="11"/>
  <c r="AA176" i="11"/>
  <c r="AA170" i="11" s="1"/>
  <c r="BO24" i="11" s="1"/>
  <c r="AH177" i="11"/>
  <c r="AH176" i="11" s="1"/>
  <c r="AH170" i="11" s="1"/>
  <c r="AW27" i="12"/>
  <c r="AY27" i="12" s="1"/>
  <c r="AU27" i="12"/>
  <c r="AV31" i="9"/>
  <c r="AG162" i="12"/>
  <c r="AE157" i="12"/>
  <c r="AE155" i="12" s="1"/>
  <c r="AE145" i="12" s="1"/>
  <c r="AJ110" i="11"/>
  <c r="AD162" i="15"/>
  <c r="AB157" i="15"/>
  <c r="AB155" i="15" s="1"/>
  <c r="Y157" i="12"/>
  <c r="Y155" i="12" s="1"/>
  <c r="AA160" i="12"/>
  <c r="AA156" i="12"/>
  <c r="AA10" i="10"/>
  <c r="AA8" i="10" s="1"/>
  <c r="U1" i="10" s="1"/>
  <c r="AI14" i="11"/>
  <c r="BJ7" i="10"/>
  <c r="BJ16" i="10" s="1"/>
  <c r="AU26" i="10"/>
  <c r="AW26" i="10"/>
  <c r="AY26" i="10" s="1"/>
  <c r="AB152" i="12"/>
  <c r="AD149" i="11"/>
  <c r="AD147" i="11" s="1"/>
  <c r="AI152" i="11"/>
  <c r="AI149" i="11" s="1"/>
  <c r="AI147" i="11" s="1"/>
  <c r="AI145" i="11" s="1"/>
  <c r="AI110" i="11" s="1"/>
  <c r="AD10" i="10"/>
  <c r="AD8" i="10" s="1"/>
  <c r="AA145" i="11"/>
  <c r="BO16" i="11"/>
  <c r="AA151" i="12"/>
  <c r="Y149" i="12"/>
  <c r="Y147" i="12" s="1"/>
  <c r="BO17" i="11"/>
  <c r="AA112" i="11"/>
  <c r="AA126" i="12"/>
  <c r="Y123" i="12"/>
  <c r="Y112" i="12" s="1"/>
  <c r="AD124" i="12"/>
  <c r="AB123" i="12"/>
  <c r="BP17" i="11"/>
  <c r="AD112" i="11"/>
  <c r="AA116" i="14"/>
  <c r="Y114" i="14"/>
  <c r="AI106" i="11"/>
  <c r="AI105" i="11" s="1"/>
  <c r="AI104" i="11" s="1"/>
  <c r="AB106" i="12"/>
  <c r="AD105" i="11"/>
  <c r="AD104" i="11" s="1"/>
  <c r="AY35" i="9"/>
  <c r="AU25" i="10"/>
  <c r="AB97" i="12"/>
  <c r="AD96" i="11"/>
  <c r="AD90" i="11" s="1"/>
  <c r="BP13" i="11" s="1"/>
  <c r="AI97" i="11"/>
  <c r="AI96" i="11" s="1"/>
  <c r="AI90" i="11" s="1"/>
  <c r="AJ258" i="10"/>
  <c r="AE92" i="12"/>
  <c r="AJ92" i="11"/>
  <c r="AJ91" i="11" s="1"/>
  <c r="AJ90" i="11" s="1"/>
  <c r="AJ63" i="11" s="1"/>
  <c r="AG91" i="11"/>
  <c r="AG90" i="11" s="1"/>
  <c r="AG63" i="11" s="1"/>
  <c r="AW24" i="10"/>
  <c r="AY24" i="10" s="1"/>
  <c r="AU24" i="10"/>
  <c r="BP8" i="10"/>
  <c r="BP7" i="10" s="1"/>
  <c r="BP32" i="10" s="1"/>
  <c r="AI8" i="10"/>
  <c r="AB63" i="11"/>
  <c r="AB12" i="11" s="1"/>
  <c r="AD83" i="11"/>
  <c r="AB84" i="12"/>
  <c r="AI84" i="11"/>
  <c r="AI83" i="11" s="1"/>
  <c r="AU23" i="10"/>
  <c r="AW23" i="10"/>
  <c r="AY23" i="10" s="1"/>
  <c r="AB79" i="12"/>
  <c r="AD69" i="11"/>
  <c r="AD65" i="11" s="1"/>
  <c r="AI79" i="11"/>
  <c r="AI69" i="11" s="1"/>
  <c r="AI65" i="11" s="1"/>
  <c r="AG77" i="12"/>
  <c r="AE69" i="12"/>
  <c r="AE65" i="12" s="1"/>
  <c r="AA70" i="12"/>
  <c r="Y69" i="12"/>
  <c r="Y65" i="12" s="1"/>
  <c r="Y63" i="12" s="1"/>
  <c r="AA63" i="11"/>
  <c r="BO12" i="11"/>
  <c r="BO9" i="11" s="1"/>
  <c r="AG67" i="13"/>
  <c r="AB66" i="13"/>
  <c r="AI66" i="12"/>
  <c r="AD59" i="12"/>
  <c r="AB58" i="12"/>
  <c r="AB57" i="12" s="1"/>
  <c r="AH8" i="10"/>
  <c r="AH43" i="11"/>
  <c r="AY25" i="10"/>
  <c r="AD50" i="12"/>
  <c r="AB49" i="12"/>
  <c r="AB43" i="12" s="1"/>
  <c r="AD14" i="11"/>
  <c r="AA50" i="12"/>
  <c r="Y49" i="12"/>
  <c r="Y14" i="11"/>
  <c r="Y12" i="11" s="1"/>
  <c r="Y10" i="11" s="1"/>
  <c r="Y8" i="11" s="1"/>
  <c r="AA43" i="11"/>
  <c r="BO13" i="11" s="1"/>
  <c r="AG45" i="12"/>
  <c r="AE44" i="12"/>
  <c r="AA45" i="12"/>
  <c r="Y44" i="12"/>
  <c r="Y41" i="12"/>
  <c r="Y259" i="12" s="1"/>
  <c r="AA35" i="11"/>
  <c r="BO31" i="11"/>
  <c r="BI15" i="11" s="1"/>
  <c r="AH41" i="11"/>
  <c r="BI9" i="10"/>
  <c r="BI7" i="10" s="1"/>
  <c r="BI16" i="10" s="1"/>
  <c r="BO8" i="10"/>
  <c r="BO7" i="10" s="1"/>
  <c r="BO32" i="10" s="1"/>
  <c r="AE35" i="12"/>
  <c r="AG38" i="12"/>
  <c r="AX24" i="11"/>
  <c r="AZ24" i="11" s="1"/>
  <c r="AV24" i="11"/>
  <c r="AV23" i="10"/>
  <c r="AX23" i="10"/>
  <c r="AE23" i="12"/>
  <c r="AG20" i="11"/>
  <c r="AG16" i="11" s="1"/>
  <c r="AJ23" i="11"/>
  <c r="AJ20" i="11" s="1"/>
  <c r="AJ16" i="11" s="1"/>
  <c r="AG258" i="10"/>
  <c r="AS31" i="10" s="1"/>
  <c r="AV31" i="10" s="1"/>
  <c r="AG8" i="10"/>
  <c r="AG17" i="13"/>
  <c r="AX22" i="12"/>
  <c r="AZ22" i="12" s="1"/>
  <c r="AV22" i="12"/>
  <c r="AW22" i="12"/>
  <c r="AY22" i="12" s="1"/>
  <c r="AU22" i="12"/>
  <c r="AD17" i="13"/>
  <c r="AB16" i="13"/>
  <c r="AA17" i="13"/>
  <c r="Y16" i="13"/>
  <c r="G113" i="12"/>
  <c r="M113" i="11"/>
  <c r="M108" i="11" s="1"/>
  <c r="BD20" i="11"/>
  <c r="I108" i="11"/>
  <c r="AR15" i="11" s="1"/>
  <c r="L116" i="13"/>
  <c r="BP33" i="9"/>
  <c r="AR31" i="9"/>
  <c r="L17" i="10"/>
  <c r="AS14" i="10"/>
  <c r="AF258" i="10"/>
  <c r="BQ33" i="10" s="1"/>
  <c r="J96" i="12"/>
  <c r="N96" i="11"/>
  <c r="N93" i="11" s="1"/>
  <c r="L93" i="11"/>
  <c r="AX14" i="11" s="1"/>
  <c r="AZ14" i="11" s="1"/>
  <c r="J8" i="11"/>
  <c r="J121" i="11" s="1"/>
  <c r="J125" i="11" s="1"/>
  <c r="J86" i="12"/>
  <c r="N86" i="11"/>
  <c r="L85" i="11"/>
  <c r="L19" i="11" s="1"/>
  <c r="N79" i="12"/>
  <c r="J79" i="13"/>
  <c r="G79" i="13"/>
  <c r="M79" i="12"/>
  <c r="I76" i="12"/>
  <c r="G75" i="12"/>
  <c r="M121" i="10"/>
  <c r="M125" i="10" s="1"/>
  <c r="G74" i="12"/>
  <c r="I72" i="11"/>
  <c r="M74" i="11"/>
  <c r="M72" i="11" s="1"/>
  <c r="I70" i="12"/>
  <c r="G69" i="12"/>
  <c r="AE258" i="10"/>
  <c r="G65" i="12"/>
  <c r="I63" i="11"/>
  <c r="M65" i="11"/>
  <c r="I123" i="11"/>
  <c r="BD22" i="11"/>
  <c r="AW14" i="11"/>
  <c r="AY14" i="11" s="1"/>
  <c r="G21" i="11"/>
  <c r="G19" i="11" s="1"/>
  <c r="G17" i="11" s="1"/>
  <c r="J60" i="12"/>
  <c r="J21" i="12" s="1"/>
  <c r="L62" i="12"/>
  <c r="J123" i="12"/>
  <c r="N60" i="11"/>
  <c r="N21" i="11" s="1"/>
  <c r="N123" i="11"/>
  <c r="I61" i="12"/>
  <c r="G60" i="12"/>
  <c r="I17" i="10"/>
  <c r="AR14" i="10"/>
  <c r="G23" i="12"/>
  <c r="BD12" i="11"/>
  <c r="BD10" i="11" s="1"/>
  <c r="BD9" i="11" s="1"/>
  <c r="M23" i="11"/>
  <c r="M22" i="11" s="1"/>
  <c r="AW7" i="11"/>
  <c r="AY7" i="11" s="1"/>
  <c r="I22" i="11"/>
  <c r="I121" i="9"/>
  <c r="I125" i="9" s="1"/>
  <c r="J5" i="9"/>
  <c r="K1" i="9"/>
  <c r="AD92" i="13"/>
  <c r="AB91" i="13"/>
  <c r="AA20" i="16"/>
  <c r="AH23" i="16"/>
  <c r="AH20" i="16" s="1"/>
  <c r="I111" i="16"/>
  <c r="J105" i="13"/>
  <c r="L99" i="12"/>
  <c r="N105" i="12"/>
  <c r="N99" i="12" s="1"/>
  <c r="AB127" i="14"/>
  <c r="AI127" i="13"/>
  <c r="AD116" i="13"/>
  <c r="M47" i="16"/>
  <c r="I45" i="16"/>
  <c r="AG129" i="12"/>
  <c r="AE123" i="12"/>
  <c r="AE112" i="12" s="1"/>
  <c r="AB178" i="14"/>
  <c r="AD176" i="13"/>
  <c r="AD170" i="13" s="1"/>
  <c r="AI178" i="13"/>
  <c r="AI176" i="13" s="1"/>
  <c r="AI170" i="13" s="1"/>
  <c r="BD7" i="11"/>
  <c r="AR16" i="11"/>
  <c r="I12" i="12"/>
  <c r="G10" i="12"/>
  <c r="AG196" i="13"/>
  <c r="J90" i="13"/>
  <c r="AX13" i="12"/>
  <c r="AS13" i="12"/>
  <c r="N90" i="12"/>
  <c r="AG244" i="13"/>
  <c r="AG259" i="12"/>
  <c r="AI259" i="12"/>
  <c r="X259" i="12"/>
  <c r="AB259" i="12"/>
  <c r="AE259" i="12"/>
  <c r="AC259" i="12"/>
  <c r="T15" i="13"/>
  <c r="AF259" i="12"/>
  <c r="Z259" i="12"/>
  <c r="AD259" i="12"/>
  <c r="U259" i="12"/>
  <c r="V259" i="12"/>
  <c r="W259" i="12"/>
  <c r="AJ236" i="13"/>
  <c r="AE236" i="14"/>
  <c r="AJ180" i="16"/>
  <c r="G101" i="14"/>
  <c r="M101" i="13"/>
  <c r="M99" i="13" s="1"/>
  <c r="I99" i="13"/>
  <c r="BD18" i="13"/>
  <c r="AE223" i="14"/>
  <c r="AJ223" i="13"/>
  <c r="G30" i="13"/>
  <c r="I29" i="12"/>
  <c r="I28" i="12" s="1"/>
  <c r="M30" i="12"/>
  <c r="M29" i="12" s="1"/>
  <c r="M28" i="12" s="1"/>
  <c r="BD13" i="12"/>
  <c r="G86" i="13"/>
  <c r="M86" i="12"/>
  <c r="AE185" i="13"/>
  <c r="AG186" i="13"/>
  <c r="AG212" i="13"/>
  <c r="AG181" i="13"/>
  <c r="AJ188" i="13"/>
  <c r="AJ187" i="13" s="1"/>
  <c r="AG187" i="13"/>
  <c r="AE188" i="14"/>
  <c r="AJ228" i="13"/>
  <c r="AJ227" i="13" s="1"/>
  <c r="AG227" i="13"/>
  <c r="AE228" i="14"/>
  <c r="AG204" i="13"/>
  <c r="AE203" i="13"/>
  <c r="AQ14" i="16" l="1"/>
  <c r="BP29" i="13"/>
  <c r="AR30" i="13"/>
  <c r="AA236" i="16"/>
  <c r="Y235" i="16"/>
  <c r="J119" i="14"/>
  <c r="L117" i="13"/>
  <c r="N119" i="13"/>
  <c r="N117" i="13" s="1"/>
  <c r="M37" i="16"/>
  <c r="M35" i="16" s="1"/>
  <c r="I35" i="16"/>
  <c r="BP30" i="15"/>
  <c r="BJ14" i="15" s="1"/>
  <c r="L50" i="16"/>
  <c r="J48" i="16"/>
  <c r="J46" i="16"/>
  <c r="L45" i="15"/>
  <c r="N46" i="15"/>
  <c r="N45" i="15" s="1"/>
  <c r="AD228" i="16"/>
  <c r="AB227" i="16"/>
  <c r="AB220" i="16" s="1"/>
  <c r="N67" i="15"/>
  <c r="N66" i="15" s="1"/>
  <c r="J67" i="16"/>
  <c r="L66" i="15"/>
  <c r="AD236" i="14"/>
  <c r="AB235" i="14"/>
  <c r="AB234" i="14" s="1"/>
  <c r="AB232" i="14" s="1"/>
  <c r="I83" i="14"/>
  <c r="G81" i="14"/>
  <c r="AQ17" i="15"/>
  <c r="AJ241" i="12"/>
  <c r="AJ235" i="12" s="1"/>
  <c r="AE241" i="13"/>
  <c r="AG235" i="12"/>
  <c r="C31" i="20"/>
  <c r="C30" i="20" s="1"/>
  <c r="C56" i="20" s="1"/>
  <c r="AJ213" i="12"/>
  <c r="AJ211" i="12" s="1"/>
  <c r="AJ210" i="12" s="1"/>
  <c r="AJ209" i="12" s="1"/>
  <c r="AJ207" i="12" s="1"/>
  <c r="AE213" i="13"/>
  <c r="AG211" i="12"/>
  <c r="AG210" i="12" s="1"/>
  <c r="AG209" i="12" s="1"/>
  <c r="AG207" i="12" s="1"/>
  <c r="AS29" i="12" s="1"/>
  <c r="AX29" i="12" s="1"/>
  <c r="AZ29" i="12" s="1"/>
  <c r="AE117" i="13"/>
  <c r="AJ117" i="12"/>
  <c r="AJ114" i="12" s="1"/>
  <c r="AG114" i="12"/>
  <c r="F8" i="15"/>
  <c r="F121" i="15" s="1"/>
  <c r="F125" i="15" s="1"/>
  <c r="AX30" i="11"/>
  <c r="AZ30" i="11" s="1"/>
  <c r="N85" i="11"/>
  <c r="N19" i="11" s="1"/>
  <c r="N17" i="11" s="1"/>
  <c r="AF258" i="11" s="1"/>
  <c r="BQ33" i="11" s="1"/>
  <c r="AX26" i="11"/>
  <c r="AZ26" i="11" s="1"/>
  <c r="AR25" i="11"/>
  <c r="AW25" i="11" s="1"/>
  <c r="BN7" i="16"/>
  <c r="BN32" i="16" s="1"/>
  <c r="AB10" i="11"/>
  <c r="AB8" i="11" s="1"/>
  <c r="AB112" i="12"/>
  <c r="BI8" i="11"/>
  <c r="AA230" i="14"/>
  <c r="Y227" i="14"/>
  <c r="Y220" i="14" s="1"/>
  <c r="AB22" i="15"/>
  <c r="AI22" i="14"/>
  <c r="AI20" i="14" s="1"/>
  <c r="AD20" i="14"/>
  <c r="J37" i="14"/>
  <c r="L35" i="13"/>
  <c r="L28" i="13" s="1"/>
  <c r="AS9" i="13" s="1"/>
  <c r="AV9" i="13" s="1"/>
  <c r="N37" i="13"/>
  <c r="N35" i="13" s="1"/>
  <c r="N28" i="13" s="1"/>
  <c r="AX9" i="13"/>
  <c r="AZ9" i="13" s="1"/>
  <c r="BI14" i="13"/>
  <c r="Y249" i="14"/>
  <c r="AH249" i="13"/>
  <c r="AH243" i="13" s="1"/>
  <c r="AH234" i="13" s="1"/>
  <c r="AH232" i="13" s="1"/>
  <c r="AA243" i="13"/>
  <c r="AA234" i="13" s="1"/>
  <c r="AA232" i="13" s="1"/>
  <c r="BO29" i="13" s="1"/>
  <c r="I59" i="13"/>
  <c r="G57" i="13"/>
  <c r="A1" i="14"/>
  <c r="F121" i="14"/>
  <c r="F125" i="14" s="1"/>
  <c r="AE143" i="14"/>
  <c r="AG141" i="13"/>
  <c r="AJ143" i="13"/>
  <c r="AJ141" i="13" s="1"/>
  <c r="G68" i="13"/>
  <c r="I66" i="12"/>
  <c r="M68" i="12"/>
  <c r="M66" i="12" s="1"/>
  <c r="AG86" i="14"/>
  <c r="AE83" i="14"/>
  <c r="AD215" i="14"/>
  <c r="AB211" i="14"/>
  <c r="AB210" i="14" s="1"/>
  <c r="AB209" i="14" s="1"/>
  <c r="AB207" i="14" s="1"/>
  <c r="Y212" i="14"/>
  <c r="AA211" i="13"/>
  <c r="AA210" i="13" s="1"/>
  <c r="AA209" i="13" s="1"/>
  <c r="AH212" i="13"/>
  <c r="AH211" i="13" s="1"/>
  <c r="AH210" i="13" s="1"/>
  <c r="AH209" i="13" s="1"/>
  <c r="AH207" i="13" s="1"/>
  <c r="AE99" i="13"/>
  <c r="AJ99" i="12"/>
  <c r="AJ96" i="12" s="1"/>
  <c r="AG96" i="12"/>
  <c r="AJ14" i="11"/>
  <c r="AJ12" i="11" s="1"/>
  <c r="AJ10" i="11" s="1"/>
  <c r="AJ8" i="11" s="1"/>
  <c r="AG52" i="12"/>
  <c r="AE49" i="12"/>
  <c r="AE43" i="12" s="1"/>
  <c r="BP27" i="13"/>
  <c r="AD207" i="13"/>
  <c r="AR29" i="13" s="1"/>
  <c r="AW29" i="13" s="1"/>
  <c r="AY29" i="13" s="1"/>
  <c r="AB117" i="13"/>
  <c r="AI117" i="12"/>
  <c r="AI114" i="12" s="1"/>
  <c r="AD114" i="12"/>
  <c r="BD8" i="11"/>
  <c r="BD23" i="11" s="1"/>
  <c r="Y43" i="12"/>
  <c r="G95" i="13"/>
  <c r="I93" i="12"/>
  <c r="M95" i="12"/>
  <c r="M93" i="12" s="1"/>
  <c r="M85" i="12" s="1"/>
  <c r="AQ31" i="14"/>
  <c r="BN33" i="14"/>
  <c r="BH19" i="14" s="1"/>
  <c r="BH20" i="14" s="1"/>
  <c r="AD39" i="13"/>
  <c r="AB35" i="13"/>
  <c r="I55" i="13"/>
  <c r="G54" i="13"/>
  <c r="J14" i="13"/>
  <c r="L10" i="12"/>
  <c r="AS16" i="12" s="1"/>
  <c r="AV16" i="12" s="1"/>
  <c r="N14" i="12"/>
  <c r="N10" i="12" s="1"/>
  <c r="G48" i="12"/>
  <c r="I50" i="12"/>
  <c r="AE97" i="14"/>
  <c r="AJ97" i="13"/>
  <c r="AG116" i="14"/>
  <c r="F108" i="16"/>
  <c r="AQ15" i="16" s="1"/>
  <c r="AW15" i="16" s="1"/>
  <c r="AY15" i="16" s="1"/>
  <c r="BC21" i="16"/>
  <c r="C24" i="20" s="1"/>
  <c r="C26" i="20" s="1"/>
  <c r="J70" i="14"/>
  <c r="L69" i="13"/>
  <c r="N70" i="13"/>
  <c r="N69" i="13" s="1"/>
  <c r="J53" i="14"/>
  <c r="L51" i="13"/>
  <c r="N53" i="13"/>
  <c r="N51" i="13" s="1"/>
  <c r="AG224" i="12"/>
  <c r="AE222" i="12"/>
  <c r="AE220" i="12" s="1"/>
  <c r="BH7" i="16"/>
  <c r="BH16" i="16" s="1"/>
  <c r="X258" i="15"/>
  <c r="AJ245" i="12"/>
  <c r="AJ243" i="12" s="1"/>
  <c r="AJ234" i="12" s="1"/>
  <c r="AJ232" i="12" s="1"/>
  <c r="AE245" i="13"/>
  <c r="AG243" i="12"/>
  <c r="AD204" i="12"/>
  <c r="AB203" i="12"/>
  <c r="AB194" i="12" s="1"/>
  <c r="AB193" i="12" s="1"/>
  <c r="BP28" i="11"/>
  <c r="BP25" i="11" s="1"/>
  <c r="BJ12" i="11" s="1"/>
  <c r="AD193" i="11"/>
  <c r="AR28" i="11" s="1"/>
  <c r="AV28" i="11"/>
  <c r="AX28" i="11"/>
  <c r="AZ28" i="11" s="1"/>
  <c r="AG198" i="12"/>
  <c r="AE195" i="12"/>
  <c r="AE194" i="12" s="1"/>
  <c r="AE193" i="12" s="1"/>
  <c r="AD198" i="15"/>
  <c r="AB195" i="15"/>
  <c r="Y196" i="13"/>
  <c r="BO26" i="12"/>
  <c r="AH196" i="12"/>
  <c r="AH195" i="12" s="1"/>
  <c r="AH194" i="12" s="1"/>
  <c r="AH193" i="12" s="1"/>
  <c r="AA195" i="12"/>
  <c r="AA194" i="12" s="1"/>
  <c r="AB191" i="15"/>
  <c r="AI191" i="14"/>
  <c r="AI185" i="14" s="1"/>
  <c r="AD185" i="14"/>
  <c r="BP31" i="14"/>
  <c r="BJ15" i="14" s="1"/>
  <c r="AJ183" i="12"/>
  <c r="AE183" i="13"/>
  <c r="AE259" i="13" s="1"/>
  <c r="AG176" i="12"/>
  <c r="AG170" i="12" s="1"/>
  <c r="AS27" i="12" s="1"/>
  <c r="AV27" i="12" s="1"/>
  <c r="AA177" i="12"/>
  <c r="Y176" i="12"/>
  <c r="Y170" i="12" s="1"/>
  <c r="BO22" i="11"/>
  <c r="BI11" i="11" s="1"/>
  <c r="AE162" i="13"/>
  <c r="AJ162" i="12"/>
  <c r="AJ157" i="12" s="1"/>
  <c r="AJ155" i="12" s="1"/>
  <c r="AJ145" i="12" s="1"/>
  <c r="AG157" i="12"/>
  <c r="AG155" i="12" s="1"/>
  <c r="AG145" i="12" s="1"/>
  <c r="AE110" i="12"/>
  <c r="AB162" i="16"/>
  <c r="AD157" i="15"/>
  <c r="AD155" i="15" s="1"/>
  <c r="AI162" i="15"/>
  <c r="AI157" i="15" s="1"/>
  <c r="AI155" i="15" s="1"/>
  <c r="Y1" i="10"/>
  <c r="AA157" i="12"/>
  <c r="AA155" i="12" s="1"/>
  <c r="AH160" i="12"/>
  <c r="AH157" i="12" s="1"/>
  <c r="Y160" i="13"/>
  <c r="Y156" i="13"/>
  <c r="BO18" i="12"/>
  <c r="AH156" i="12"/>
  <c r="AH155" i="12" s="1"/>
  <c r="Y145" i="12"/>
  <c r="Y110" i="12" s="1"/>
  <c r="AX16" i="11"/>
  <c r="AU16" i="11"/>
  <c r="AD145" i="11"/>
  <c r="AD110" i="11" s="1"/>
  <c r="AR26" i="11" s="1"/>
  <c r="BP16" i="11"/>
  <c r="BP15" i="11" s="1"/>
  <c r="BJ10" i="11" s="1"/>
  <c r="AD152" i="12"/>
  <c r="AB149" i="12"/>
  <c r="AB147" i="12" s="1"/>
  <c r="AB145" i="12" s="1"/>
  <c r="AC1" i="10"/>
  <c r="AA110" i="11"/>
  <c r="BO15" i="11"/>
  <c r="BI10" i="11" s="1"/>
  <c r="Y151" i="13"/>
  <c r="AA149" i="12"/>
  <c r="AA147" i="12" s="1"/>
  <c r="AH151" i="12"/>
  <c r="AH149" i="12" s="1"/>
  <c r="AH147" i="12" s="1"/>
  <c r="Y126" i="13"/>
  <c r="AA123" i="12"/>
  <c r="BO19" i="12"/>
  <c r="AH126" i="12"/>
  <c r="AH123" i="12" s="1"/>
  <c r="AH112" i="12" s="1"/>
  <c r="AB124" i="13"/>
  <c r="AI124" i="12"/>
  <c r="AI123" i="12" s="1"/>
  <c r="AD123" i="12"/>
  <c r="Y116" i="15"/>
  <c r="AA114" i="14"/>
  <c r="AH116" i="14"/>
  <c r="AH114" i="14" s="1"/>
  <c r="AB105" i="12"/>
  <c r="AB104" i="12" s="1"/>
  <c r="AD106" i="12"/>
  <c r="AD97" i="12"/>
  <c r="AB96" i="12"/>
  <c r="AB90" i="12" s="1"/>
  <c r="AS25" i="11"/>
  <c r="AG92" i="12"/>
  <c r="AE91" i="12"/>
  <c r="AE90" i="12" s="1"/>
  <c r="AE63" i="12" s="1"/>
  <c r="AI63" i="11"/>
  <c r="AI12" i="11" s="1"/>
  <c r="AI10" i="11" s="1"/>
  <c r="AI258" i="11" s="1"/>
  <c r="Y258" i="11"/>
  <c r="BP14" i="11"/>
  <c r="BJ9" i="11" s="1"/>
  <c r="AR24" i="11"/>
  <c r="AB83" i="12"/>
  <c r="AD84" i="12"/>
  <c r="AY32" i="10"/>
  <c r="AY35" i="10" s="1"/>
  <c r="AD79" i="12"/>
  <c r="AB69" i="12"/>
  <c r="AB65" i="12" s="1"/>
  <c r="BP12" i="11"/>
  <c r="BP9" i="11" s="1"/>
  <c r="AR23" i="11"/>
  <c r="AD63" i="11"/>
  <c r="AD12" i="11" s="1"/>
  <c r="AW32" i="10"/>
  <c r="AE77" i="13"/>
  <c r="AJ77" i="12"/>
  <c r="AJ69" i="12" s="1"/>
  <c r="AJ65" i="12" s="1"/>
  <c r="AG69" i="12"/>
  <c r="AG65" i="12" s="1"/>
  <c r="Y70" i="13"/>
  <c r="AA69" i="12"/>
  <c r="AA65" i="12" s="1"/>
  <c r="AH70" i="12"/>
  <c r="AH69" i="12" s="1"/>
  <c r="AH65" i="12" s="1"/>
  <c r="AH63" i="12" s="1"/>
  <c r="AE67" i="14"/>
  <c r="AJ67" i="13"/>
  <c r="AD66" i="13"/>
  <c r="AR22" i="13" s="1"/>
  <c r="AB59" i="13"/>
  <c r="AD58" i="12"/>
  <c r="AD57" i="12" s="1"/>
  <c r="AI59" i="12"/>
  <c r="AI58" i="12" s="1"/>
  <c r="AI57" i="12" s="1"/>
  <c r="AB14" i="12"/>
  <c r="AB50" i="13"/>
  <c r="AD49" i="12"/>
  <c r="AD43" i="12" s="1"/>
  <c r="AI50" i="12"/>
  <c r="AI49" i="12" s="1"/>
  <c r="AI43" i="12" s="1"/>
  <c r="Y50" i="13"/>
  <c r="AA49" i="12"/>
  <c r="AH50" i="12"/>
  <c r="AH49" i="12" s="1"/>
  <c r="AS32" i="10"/>
  <c r="AV32" i="10" s="1"/>
  <c r="AE45" i="13"/>
  <c r="AJ45" i="12"/>
  <c r="AJ44" i="12" s="1"/>
  <c r="AG44" i="12"/>
  <c r="Y45" i="13"/>
  <c r="AA44" i="12"/>
  <c r="AH45" i="12"/>
  <c r="AH44" i="12" s="1"/>
  <c r="AH35" i="11"/>
  <c r="AH14" i="11" s="1"/>
  <c r="AH12" i="11" s="1"/>
  <c r="AH10" i="11" s="1"/>
  <c r="AH259" i="11"/>
  <c r="AA41" i="12"/>
  <c r="Y35" i="12"/>
  <c r="BO14" i="11"/>
  <c r="AA14" i="11"/>
  <c r="AA12" i="11" s="1"/>
  <c r="AE38" i="13"/>
  <c r="AJ38" i="12"/>
  <c r="AJ35" i="12" s="1"/>
  <c r="AG35" i="12"/>
  <c r="AS24" i="12" s="1"/>
  <c r="AZ23" i="10"/>
  <c r="AZ32" i="10" s="1"/>
  <c r="AX32" i="10"/>
  <c r="AG23" i="12"/>
  <c r="AE20" i="12"/>
  <c r="AE16" i="12" s="1"/>
  <c r="AG14" i="11"/>
  <c r="AG12" i="11" s="1"/>
  <c r="AG10" i="11" s="1"/>
  <c r="AS23" i="11"/>
  <c r="AS22" i="13"/>
  <c r="AE17" i="14"/>
  <c r="AJ17" i="13"/>
  <c r="AB17" i="14"/>
  <c r="AD16" i="13"/>
  <c r="AI17" i="13"/>
  <c r="AI16" i="13" s="1"/>
  <c r="Y17" i="14"/>
  <c r="BO10" i="13"/>
  <c r="AH17" i="13"/>
  <c r="AH16" i="13" s="1"/>
  <c r="AA16" i="13"/>
  <c r="I113" i="12"/>
  <c r="G108" i="12"/>
  <c r="AX15" i="11"/>
  <c r="AZ15" i="11" s="1"/>
  <c r="AU15" i="11"/>
  <c r="J116" i="14"/>
  <c r="L108" i="13"/>
  <c r="AS15" i="13" s="1"/>
  <c r="AV15" i="13" s="1"/>
  <c r="N116" i="13"/>
  <c r="N108" i="13" s="1"/>
  <c r="AU31" i="9"/>
  <c r="AR32" i="9"/>
  <c r="L96" i="12"/>
  <c r="J93" i="12"/>
  <c r="J85" i="12" s="1"/>
  <c r="J19" i="12" s="1"/>
  <c r="J17" i="12" s="1"/>
  <c r="AD258" i="10"/>
  <c r="L8" i="10"/>
  <c r="L121" i="10" s="1"/>
  <c r="L125" i="10" s="1"/>
  <c r="AS17" i="10"/>
  <c r="AV17" i="10" s="1"/>
  <c r="AV14" i="10"/>
  <c r="AS14" i="11"/>
  <c r="L17" i="11"/>
  <c r="L8" i="11" s="1"/>
  <c r="L121" i="11" s="1"/>
  <c r="L125" i="11" s="1"/>
  <c r="L86" i="12"/>
  <c r="J78" i="13"/>
  <c r="L78" i="13" s="1"/>
  <c r="N78" i="13" s="1"/>
  <c r="L79" i="13"/>
  <c r="I79" i="13"/>
  <c r="G78" i="13"/>
  <c r="I78" i="13" s="1"/>
  <c r="M78" i="13" s="1"/>
  <c r="AY17" i="11"/>
  <c r="G76" i="13"/>
  <c r="I75" i="12"/>
  <c r="AR9" i="12" s="1"/>
  <c r="AU9" i="12" s="1"/>
  <c r="M76" i="12"/>
  <c r="M75" i="12" s="1"/>
  <c r="AW9" i="12"/>
  <c r="AY9" i="12" s="1"/>
  <c r="I74" i="12"/>
  <c r="G72" i="12"/>
  <c r="G70" i="13"/>
  <c r="M70" i="12"/>
  <c r="M69" i="12" s="1"/>
  <c r="I69" i="12"/>
  <c r="G8" i="11"/>
  <c r="G121" i="11" s="1"/>
  <c r="G125" i="11" s="1"/>
  <c r="M63" i="11"/>
  <c r="M21" i="11" s="1"/>
  <c r="M19" i="11" s="1"/>
  <c r="M17" i="11" s="1"/>
  <c r="M8" i="11" s="1"/>
  <c r="M123" i="11"/>
  <c r="I65" i="12"/>
  <c r="G63" i="12"/>
  <c r="G123" i="12"/>
  <c r="N62" i="12"/>
  <c r="L60" i="12"/>
  <c r="L21" i="12" s="1"/>
  <c r="J62" i="13"/>
  <c r="L123" i="12"/>
  <c r="AR17" i="10"/>
  <c r="AU17" i="10" s="1"/>
  <c r="AU14" i="10"/>
  <c r="G61" i="13"/>
  <c r="I60" i="12"/>
  <c r="M61" i="12"/>
  <c r="M60" i="12" s="1"/>
  <c r="BD17" i="12"/>
  <c r="AR7" i="11"/>
  <c r="AU7" i="11" s="1"/>
  <c r="I21" i="11"/>
  <c r="I19" i="11" s="1"/>
  <c r="I23" i="12"/>
  <c r="G22" i="12"/>
  <c r="AA258" i="10"/>
  <c r="BO33" i="10" s="1"/>
  <c r="I8" i="10"/>
  <c r="M45" i="16"/>
  <c r="AD127" i="14"/>
  <c r="AD178" i="14"/>
  <c r="AB176" i="14"/>
  <c r="AB170" i="14" s="1"/>
  <c r="AE129" i="13"/>
  <c r="AJ129" i="12"/>
  <c r="AJ123" i="12" s="1"/>
  <c r="AJ112" i="12" s="1"/>
  <c r="AG123" i="12"/>
  <c r="AG112" i="12" s="1"/>
  <c r="AR27" i="13"/>
  <c r="BP24" i="13"/>
  <c r="AB116" i="14"/>
  <c r="AI116" i="13"/>
  <c r="M111" i="16"/>
  <c r="AB92" i="14"/>
  <c r="AD91" i="13"/>
  <c r="AI92" i="13"/>
  <c r="AI91" i="13" s="1"/>
  <c r="J99" i="13"/>
  <c r="L105" i="13"/>
  <c r="G12" i="13"/>
  <c r="I10" i="12"/>
  <c r="M12" i="12"/>
  <c r="M10" i="12" s="1"/>
  <c r="AE212" i="14"/>
  <c r="AJ212" i="13"/>
  <c r="AG236" i="14"/>
  <c r="AE244" i="14"/>
  <c r="AJ244" i="13"/>
  <c r="AZ13" i="12"/>
  <c r="AE196" i="14"/>
  <c r="AJ196" i="13"/>
  <c r="AG203" i="13"/>
  <c r="AE204" i="14"/>
  <c r="AJ204" i="13"/>
  <c r="AJ203" i="13" s="1"/>
  <c r="I101" i="14"/>
  <c r="G99" i="14"/>
  <c r="AG228" i="14"/>
  <c r="AE227" i="14"/>
  <c r="AG223" i="14"/>
  <c r="AG188" i="14"/>
  <c r="AE187" i="14"/>
  <c r="AE181" i="14"/>
  <c r="AJ181" i="13"/>
  <c r="AJ186" i="13"/>
  <c r="AJ185" i="13" s="1"/>
  <c r="AG185" i="13"/>
  <c r="AE186" i="14"/>
  <c r="I86" i="13"/>
  <c r="I30" i="13"/>
  <c r="G29" i="13"/>
  <c r="G28" i="13" s="1"/>
  <c r="T15" i="14"/>
  <c r="W259" i="13"/>
  <c r="U259" i="13"/>
  <c r="X259" i="13"/>
  <c r="AF259" i="13"/>
  <c r="V259" i="13"/>
  <c r="AB259" i="13"/>
  <c r="AI259" i="13"/>
  <c r="AC259" i="13"/>
  <c r="AD259" i="13"/>
  <c r="Z259" i="13"/>
  <c r="L90" i="13"/>
  <c r="A1" i="15" l="1"/>
  <c r="G83" i="15"/>
  <c r="I81" i="14"/>
  <c r="M83" i="14"/>
  <c r="M81" i="14" s="1"/>
  <c r="J66" i="16"/>
  <c r="L67" i="16"/>
  <c r="N50" i="16"/>
  <c r="N48" i="16" s="1"/>
  <c r="L48" i="16"/>
  <c r="L119" i="14"/>
  <c r="J117" i="14"/>
  <c r="BJ13" i="13"/>
  <c r="AI236" i="14"/>
  <c r="AI235" i="14" s="1"/>
  <c r="AI234" i="14" s="1"/>
  <c r="AI232" i="14" s="1"/>
  <c r="AD235" i="14"/>
  <c r="AD234" i="14" s="1"/>
  <c r="AD232" i="14" s="1"/>
  <c r="AB236" i="15"/>
  <c r="L46" i="16"/>
  <c r="J45" i="16"/>
  <c r="AH236" i="16"/>
  <c r="AH235" i="16" s="1"/>
  <c r="AA235" i="16"/>
  <c r="AD227" i="16"/>
  <c r="AD220" i="16" s="1"/>
  <c r="AI228" i="16"/>
  <c r="AI227" i="16" s="1"/>
  <c r="AI220" i="16" s="1"/>
  <c r="AW30" i="13"/>
  <c r="AY30" i="13" s="1"/>
  <c r="AU30" i="13"/>
  <c r="AG234" i="12"/>
  <c r="AG232" i="12" s="1"/>
  <c r="AG241" i="13"/>
  <c r="AE235" i="13"/>
  <c r="AG117" i="13"/>
  <c r="AE114" i="13"/>
  <c r="AG213" i="13"/>
  <c r="AE211" i="13"/>
  <c r="AE210" i="13" s="1"/>
  <c r="AE209" i="13" s="1"/>
  <c r="AE207" i="13" s="1"/>
  <c r="AQ17" i="16"/>
  <c r="X258" i="16"/>
  <c r="BN33" i="16" s="1"/>
  <c r="BH19" i="16" s="1"/>
  <c r="BH20" i="16" s="1"/>
  <c r="AU25" i="11"/>
  <c r="AX27" i="12"/>
  <c r="AZ27" i="12" s="1"/>
  <c r="AB258" i="11"/>
  <c r="AB110" i="12"/>
  <c r="AA10" i="11"/>
  <c r="AA8" i="11" s="1"/>
  <c r="U1" i="11" s="1"/>
  <c r="BP8" i="11"/>
  <c r="BP7" i="11" s="1"/>
  <c r="BP32" i="11" s="1"/>
  <c r="C57" i="20"/>
  <c r="Y14" i="12"/>
  <c r="Y12" i="12" s="1"/>
  <c r="Y10" i="12" s="1"/>
  <c r="Y8" i="12" s="1"/>
  <c r="BJ8" i="11"/>
  <c r="BJ7" i="11" s="1"/>
  <c r="BJ16" i="11" s="1"/>
  <c r="AW17" i="11"/>
  <c r="AX17" i="11"/>
  <c r="L70" i="14"/>
  <c r="J69" i="14"/>
  <c r="M50" i="12"/>
  <c r="M48" i="12" s="1"/>
  <c r="I48" i="12"/>
  <c r="G50" i="13"/>
  <c r="L14" i="13"/>
  <c r="J10" i="13"/>
  <c r="AB39" i="14"/>
  <c r="AI39" i="13"/>
  <c r="AI35" i="13" s="1"/>
  <c r="AD35" i="13"/>
  <c r="I85" i="12"/>
  <c r="BD19" i="12"/>
  <c r="AB215" i="15"/>
  <c r="AI215" i="14"/>
  <c r="AI211" i="14" s="1"/>
  <c r="AI210" i="14" s="1"/>
  <c r="AI209" i="14" s="1"/>
  <c r="AI207" i="14" s="1"/>
  <c r="AD211" i="14"/>
  <c r="AD210" i="14" s="1"/>
  <c r="AD209" i="14" s="1"/>
  <c r="AG143" i="14"/>
  <c r="AE141" i="14"/>
  <c r="G59" i="14"/>
  <c r="I57" i="13"/>
  <c r="M59" i="13"/>
  <c r="M57" i="13" s="1"/>
  <c r="AD22" i="15"/>
  <c r="AB20" i="15"/>
  <c r="Y230" i="15"/>
  <c r="AA227" i="14"/>
  <c r="AA220" i="14" s="1"/>
  <c r="BO30" i="14" s="1"/>
  <c r="BI14" i="14" s="1"/>
  <c r="AH230" i="14"/>
  <c r="AH227" i="14" s="1"/>
  <c r="AH220" i="14" s="1"/>
  <c r="BN33" i="15"/>
  <c r="BH19" i="15" s="1"/>
  <c r="BH20" i="15" s="1"/>
  <c r="AQ31" i="15"/>
  <c r="AJ116" i="14"/>
  <c r="AE116" i="15"/>
  <c r="AG97" i="14"/>
  <c r="AG99" i="13"/>
  <c r="AE96" i="13"/>
  <c r="AA249" i="14"/>
  <c r="Y243" i="14"/>
  <c r="Y234" i="14" s="1"/>
  <c r="Y232" i="14" s="1"/>
  <c r="F8" i="16"/>
  <c r="AJ224" i="12"/>
  <c r="AJ222" i="12" s="1"/>
  <c r="AJ220" i="12" s="1"/>
  <c r="AE224" i="13"/>
  <c r="AG222" i="12"/>
  <c r="AG220" i="12" s="1"/>
  <c r="AS30" i="12" s="1"/>
  <c r="G55" i="14"/>
  <c r="I54" i="13"/>
  <c r="M55" i="13"/>
  <c r="M54" i="13" s="1"/>
  <c r="AW31" i="14"/>
  <c r="AY31" i="14" s="1"/>
  <c r="AQ32" i="14"/>
  <c r="AQ33" i="14" s="1"/>
  <c r="AX31" i="14"/>
  <c r="AZ31" i="14" s="1"/>
  <c r="AA212" i="14"/>
  <c r="Y211" i="14"/>
  <c r="Y210" i="14" s="1"/>
  <c r="Y209" i="14" s="1"/>
  <c r="Y207" i="14" s="1"/>
  <c r="AJ86" i="14"/>
  <c r="AJ83" i="14" s="1"/>
  <c r="AE86" i="15"/>
  <c r="AG83" i="14"/>
  <c r="AZ16" i="11"/>
  <c r="AZ17" i="11" s="1"/>
  <c r="AI112" i="12"/>
  <c r="BC23" i="16"/>
  <c r="BH17" i="16" s="1"/>
  <c r="L53" i="14"/>
  <c r="J51" i="14"/>
  <c r="I95" i="13"/>
  <c r="G93" i="13"/>
  <c r="G85" i="13" s="1"/>
  <c r="AD117" i="13"/>
  <c r="AB114" i="13"/>
  <c r="AE52" i="13"/>
  <c r="AJ52" i="12"/>
  <c r="AJ49" i="12" s="1"/>
  <c r="AJ43" i="12" s="1"/>
  <c r="AG49" i="12"/>
  <c r="AG43" i="12" s="1"/>
  <c r="BO27" i="13"/>
  <c r="AA207" i="13"/>
  <c r="I68" i="13"/>
  <c r="G66" i="13"/>
  <c r="BI13" i="13"/>
  <c r="L37" i="14"/>
  <c r="J35" i="14"/>
  <c r="J28" i="14" s="1"/>
  <c r="AE14" i="12"/>
  <c r="AE12" i="12" s="1"/>
  <c r="AE10" i="12" s="1"/>
  <c r="AE8" i="12" s="1"/>
  <c r="AG245" i="13"/>
  <c r="AE243" i="13"/>
  <c r="AW28" i="11"/>
  <c r="AY28" i="11" s="1"/>
  <c r="AU28" i="11"/>
  <c r="AB204" i="13"/>
  <c r="AI204" i="12"/>
  <c r="AI203" i="12" s="1"/>
  <c r="AI194" i="12" s="1"/>
  <c r="AI193" i="12" s="1"/>
  <c r="AD203" i="12"/>
  <c r="AD194" i="12" s="1"/>
  <c r="AJ198" i="12"/>
  <c r="AJ195" i="12" s="1"/>
  <c r="AJ194" i="12" s="1"/>
  <c r="AJ193" i="12" s="1"/>
  <c r="AE198" i="13"/>
  <c r="AG195" i="12"/>
  <c r="AG194" i="12" s="1"/>
  <c r="AG193" i="12" s="1"/>
  <c r="AS28" i="12" s="1"/>
  <c r="AI198" i="15"/>
  <c r="AI195" i="15" s="1"/>
  <c r="AB198" i="16"/>
  <c r="AD195" i="15"/>
  <c r="AA196" i="13"/>
  <c r="Y195" i="13"/>
  <c r="Y194" i="13" s="1"/>
  <c r="Y193" i="13" s="1"/>
  <c r="BO28" i="12"/>
  <c r="BO25" i="12" s="1"/>
  <c r="BI12" i="12" s="1"/>
  <c r="AA193" i="12"/>
  <c r="AD191" i="15"/>
  <c r="AB185" i="15"/>
  <c r="AJ176" i="12"/>
  <c r="AJ170" i="12" s="1"/>
  <c r="AJ259" i="12"/>
  <c r="AG183" i="13"/>
  <c r="AE176" i="13"/>
  <c r="AE170" i="13" s="1"/>
  <c r="Y177" i="13"/>
  <c r="AA176" i="12"/>
  <c r="AA170" i="12" s="1"/>
  <c r="BO24" i="12" s="1"/>
  <c r="BO23" i="12"/>
  <c r="AH177" i="12"/>
  <c r="AH176" i="12" s="1"/>
  <c r="AH170" i="12" s="1"/>
  <c r="AW27" i="13"/>
  <c r="AY27" i="13" s="1"/>
  <c r="AU27" i="13"/>
  <c r="AG110" i="12"/>
  <c r="AS26" i="12" s="1"/>
  <c r="AV26" i="12" s="1"/>
  <c r="AJ110" i="12"/>
  <c r="AG162" i="13"/>
  <c r="AE157" i="13"/>
  <c r="AE155" i="13" s="1"/>
  <c r="AE145" i="13" s="1"/>
  <c r="AD162" i="16"/>
  <c r="AB157" i="16"/>
  <c r="AB155" i="16" s="1"/>
  <c r="Y157" i="13"/>
  <c r="Y155" i="13" s="1"/>
  <c r="AA160" i="13"/>
  <c r="AA156" i="13"/>
  <c r="AH145" i="12"/>
  <c r="AH110" i="12" s="1"/>
  <c r="AW26" i="11"/>
  <c r="AY26" i="11" s="1"/>
  <c r="AU26" i="11"/>
  <c r="AB152" i="13"/>
  <c r="AI152" i="12"/>
  <c r="AI149" i="12" s="1"/>
  <c r="AI147" i="12" s="1"/>
  <c r="AI145" i="12" s="1"/>
  <c r="AD149" i="12"/>
  <c r="AD147" i="12" s="1"/>
  <c r="AD10" i="11"/>
  <c r="AD8" i="11" s="1"/>
  <c r="AA145" i="12"/>
  <c r="BO16" i="12"/>
  <c r="AA151" i="13"/>
  <c r="Y149" i="13"/>
  <c r="Y147" i="13" s="1"/>
  <c r="AA126" i="13"/>
  <c r="Y123" i="13"/>
  <c r="Y112" i="13" s="1"/>
  <c r="BO17" i="12"/>
  <c r="AA112" i="12"/>
  <c r="BP17" i="12"/>
  <c r="AD112" i="12"/>
  <c r="AD124" i="13"/>
  <c r="AB123" i="13"/>
  <c r="AA116" i="15"/>
  <c r="Y114" i="15"/>
  <c r="AD105" i="12"/>
  <c r="AD104" i="12" s="1"/>
  <c r="AB106" i="13"/>
  <c r="AI106" i="12"/>
  <c r="AI105" i="12" s="1"/>
  <c r="AI104" i="12" s="1"/>
  <c r="AB63" i="12"/>
  <c r="AB12" i="12" s="1"/>
  <c r="AB97" i="13"/>
  <c r="AD96" i="12"/>
  <c r="AD90" i="12" s="1"/>
  <c r="AI97" i="12"/>
  <c r="AI96" i="12" s="1"/>
  <c r="AI90" i="12" s="1"/>
  <c r="AJ258" i="11"/>
  <c r="AX25" i="11"/>
  <c r="AZ25" i="11" s="1"/>
  <c r="AV25" i="11"/>
  <c r="AG91" i="12"/>
  <c r="AG90" i="12" s="1"/>
  <c r="AE92" i="13"/>
  <c r="AJ92" i="12"/>
  <c r="AJ91" i="12" s="1"/>
  <c r="AJ90" i="12" s="1"/>
  <c r="AJ63" i="12" s="1"/>
  <c r="AI8" i="11"/>
  <c r="AD83" i="12"/>
  <c r="AB84" i="13"/>
  <c r="AI84" i="12"/>
  <c r="AI83" i="12" s="1"/>
  <c r="AU24" i="11"/>
  <c r="AW24" i="11"/>
  <c r="AY24" i="11" s="1"/>
  <c r="AZ35" i="10"/>
  <c r="AB79" i="13"/>
  <c r="AD69" i="12"/>
  <c r="AD65" i="12" s="1"/>
  <c r="AI79" i="12"/>
  <c r="AI69" i="12" s="1"/>
  <c r="AI65" i="12" s="1"/>
  <c r="AU23" i="11"/>
  <c r="AW23" i="11"/>
  <c r="AY23" i="11" s="1"/>
  <c r="AG77" i="13"/>
  <c r="AE69" i="13"/>
  <c r="AE65" i="13" s="1"/>
  <c r="AA70" i="13"/>
  <c r="Y69" i="13"/>
  <c r="Y65" i="13" s="1"/>
  <c r="Y63" i="13" s="1"/>
  <c r="AA63" i="12"/>
  <c r="BO12" i="12"/>
  <c r="BO9" i="12" s="1"/>
  <c r="AG67" i="14"/>
  <c r="AB66" i="14"/>
  <c r="AI66" i="13"/>
  <c r="BP10" i="13"/>
  <c r="AD59" i="13"/>
  <c r="AB58" i="13"/>
  <c r="AB57" i="13" s="1"/>
  <c r="AI14" i="12"/>
  <c r="AD14" i="12"/>
  <c r="AD50" i="13"/>
  <c r="AB49" i="13"/>
  <c r="AB43" i="13" s="1"/>
  <c r="AY25" i="11"/>
  <c r="Y49" i="13"/>
  <c r="AA50" i="13"/>
  <c r="AA43" i="12"/>
  <c r="BO13" i="12" s="1"/>
  <c r="AH43" i="12"/>
  <c r="AG45" i="13"/>
  <c r="AE44" i="13"/>
  <c r="AA45" i="13"/>
  <c r="Y44" i="13"/>
  <c r="BI9" i="11"/>
  <c r="BI7" i="11" s="1"/>
  <c r="BI16" i="11" s="1"/>
  <c r="BO8" i="11"/>
  <c r="BO7" i="11" s="1"/>
  <c r="BO32" i="11" s="1"/>
  <c r="AH258" i="11"/>
  <c r="AH8" i="11"/>
  <c r="Y41" i="13"/>
  <c r="AA35" i="12"/>
  <c r="BO31" i="12"/>
  <c r="BI15" i="12" s="1"/>
  <c r="AH41" i="12"/>
  <c r="AA259" i="12"/>
  <c r="AE35" i="13"/>
  <c r="AG38" i="13"/>
  <c r="AX24" i="12"/>
  <c r="AZ24" i="12" s="1"/>
  <c r="AV24" i="12"/>
  <c r="AG8" i="11"/>
  <c r="AG258" i="11"/>
  <c r="AS31" i="11" s="1"/>
  <c r="AV31" i="11" s="1"/>
  <c r="AV23" i="11"/>
  <c r="AX23" i="11"/>
  <c r="AE23" i="13"/>
  <c r="AG20" i="12"/>
  <c r="AG16" i="12" s="1"/>
  <c r="AJ23" i="12"/>
  <c r="AJ20" i="12" s="1"/>
  <c r="AJ16" i="12" s="1"/>
  <c r="AG17" i="14"/>
  <c r="AX22" i="13"/>
  <c r="AZ22" i="13" s="1"/>
  <c r="AV22" i="13"/>
  <c r="AD17" i="14"/>
  <c r="AB16" i="14"/>
  <c r="AW22" i="13"/>
  <c r="AY22" i="13" s="1"/>
  <c r="AU22" i="13"/>
  <c r="AA17" i="14"/>
  <c r="Y16" i="14"/>
  <c r="G113" i="13"/>
  <c r="M113" i="12"/>
  <c r="M108" i="12" s="1"/>
  <c r="I108" i="12"/>
  <c r="AR15" i="12" s="1"/>
  <c r="BD20" i="12"/>
  <c r="L116" i="14"/>
  <c r="J108" i="14"/>
  <c r="J8" i="12"/>
  <c r="J121" i="12" s="1"/>
  <c r="J125" i="12" s="1"/>
  <c r="BP33" i="10"/>
  <c r="AR31" i="10"/>
  <c r="AV35" i="9"/>
  <c r="AU32" i="9"/>
  <c r="AU35" i="9"/>
  <c r="J96" i="13"/>
  <c r="N96" i="12"/>
  <c r="N93" i="12" s="1"/>
  <c r="L93" i="12"/>
  <c r="AX14" i="12" s="1"/>
  <c r="AZ14" i="12" s="1"/>
  <c r="N8" i="11"/>
  <c r="N121" i="11" s="1"/>
  <c r="N125" i="11" s="1"/>
  <c r="J86" i="13"/>
  <c r="N86" i="12"/>
  <c r="N85" i="12" s="1"/>
  <c r="L85" i="12"/>
  <c r="L19" i="12" s="1"/>
  <c r="AV14" i="11"/>
  <c r="AS17" i="11"/>
  <c r="AV17" i="11" s="1"/>
  <c r="N79" i="13"/>
  <c r="J79" i="14"/>
  <c r="G79" i="14"/>
  <c r="M79" i="13"/>
  <c r="AE258" i="11"/>
  <c r="I76" i="13"/>
  <c r="AW9" i="13" s="1"/>
  <c r="AY9" i="13" s="1"/>
  <c r="G75" i="13"/>
  <c r="G74" i="13"/>
  <c r="I72" i="12"/>
  <c r="M74" i="12"/>
  <c r="M72" i="12" s="1"/>
  <c r="G21" i="12"/>
  <c r="G19" i="12" s="1"/>
  <c r="G17" i="12" s="1"/>
  <c r="G8" i="12" s="1"/>
  <c r="G121" i="12" s="1"/>
  <c r="G125" i="12" s="1"/>
  <c r="I70" i="13"/>
  <c r="G69" i="13"/>
  <c r="M121" i="11"/>
  <c r="M125" i="11" s="1"/>
  <c r="G65" i="13"/>
  <c r="I63" i="12"/>
  <c r="M65" i="12"/>
  <c r="I123" i="12"/>
  <c r="BD22" i="12"/>
  <c r="AW14" i="12"/>
  <c r="AY14" i="12" s="1"/>
  <c r="J60" i="13"/>
  <c r="J21" i="13" s="1"/>
  <c r="L62" i="13"/>
  <c r="J123" i="13"/>
  <c r="N60" i="12"/>
  <c r="N21" i="12" s="1"/>
  <c r="N123" i="12"/>
  <c r="I61" i="13"/>
  <c r="G60" i="13"/>
  <c r="AR14" i="11"/>
  <c r="I17" i="11"/>
  <c r="AW7" i="12"/>
  <c r="AY7" i="12" s="1"/>
  <c r="G23" i="13"/>
  <c r="M23" i="12"/>
  <c r="M22" i="12" s="1"/>
  <c r="BD12" i="12"/>
  <c r="BD10" i="12" s="1"/>
  <c r="BD9" i="12" s="1"/>
  <c r="I22" i="12"/>
  <c r="I121" i="10"/>
  <c r="I125" i="10" s="1"/>
  <c r="K1" i="10"/>
  <c r="J5" i="10"/>
  <c r="N105" i="13"/>
  <c r="N99" i="13" s="1"/>
  <c r="L99" i="13"/>
  <c r="J105" i="14"/>
  <c r="AD92" i="14"/>
  <c r="AB91" i="14"/>
  <c r="AD116" i="14"/>
  <c r="BP22" i="13"/>
  <c r="BJ11" i="13" s="1"/>
  <c r="AB178" i="15"/>
  <c r="AD176" i="14"/>
  <c r="AD170" i="14" s="1"/>
  <c r="AI178" i="14"/>
  <c r="AI176" i="14" s="1"/>
  <c r="AI170" i="14" s="1"/>
  <c r="AB127" i="15"/>
  <c r="AI127" i="14"/>
  <c r="AG129" i="13"/>
  <c r="AE123" i="13"/>
  <c r="AE112" i="13" s="1"/>
  <c r="BD7" i="12"/>
  <c r="AR16" i="12"/>
  <c r="I12" i="13"/>
  <c r="G10" i="13"/>
  <c r="AG186" i="14"/>
  <c r="AE185" i="14"/>
  <c r="AG227" i="14"/>
  <c r="AE228" i="15"/>
  <c r="AJ228" i="14"/>
  <c r="AJ227" i="14" s="1"/>
  <c r="G86" i="14"/>
  <c r="M86" i="13"/>
  <c r="AG181" i="14"/>
  <c r="AJ223" i="14"/>
  <c r="AE223" i="15"/>
  <c r="AG204" i="14"/>
  <c r="AE203" i="14"/>
  <c r="AG196" i="14"/>
  <c r="AG244" i="14"/>
  <c r="J90" i="14"/>
  <c r="N90" i="13"/>
  <c r="AX13" i="13"/>
  <c r="AS13" i="13"/>
  <c r="AJ236" i="14"/>
  <c r="AE236" i="15"/>
  <c r="AG212" i="14"/>
  <c r="Z259" i="14"/>
  <c r="T15" i="15"/>
  <c r="U259" i="14"/>
  <c r="AC259" i="14"/>
  <c r="AD259" i="14"/>
  <c r="V259" i="14"/>
  <c r="AB259" i="14"/>
  <c r="AF259" i="14"/>
  <c r="X259" i="14"/>
  <c r="W259" i="14"/>
  <c r="AI259" i="14"/>
  <c r="G30" i="14"/>
  <c r="I29" i="13"/>
  <c r="I28" i="13" s="1"/>
  <c r="M30" i="13"/>
  <c r="M29" i="13" s="1"/>
  <c r="M28" i="13" s="1"/>
  <c r="BD13" i="13"/>
  <c r="AG187" i="14"/>
  <c r="AJ188" i="14"/>
  <c r="AJ187" i="14" s="1"/>
  <c r="AE188" i="15"/>
  <c r="G101" i="15"/>
  <c r="M101" i="14"/>
  <c r="M99" i="14" s="1"/>
  <c r="BD18" i="14"/>
  <c r="I99" i="14"/>
  <c r="BP29" i="14" l="1"/>
  <c r="BJ13" i="14" s="1"/>
  <c r="AR30" i="14"/>
  <c r="N67" i="16"/>
  <c r="N66" i="16" s="1"/>
  <c r="L66" i="16"/>
  <c r="I83" i="15"/>
  <c r="G81" i="15"/>
  <c r="BP30" i="16"/>
  <c r="L45" i="16"/>
  <c r="N46" i="16"/>
  <c r="N45" i="16" s="1"/>
  <c r="AB235" i="15"/>
  <c r="AB234" i="15" s="1"/>
  <c r="AB232" i="15" s="1"/>
  <c r="AD236" i="15"/>
  <c r="J119" i="15"/>
  <c r="L117" i="14"/>
  <c r="L108" i="14" s="1"/>
  <c r="AS15" i="14" s="1"/>
  <c r="AV15" i="14" s="1"/>
  <c r="N119" i="14"/>
  <c r="N117" i="14" s="1"/>
  <c r="AE234" i="13"/>
  <c r="AE232" i="13" s="1"/>
  <c r="AJ117" i="13"/>
  <c r="AJ114" i="13" s="1"/>
  <c r="AE117" i="14"/>
  <c r="AG114" i="13"/>
  <c r="AE213" i="14"/>
  <c r="AJ213" i="13"/>
  <c r="AJ211" i="13" s="1"/>
  <c r="AJ210" i="13" s="1"/>
  <c r="AJ209" i="13" s="1"/>
  <c r="AJ207" i="13" s="1"/>
  <c r="AG211" i="13"/>
  <c r="AG210" i="13" s="1"/>
  <c r="AG209" i="13" s="1"/>
  <c r="AG207" i="13" s="1"/>
  <c r="AS29" i="13" s="1"/>
  <c r="AX29" i="13" s="1"/>
  <c r="AZ29" i="13" s="1"/>
  <c r="AJ241" i="13"/>
  <c r="AJ235" i="13" s="1"/>
  <c r="AE241" i="14"/>
  <c r="AG235" i="13"/>
  <c r="AQ31" i="16"/>
  <c r="AW31" i="16" s="1"/>
  <c r="AY31" i="16" s="1"/>
  <c r="AB10" i="12"/>
  <c r="AB8" i="12" s="1"/>
  <c r="AE110" i="13"/>
  <c r="BO22" i="12"/>
  <c r="BI11" i="12" s="1"/>
  <c r="AI110" i="12"/>
  <c r="Y1" i="11"/>
  <c r="AJ14" i="12"/>
  <c r="AJ12" i="12" s="1"/>
  <c r="AJ10" i="12" s="1"/>
  <c r="AJ8" i="12" s="1"/>
  <c r="AS25" i="12"/>
  <c r="AX25" i="12" s="1"/>
  <c r="AZ25" i="12" s="1"/>
  <c r="BD8" i="12"/>
  <c r="BD23" i="12" s="1"/>
  <c r="AV30" i="12"/>
  <c r="AX30" i="12"/>
  <c r="AZ30" i="12" s="1"/>
  <c r="AB117" i="14"/>
  <c r="AI117" i="13"/>
  <c r="AI114" i="13" s="1"/>
  <c r="AD114" i="13"/>
  <c r="L51" i="14"/>
  <c r="J53" i="15"/>
  <c r="N53" i="14"/>
  <c r="N51" i="14" s="1"/>
  <c r="A9" i="19"/>
  <c r="A10" i="18"/>
  <c r="A1" i="16"/>
  <c r="F121" i="16"/>
  <c r="F125" i="16" s="1"/>
  <c r="Y249" i="15"/>
  <c r="AH249" i="14"/>
  <c r="AH243" i="14" s="1"/>
  <c r="AH234" i="14" s="1"/>
  <c r="AH232" i="14" s="1"/>
  <c r="AA243" i="14"/>
  <c r="AA234" i="14" s="1"/>
  <c r="AA232" i="14" s="1"/>
  <c r="BO29" i="14" s="1"/>
  <c r="BI13" i="14" s="1"/>
  <c r="AJ97" i="14"/>
  <c r="AE97" i="15"/>
  <c r="AX31" i="15"/>
  <c r="AZ31" i="15" s="1"/>
  <c r="AW31" i="15"/>
  <c r="AY31" i="15" s="1"/>
  <c r="AQ32" i="15"/>
  <c r="AQ33" i="15" s="1"/>
  <c r="AA230" i="15"/>
  <c r="Y227" i="15"/>
  <c r="Y220" i="15" s="1"/>
  <c r="AD207" i="14"/>
  <c r="AR29" i="14" s="1"/>
  <c r="AW29" i="14" s="1"/>
  <c r="AY29" i="14" s="1"/>
  <c r="BP27" i="14"/>
  <c r="N19" i="12"/>
  <c r="N17" i="12" s="1"/>
  <c r="AF258" i="12" s="1"/>
  <c r="BQ33" i="12" s="1"/>
  <c r="AG63" i="12"/>
  <c r="AB112" i="13"/>
  <c r="I55" i="14"/>
  <c r="G54" i="14"/>
  <c r="AE143" i="15"/>
  <c r="AG141" i="14"/>
  <c r="AJ143" i="14"/>
  <c r="AJ141" i="14" s="1"/>
  <c r="AD39" i="14"/>
  <c r="AB35" i="14"/>
  <c r="AG52" i="13"/>
  <c r="AE49" i="13"/>
  <c r="AE43" i="13" s="1"/>
  <c r="G95" i="14"/>
  <c r="I93" i="13"/>
  <c r="M95" i="13"/>
  <c r="M93" i="13" s="1"/>
  <c r="M85" i="13" s="1"/>
  <c r="AG86" i="15"/>
  <c r="AE83" i="15"/>
  <c r="AE99" i="14"/>
  <c r="AJ99" i="13"/>
  <c r="AJ96" i="13" s="1"/>
  <c r="AG96" i="13"/>
  <c r="AG116" i="15"/>
  <c r="AB22" i="16"/>
  <c r="AD20" i="15"/>
  <c r="AI22" i="15"/>
  <c r="AI20" i="15" s="1"/>
  <c r="AD215" i="15"/>
  <c r="AB211" i="15"/>
  <c r="AB210" i="15" s="1"/>
  <c r="AB209" i="15" s="1"/>
  <c r="AB207" i="15" s="1"/>
  <c r="I50" i="13"/>
  <c r="G48" i="13"/>
  <c r="J70" i="15"/>
  <c r="N70" i="14"/>
  <c r="N69" i="14" s="1"/>
  <c r="L69" i="14"/>
  <c r="J37" i="15"/>
  <c r="L35" i="14"/>
  <c r="L28" i="14" s="1"/>
  <c r="AS9" i="14" s="1"/>
  <c r="AV9" i="14" s="1"/>
  <c r="N37" i="14"/>
  <c r="N35" i="14" s="1"/>
  <c r="N28" i="14" s="1"/>
  <c r="AX9" i="14"/>
  <c r="AZ9" i="14" s="1"/>
  <c r="G68" i="14"/>
  <c r="I66" i="13"/>
  <c r="M68" i="13"/>
  <c r="M66" i="13" s="1"/>
  <c r="Y212" i="15"/>
  <c r="AA211" i="14"/>
  <c r="AA210" i="14" s="1"/>
  <c r="AA209" i="14" s="1"/>
  <c r="AH212" i="14"/>
  <c r="AH211" i="14" s="1"/>
  <c r="AH210" i="14" s="1"/>
  <c r="AH209" i="14" s="1"/>
  <c r="AH207" i="14" s="1"/>
  <c r="AG224" i="13"/>
  <c r="AE222" i="13"/>
  <c r="AE220" i="13" s="1"/>
  <c r="I59" i="14"/>
  <c r="G57" i="14"/>
  <c r="J14" i="14"/>
  <c r="N14" i="13"/>
  <c r="N10" i="13" s="1"/>
  <c r="L10" i="13"/>
  <c r="AS16" i="13" s="1"/>
  <c r="AV16" i="13" s="1"/>
  <c r="BP13" i="12"/>
  <c r="AJ245" i="13"/>
  <c r="AJ243" i="13" s="1"/>
  <c r="AE245" i="14"/>
  <c r="AG243" i="13"/>
  <c r="AG234" i="13" s="1"/>
  <c r="AG232" i="13" s="1"/>
  <c r="AD193" i="12"/>
  <c r="AR28" i="12" s="1"/>
  <c r="BP28" i="12"/>
  <c r="BP25" i="12" s="1"/>
  <c r="BJ12" i="12" s="1"/>
  <c r="AD204" i="13"/>
  <c r="AB203" i="13"/>
  <c r="AB194" i="13" s="1"/>
  <c r="AB193" i="13" s="1"/>
  <c r="AG198" i="13"/>
  <c r="AE195" i="13"/>
  <c r="AE194" i="13" s="1"/>
  <c r="AE193" i="13" s="1"/>
  <c r="AV28" i="12"/>
  <c r="AX28" i="12"/>
  <c r="AZ28" i="12" s="1"/>
  <c r="AD198" i="16"/>
  <c r="AB195" i="16"/>
  <c r="Y196" i="14"/>
  <c r="BO26" i="13"/>
  <c r="AH196" i="13"/>
  <c r="AH195" i="13" s="1"/>
  <c r="AH194" i="13" s="1"/>
  <c r="AH193" i="13" s="1"/>
  <c r="AA195" i="13"/>
  <c r="AA194" i="13" s="1"/>
  <c r="AI191" i="15"/>
  <c r="AI185" i="15" s="1"/>
  <c r="AB191" i="16"/>
  <c r="AD185" i="15"/>
  <c r="BP31" i="15"/>
  <c r="BJ15" i="15" s="1"/>
  <c r="AE183" i="14"/>
  <c r="AJ183" i="13"/>
  <c r="AG176" i="13"/>
  <c r="AG170" i="13" s="1"/>
  <c r="AS27" i="13" s="1"/>
  <c r="AV27" i="13" s="1"/>
  <c r="AG259" i="13"/>
  <c r="AA177" i="13"/>
  <c r="Y176" i="13"/>
  <c r="Y170" i="13" s="1"/>
  <c r="AA110" i="12"/>
  <c r="AE162" i="14"/>
  <c r="AJ162" i="13"/>
  <c r="AJ157" i="13" s="1"/>
  <c r="AJ155" i="13" s="1"/>
  <c r="AJ145" i="13" s="1"/>
  <c r="AG157" i="13"/>
  <c r="AG155" i="13" s="1"/>
  <c r="AG145" i="13" s="1"/>
  <c r="AI162" i="16"/>
  <c r="AI157" i="16" s="1"/>
  <c r="AI155" i="16" s="1"/>
  <c r="AD157" i="16"/>
  <c r="AD155" i="16" s="1"/>
  <c r="AA157" i="13"/>
  <c r="AA155" i="13" s="1"/>
  <c r="AH160" i="13"/>
  <c r="AH157" i="13" s="1"/>
  <c r="Y160" i="14"/>
  <c r="Y156" i="14"/>
  <c r="BO18" i="13"/>
  <c r="AH156" i="13"/>
  <c r="Y145" i="13"/>
  <c r="Y110" i="13" s="1"/>
  <c r="Y258" i="12"/>
  <c r="L17" i="12"/>
  <c r="L8" i="12" s="1"/>
  <c r="L121" i="12" s="1"/>
  <c r="L125" i="12" s="1"/>
  <c r="AS14" i="12"/>
  <c r="AV14" i="12" s="1"/>
  <c r="AX16" i="12"/>
  <c r="AZ16" i="12" s="1"/>
  <c r="AU16" i="12"/>
  <c r="AD152" i="13"/>
  <c r="AB149" i="13"/>
  <c r="AB147" i="13" s="1"/>
  <c r="AB145" i="13" s="1"/>
  <c r="AD145" i="12"/>
  <c r="AD110" i="12" s="1"/>
  <c r="AR26" i="12" s="1"/>
  <c r="AU26" i="12" s="1"/>
  <c r="BP16" i="12"/>
  <c r="BP15" i="12" s="1"/>
  <c r="BJ10" i="12" s="1"/>
  <c r="AD258" i="11"/>
  <c r="BP33" i="11" s="1"/>
  <c r="Y151" i="14"/>
  <c r="AA149" i="13"/>
  <c r="AA147" i="13" s="1"/>
  <c r="AH151" i="13"/>
  <c r="AH149" i="13" s="1"/>
  <c r="AH147" i="13" s="1"/>
  <c r="BO15" i="12"/>
  <c r="BI10" i="12" s="1"/>
  <c r="Y126" i="14"/>
  <c r="AH126" i="13"/>
  <c r="AH123" i="13" s="1"/>
  <c r="AH112" i="13" s="1"/>
  <c r="AA123" i="13"/>
  <c r="BO19" i="13"/>
  <c r="AB124" i="14"/>
  <c r="AI124" i="13"/>
  <c r="AI123" i="13" s="1"/>
  <c r="AD123" i="13"/>
  <c r="Y116" i="16"/>
  <c r="AH116" i="15"/>
  <c r="AH114" i="15" s="1"/>
  <c r="AA114" i="15"/>
  <c r="AD106" i="13"/>
  <c r="AB105" i="13"/>
  <c r="AB104" i="13" s="1"/>
  <c r="AR25" i="12"/>
  <c r="AU25" i="12" s="1"/>
  <c r="AD97" i="13"/>
  <c r="AB96" i="13"/>
  <c r="AB90" i="13" s="1"/>
  <c r="AI63" i="12"/>
  <c r="AI12" i="12" s="1"/>
  <c r="AE91" i="13"/>
  <c r="AE90" i="13" s="1"/>
  <c r="AE63" i="13" s="1"/>
  <c r="AG92" i="13"/>
  <c r="AR24" i="12"/>
  <c r="BP14" i="12"/>
  <c r="BJ9" i="12" s="1"/>
  <c r="AB83" i="13"/>
  <c r="AD84" i="13"/>
  <c r="AC1" i="11"/>
  <c r="AD79" i="13"/>
  <c r="AB69" i="13"/>
  <c r="AB65" i="13" s="1"/>
  <c r="AW32" i="11"/>
  <c r="BP12" i="12"/>
  <c r="BP9" i="12" s="1"/>
  <c r="AR23" i="12"/>
  <c r="AD63" i="12"/>
  <c r="AD12" i="12" s="1"/>
  <c r="AY32" i="11"/>
  <c r="AY35" i="11" s="1"/>
  <c r="AE77" i="14"/>
  <c r="AJ77" i="13"/>
  <c r="AJ69" i="13" s="1"/>
  <c r="AJ65" i="13" s="1"/>
  <c r="AG69" i="13"/>
  <c r="AG65" i="13" s="1"/>
  <c r="BI8" i="12"/>
  <c r="Y70" i="14"/>
  <c r="AA69" i="13"/>
  <c r="AA65" i="13" s="1"/>
  <c r="AH70" i="13"/>
  <c r="AH69" i="13" s="1"/>
  <c r="AH65" i="13" s="1"/>
  <c r="AH63" i="13" s="1"/>
  <c r="AE67" i="15"/>
  <c r="AJ67" i="14"/>
  <c r="AD66" i="14"/>
  <c r="BP10" i="14" s="1"/>
  <c r="AB59" i="14"/>
  <c r="AD58" i="13"/>
  <c r="AD57" i="13" s="1"/>
  <c r="AI59" i="13"/>
  <c r="AI58" i="13" s="1"/>
  <c r="AI57" i="13" s="1"/>
  <c r="AB14" i="13"/>
  <c r="Y43" i="13"/>
  <c r="AB50" i="14"/>
  <c r="AD49" i="13"/>
  <c r="AD43" i="13" s="1"/>
  <c r="AI50" i="13"/>
  <c r="AI49" i="13" s="1"/>
  <c r="AI43" i="13" s="1"/>
  <c r="Y50" i="14"/>
  <c r="AH50" i="13"/>
  <c r="AH49" i="13" s="1"/>
  <c r="AA49" i="13"/>
  <c r="AE45" i="14"/>
  <c r="AJ45" i="13"/>
  <c r="AJ44" i="13" s="1"/>
  <c r="AG44" i="13"/>
  <c r="Y45" i="14"/>
  <c r="AA44" i="13"/>
  <c r="AH45" i="13"/>
  <c r="AH44" i="13" s="1"/>
  <c r="AH35" i="12"/>
  <c r="AH14" i="12" s="1"/>
  <c r="AH12" i="12" s="1"/>
  <c r="AH10" i="12" s="1"/>
  <c r="AH259" i="12"/>
  <c r="AA41" i="13"/>
  <c r="Y35" i="13"/>
  <c r="Y259" i="13"/>
  <c r="BO14" i="12"/>
  <c r="AA14" i="12"/>
  <c r="AA12" i="12" s="1"/>
  <c r="AJ38" i="13"/>
  <c r="AJ35" i="13" s="1"/>
  <c r="AE38" i="14"/>
  <c r="AG35" i="13"/>
  <c r="AS24" i="13" s="1"/>
  <c r="AS32" i="11"/>
  <c r="AV32" i="11" s="1"/>
  <c r="AZ23" i="11"/>
  <c r="AZ32" i="11" s="1"/>
  <c r="AX32" i="11"/>
  <c r="AG23" i="13"/>
  <c r="AE20" i="13"/>
  <c r="AE16" i="13" s="1"/>
  <c r="AG14" i="12"/>
  <c r="AS23" i="12"/>
  <c r="AE17" i="15"/>
  <c r="AS22" i="14"/>
  <c r="AJ17" i="14"/>
  <c r="AB17" i="15"/>
  <c r="AD16" i="14"/>
  <c r="AI17" i="14"/>
  <c r="AI16" i="14" s="1"/>
  <c r="Y17" i="15"/>
  <c r="BO10" i="14"/>
  <c r="AH17" i="14"/>
  <c r="AH16" i="14" s="1"/>
  <c r="AA16" i="14"/>
  <c r="AX15" i="12"/>
  <c r="AZ15" i="12" s="1"/>
  <c r="AU15" i="12"/>
  <c r="I113" i="13"/>
  <c r="G108" i="13"/>
  <c r="J116" i="15"/>
  <c r="N116" i="14"/>
  <c r="N108" i="14" s="1"/>
  <c r="L96" i="13"/>
  <c r="J93" i="13"/>
  <c r="J85" i="13" s="1"/>
  <c r="J19" i="13" s="1"/>
  <c r="J17" i="13" s="1"/>
  <c r="AR32" i="10"/>
  <c r="AU31" i="10"/>
  <c r="L86" i="13"/>
  <c r="AY17" i="12"/>
  <c r="J78" i="14"/>
  <c r="L78" i="14" s="1"/>
  <c r="N78" i="14" s="1"/>
  <c r="L79" i="14"/>
  <c r="I79" i="14"/>
  <c r="G78" i="14"/>
  <c r="I78" i="14" s="1"/>
  <c r="M78" i="14" s="1"/>
  <c r="G76" i="14"/>
  <c r="I75" i="13"/>
  <c r="AR9" i="13" s="1"/>
  <c r="AU9" i="13" s="1"/>
  <c r="M76" i="13"/>
  <c r="M75" i="13" s="1"/>
  <c r="I74" i="13"/>
  <c r="G72" i="13"/>
  <c r="G70" i="14"/>
  <c r="I69" i="13"/>
  <c r="M70" i="13"/>
  <c r="M69" i="13" s="1"/>
  <c r="I65" i="13"/>
  <c r="G63" i="13"/>
  <c r="G123" i="13"/>
  <c r="M63" i="12"/>
  <c r="M21" i="12" s="1"/>
  <c r="M19" i="12" s="1"/>
  <c r="M17" i="12" s="1"/>
  <c r="M8" i="12" s="1"/>
  <c r="M123" i="12"/>
  <c r="J62" i="14"/>
  <c r="N62" i="13"/>
  <c r="L60" i="13"/>
  <c r="L21" i="13" s="1"/>
  <c r="L123" i="13"/>
  <c r="AR17" i="11"/>
  <c r="AU17" i="11" s="1"/>
  <c r="AU14" i="11"/>
  <c r="G61" i="14"/>
  <c r="I60" i="13"/>
  <c r="M61" i="13"/>
  <c r="M60" i="13" s="1"/>
  <c r="BD17" i="13"/>
  <c r="AA258" i="11"/>
  <c r="BO33" i="11" s="1"/>
  <c r="I8" i="11"/>
  <c r="I21" i="12"/>
  <c r="I19" i="12" s="1"/>
  <c r="AR7" i="12"/>
  <c r="AU7" i="12" s="1"/>
  <c r="G22" i="13"/>
  <c r="I23" i="13"/>
  <c r="AX26" i="12"/>
  <c r="AB116" i="15"/>
  <c r="AI116" i="14"/>
  <c r="AR27" i="14"/>
  <c r="BP24" i="14"/>
  <c r="BP22" i="14" s="1"/>
  <c r="BJ11" i="14" s="1"/>
  <c r="AD127" i="15"/>
  <c r="J99" i="14"/>
  <c r="L105" i="14"/>
  <c r="AE129" i="14"/>
  <c r="AJ129" i="13"/>
  <c r="AJ123" i="13" s="1"/>
  <c r="AJ112" i="13" s="1"/>
  <c r="AG123" i="13"/>
  <c r="AG112" i="13" s="1"/>
  <c r="AD178" i="15"/>
  <c r="AB176" i="15"/>
  <c r="AB170" i="15" s="1"/>
  <c r="AI92" i="14"/>
  <c r="AI91" i="14" s="1"/>
  <c r="AB92" i="15"/>
  <c r="AD91" i="14"/>
  <c r="G12" i="14"/>
  <c r="M12" i="13"/>
  <c r="M10" i="13" s="1"/>
  <c r="I10" i="13"/>
  <c r="AJ244" i="14"/>
  <c r="AE244" i="15"/>
  <c r="AE204" i="15"/>
  <c r="AG203" i="14"/>
  <c r="AJ204" i="14"/>
  <c r="AJ203" i="14" s="1"/>
  <c r="AE227" i="15"/>
  <c r="AG228" i="15"/>
  <c r="AJ186" i="14"/>
  <c r="AJ185" i="14" s="1"/>
  <c r="AG185" i="14"/>
  <c r="AE186" i="15"/>
  <c r="AG188" i="15"/>
  <c r="AE187" i="15"/>
  <c r="I30" i="14"/>
  <c r="G29" i="14"/>
  <c r="G28" i="14" s="1"/>
  <c r="AB259" i="15"/>
  <c r="T15" i="16"/>
  <c r="W259" i="15"/>
  <c r="V259" i="15"/>
  <c r="AC259" i="15"/>
  <c r="AF259" i="15"/>
  <c r="U259" i="15"/>
  <c r="Z259" i="15"/>
  <c r="AD259" i="15"/>
  <c r="X259" i="15"/>
  <c r="AE212" i="15"/>
  <c r="AJ212" i="14"/>
  <c r="AG236" i="15"/>
  <c r="AG223" i="15"/>
  <c r="AJ181" i="14"/>
  <c r="AE181" i="15"/>
  <c r="L90" i="14"/>
  <c r="AE196" i="15"/>
  <c r="AJ196" i="14"/>
  <c r="I101" i="15"/>
  <c r="G99" i="15"/>
  <c r="AZ13" i="13"/>
  <c r="I86" i="14"/>
  <c r="L119" i="15" l="1"/>
  <c r="J117" i="15"/>
  <c r="J108" i="15" s="1"/>
  <c r="G83" i="16"/>
  <c r="I81" i="15"/>
  <c r="M83" i="15"/>
  <c r="M81" i="15" s="1"/>
  <c r="AW30" i="14"/>
  <c r="AY30" i="14" s="1"/>
  <c r="AU30" i="14"/>
  <c r="AI236" i="15"/>
  <c r="AI235" i="15" s="1"/>
  <c r="AI234" i="15" s="1"/>
  <c r="AI232" i="15" s="1"/>
  <c r="AD235" i="15"/>
  <c r="AD234" i="15" s="1"/>
  <c r="AD232" i="15" s="1"/>
  <c r="AB236" i="16"/>
  <c r="BJ14" i="16"/>
  <c r="E54" i="20"/>
  <c r="AJ234" i="13"/>
  <c r="AJ232" i="13" s="1"/>
  <c r="AG241" i="14"/>
  <c r="AE235" i="14"/>
  <c r="AG213" i="14"/>
  <c r="AE211" i="14"/>
  <c r="AE210" i="14" s="1"/>
  <c r="AE209" i="14" s="1"/>
  <c r="AE207" i="14" s="1"/>
  <c r="AG117" i="14"/>
  <c r="AE114" i="14"/>
  <c r="AH155" i="13"/>
  <c r="AH145" i="13" s="1"/>
  <c r="AH110" i="13" s="1"/>
  <c r="AB258" i="12"/>
  <c r="AX31" i="16"/>
  <c r="AZ31" i="16" s="1"/>
  <c r="AQ32" i="16"/>
  <c r="AQ33" i="16" s="1"/>
  <c r="AR22" i="14"/>
  <c r="AU22" i="14" s="1"/>
  <c r="AX27" i="13"/>
  <c r="AZ27" i="13" s="1"/>
  <c r="AZ17" i="12"/>
  <c r="AI14" i="13"/>
  <c r="AW25" i="12"/>
  <c r="AY25" i="12" s="1"/>
  <c r="AI10" i="12"/>
  <c r="AI258" i="12" s="1"/>
  <c r="AB110" i="13"/>
  <c r="AI112" i="13"/>
  <c r="BJ8" i="12"/>
  <c r="BJ7" i="12" s="1"/>
  <c r="BJ16" i="12" s="1"/>
  <c r="AV25" i="12"/>
  <c r="N8" i="12"/>
  <c r="N121" i="12" s="1"/>
  <c r="N125" i="12" s="1"/>
  <c r="AS17" i="12"/>
  <c r="AV17" i="12" s="1"/>
  <c r="AA212" i="15"/>
  <c r="Y211" i="15"/>
  <c r="Y210" i="15" s="1"/>
  <c r="Y209" i="15" s="1"/>
  <c r="Y207" i="15" s="1"/>
  <c r="AD22" i="16"/>
  <c r="AB20" i="16"/>
  <c r="AE52" i="14"/>
  <c r="AJ52" i="13"/>
  <c r="AJ49" i="13" s="1"/>
  <c r="AJ43" i="13" s="1"/>
  <c r="AG49" i="13"/>
  <c r="AG43" i="13" s="1"/>
  <c r="AG143" i="15"/>
  <c r="AE141" i="15"/>
  <c r="J51" i="15"/>
  <c r="L53" i="15"/>
  <c r="AD117" i="14"/>
  <c r="AB114" i="14"/>
  <c r="G59" i="15"/>
  <c r="I57" i="14"/>
  <c r="M59" i="14"/>
  <c r="M57" i="14" s="1"/>
  <c r="AA207" i="14"/>
  <c r="BO27" i="14"/>
  <c r="I68" i="14"/>
  <c r="G66" i="14"/>
  <c r="L37" i="15"/>
  <c r="J35" i="15"/>
  <c r="J28" i="15" s="1"/>
  <c r="M50" i="13"/>
  <c r="M48" i="13" s="1"/>
  <c r="I48" i="13"/>
  <c r="G50" i="14"/>
  <c r="AJ86" i="15"/>
  <c r="AJ83" i="15" s="1"/>
  <c r="AE86" i="16"/>
  <c r="AG83" i="15"/>
  <c r="AE116" i="16"/>
  <c r="AJ116" i="15"/>
  <c r="I95" i="14"/>
  <c r="G93" i="14"/>
  <c r="G85" i="14" s="1"/>
  <c r="G55" i="15"/>
  <c r="I54" i="14"/>
  <c r="M55" i="14"/>
  <c r="M54" i="14" s="1"/>
  <c r="AG97" i="15"/>
  <c r="AA249" i="15"/>
  <c r="Y243" i="15"/>
  <c r="Y234" i="15" s="1"/>
  <c r="Y232" i="15" s="1"/>
  <c r="L14" i="14"/>
  <c r="J10" i="14"/>
  <c r="AE224" i="14"/>
  <c r="AJ224" i="13"/>
  <c r="AJ222" i="13" s="1"/>
  <c r="AJ220" i="13" s="1"/>
  <c r="AG222" i="13"/>
  <c r="AG220" i="13" s="1"/>
  <c r="AS30" i="13" s="1"/>
  <c r="L70" i="15"/>
  <c r="J69" i="15"/>
  <c r="AB215" i="16"/>
  <c r="AI215" i="15"/>
  <c r="AI211" i="15" s="1"/>
  <c r="AI210" i="15" s="1"/>
  <c r="AI209" i="15" s="1"/>
  <c r="AI207" i="15" s="1"/>
  <c r="AD211" i="15"/>
  <c r="AD210" i="15" s="1"/>
  <c r="AD209" i="15" s="1"/>
  <c r="AG99" i="14"/>
  <c r="AE96" i="14"/>
  <c r="I85" i="13"/>
  <c r="BD19" i="13"/>
  <c r="AB39" i="15"/>
  <c r="AI39" i="14"/>
  <c r="AI35" i="14" s="1"/>
  <c r="AD35" i="14"/>
  <c r="Y230" i="16"/>
  <c r="AH230" i="15"/>
  <c r="AH227" i="15" s="1"/>
  <c r="AH220" i="15" s="1"/>
  <c r="AA227" i="15"/>
  <c r="AA220" i="15" s="1"/>
  <c r="BO30" i="15" s="1"/>
  <c r="BI14" i="15" s="1"/>
  <c r="E10" i="18"/>
  <c r="Q10" i="18"/>
  <c r="M10" i="18"/>
  <c r="AE14" i="13"/>
  <c r="AE12" i="13" s="1"/>
  <c r="AE10" i="13" s="1"/>
  <c r="AE8" i="13" s="1"/>
  <c r="AG12" i="12"/>
  <c r="AG10" i="12" s="1"/>
  <c r="AG258" i="12" s="1"/>
  <c r="AS31" i="12" s="1"/>
  <c r="AS32" i="12" s="1"/>
  <c r="AV32" i="12" s="1"/>
  <c r="Y14" i="13"/>
  <c r="Y12" i="13" s="1"/>
  <c r="Y10" i="13" s="1"/>
  <c r="Y8" i="13" s="1"/>
  <c r="AI259" i="15"/>
  <c r="AG245" i="14"/>
  <c r="AE243" i="14"/>
  <c r="AE234" i="14" s="1"/>
  <c r="AE232" i="14" s="1"/>
  <c r="AU28" i="12"/>
  <c r="AW28" i="12"/>
  <c r="AY28" i="12" s="1"/>
  <c r="AB204" i="14"/>
  <c r="AD203" i="13"/>
  <c r="AD194" i="13" s="1"/>
  <c r="AI204" i="13"/>
  <c r="AI203" i="13" s="1"/>
  <c r="AI194" i="13" s="1"/>
  <c r="AI193" i="13" s="1"/>
  <c r="AE198" i="14"/>
  <c r="AJ198" i="13"/>
  <c r="AJ195" i="13" s="1"/>
  <c r="AJ194" i="13" s="1"/>
  <c r="AJ193" i="13" s="1"/>
  <c r="AG195" i="13"/>
  <c r="AG194" i="13" s="1"/>
  <c r="AG193" i="13" s="1"/>
  <c r="AS28" i="13" s="1"/>
  <c r="AI198" i="16"/>
  <c r="AI195" i="16" s="1"/>
  <c r="AD195" i="16"/>
  <c r="AA196" i="14"/>
  <c r="Y195" i="14"/>
  <c r="Y194" i="14" s="1"/>
  <c r="Y193" i="14" s="1"/>
  <c r="BO28" i="13"/>
  <c r="AA193" i="13"/>
  <c r="AD191" i="16"/>
  <c r="AD259" i="16" s="1"/>
  <c r="AB185" i="16"/>
  <c r="AG183" i="14"/>
  <c r="AE176" i="14"/>
  <c r="AE170" i="14" s="1"/>
  <c r="AE259" i="14"/>
  <c r="AJ259" i="13"/>
  <c r="AJ176" i="13"/>
  <c r="AJ170" i="13" s="1"/>
  <c r="Y177" i="14"/>
  <c r="AA176" i="13"/>
  <c r="AA170" i="13" s="1"/>
  <c r="BO24" i="13" s="1"/>
  <c r="BO23" i="13"/>
  <c r="AH177" i="13"/>
  <c r="AH176" i="13" s="1"/>
  <c r="AH170" i="13" s="1"/>
  <c r="AW27" i="14"/>
  <c r="AY27" i="14" s="1"/>
  <c r="AU27" i="14"/>
  <c r="AA10" i="12"/>
  <c r="AA8" i="12" s="1"/>
  <c r="U1" i="12" s="1"/>
  <c r="AG110" i="13"/>
  <c r="AS26" i="13" s="1"/>
  <c r="AG162" i="14"/>
  <c r="AE157" i="14"/>
  <c r="AE155" i="14" s="1"/>
  <c r="AE145" i="14" s="1"/>
  <c r="AJ110" i="13"/>
  <c r="Y157" i="14"/>
  <c r="Y155" i="14" s="1"/>
  <c r="AA160" i="14"/>
  <c r="AW26" i="12"/>
  <c r="AY26" i="12" s="1"/>
  <c r="AD10" i="12"/>
  <c r="AD8" i="12" s="1"/>
  <c r="AA156" i="14"/>
  <c r="AR31" i="11"/>
  <c r="AU31" i="11" s="1"/>
  <c r="AB152" i="14"/>
  <c r="AD149" i="13"/>
  <c r="AD147" i="13" s="1"/>
  <c r="AI152" i="13"/>
  <c r="AI149" i="13" s="1"/>
  <c r="AI147" i="13" s="1"/>
  <c r="AI145" i="13" s="1"/>
  <c r="AA151" i="14"/>
  <c r="Y149" i="14"/>
  <c r="Y147" i="14" s="1"/>
  <c r="AA145" i="13"/>
  <c r="BO16" i="13"/>
  <c r="BO17" i="13"/>
  <c r="AA112" i="13"/>
  <c r="AA126" i="14"/>
  <c r="Y123" i="14"/>
  <c r="Y112" i="14" s="1"/>
  <c r="AD124" i="14"/>
  <c r="AB123" i="14"/>
  <c r="BP17" i="13"/>
  <c r="AD112" i="13"/>
  <c r="AA116" i="16"/>
  <c r="Y114" i="16"/>
  <c r="AB106" i="14"/>
  <c r="AD105" i="13"/>
  <c r="AD104" i="13" s="1"/>
  <c r="AI106" i="13"/>
  <c r="AI105" i="13" s="1"/>
  <c r="AI104" i="13" s="1"/>
  <c r="AJ258" i="12"/>
  <c r="AB97" i="14"/>
  <c r="AD96" i="13"/>
  <c r="AD90" i="13" s="1"/>
  <c r="AI97" i="13"/>
  <c r="AI96" i="13" s="1"/>
  <c r="AI90" i="13" s="1"/>
  <c r="AE92" i="14"/>
  <c r="AG91" i="13"/>
  <c r="AG90" i="13" s="1"/>
  <c r="AJ92" i="13"/>
  <c r="AJ91" i="13" s="1"/>
  <c r="AJ90" i="13" s="1"/>
  <c r="AJ63" i="13" s="1"/>
  <c r="AU24" i="12"/>
  <c r="AW24" i="12"/>
  <c r="AY24" i="12" s="1"/>
  <c r="AD83" i="13"/>
  <c r="AB84" i="14"/>
  <c r="AI84" i="13"/>
  <c r="AI83" i="13" s="1"/>
  <c r="BP8" i="12"/>
  <c r="BP7" i="12" s="1"/>
  <c r="BP32" i="12" s="1"/>
  <c r="AB63" i="13"/>
  <c r="AB12" i="13" s="1"/>
  <c r="AB79" i="14"/>
  <c r="AI79" i="13"/>
  <c r="AI69" i="13" s="1"/>
  <c r="AI65" i="13" s="1"/>
  <c r="AD69" i="13"/>
  <c r="AD65" i="13" s="1"/>
  <c r="AZ35" i="11"/>
  <c r="AW23" i="12"/>
  <c r="AY23" i="12" s="1"/>
  <c r="AU23" i="12"/>
  <c r="AG77" i="14"/>
  <c r="AE69" i="14"/>
  <c r="AE65" i="14" s="1"/>
  <c r="AA70" i="14"/>
  <c r="Y69" i="14"/>
  <c r="Y65" i="14" s="1"/>
  <c r="Y63" i="14" s="1"/>
  <c r="AA63" i="13"/>
  <c r="BO12" i="13"/>
  <c r="BO9" i="13" s="1"/>
  <c r="AG67" i="15"/>
  <c r="AB66" i="15"/>
  <c r="AI66" i="14"/>
  <c r="AB58" i="14"/>
  <c r="AB57" i="14" s="1"/>
  <c r="AD59" i="14"/>
  <c r="AA43" i="13"/>
  <c r="BO13" i="13" s="1"/>
  <c r="AD14" i="13"/>
  <c r="AD50" i="14"/>
  <c r="AB49" i="14"/>
  <c r="AB43" i="14" s="1"/>
  <c r="AA50" i="14"/>
  <c r="Y49" i="14"/>
  <c r="AH43" i="13"/>
  <c r="AG45" i="14"/>
  <c r="AE44" i="14"/>
  <c r="AA45" i="14"/>
  <c r="Y44" i="14"/>
  <c r="AH8" i="12"/>
  <c r="AH258" i="12"/>
  <c r="BI9" i="12"/>
  <c r="BI7" i="12" s="1"/>
  <c r="BI16" i="12" s="1"/>
  <c r="BO8" i="12"/>
  <c r="BO7" i="12" s="1"/>
  <c r="BO32" i="12" s="1"/>
  <c r="Y41" i="14"/>
  <c r="AA35" i="13"/>
  <c r="AH41" i="13"/>
  <c r="BO31" i="13"/>
  <c r="AA259" i="13"/>
  <c r="AX24" i="13"/>
  <c r="AZ24" i="13" s="1"/>
  <c r="AV24" i="13"/>
  <c r="AG38" i="14"/>
  <c r="AE35" i="14"/>
  <c r="AV23" i="12"/>
  <c r="AX23" i="12"/>
  <c r="AZ23" i="12" s="1"/>
  <c r="AE23" i="14"/>
  <c r="AJ23" i="13"/>
  <c r="AJ20" i="13" s="1"/>
  <c r="AJ16" i="13" s="1"/>
  <c r="AG20" i="13"/>
  <c r="AG16" i="13" s="1"/>
  <c r="AG17" i="15"/>
  <c r="AX22" i="14"/>
  <c r="AZ22" i="14" s="1"/>
  <c r="AV22" i="14"/>
  <c r="AD17" i="15"/>
  <c r="AB16" i="15"/>
  <c r="AA17" i="15"/>
  <c r="Y16" i="15"/>
  <c r="G113" i="14"/>
  <c r="M113" i="13"/>
  <c r="M108" i="13" s="1"/>
  <c r="BD20" i="13"/>
  <c r="I108" i="13"/>
  <c r="AR15" i="13" s="1"/>
  <c r="AW17" i="12"/>
  <c r="AX17" i="12"/>
  <c r="L116" i="15"/>
  <c r="J8" i="13"/>
  <c r="J121" i="13" s="1"/>
  <c r="J125" i="13" s="1"/>
  <c r="AU32" i="10"/>
  <c r="AV35" i="10"/>
  <c r="AU35" i="10"/>
  <c r="J96" i="14"/>
  <c r="N96" i="13"/>
  <c r="N93" i="13" s="1"/>
  <c r="L93" i="13"/>
  <c r="AX14" i="13" s="1"/>
  <c r="AZ14" i="13" s="1"/>
  <c r="J86" i="14"/>
  <c r="N86" i="13"/>
  <c r="N79" i="14"/>
  <c r="J79" i="15"/>
  <c r="G79" i="15"/>
  <c r="M79" i="14"/>
  <c r="G75" i="14"/>
  <c r="I76" i="14"/>
  <c r="AW9" i="14" s="1"/>
  <c r="AY9" i="14" s="1"/>
  <c r="G74" i="14"/>
  <c r="I72" i="13"/>
  <c r="M74" i="13"/>
  <c r="M72" i="13" s="1"/>
  <c r="I70" i="14"/>
  <c r="G69" i="14"/>
  <c r="G65" i="14"/>
  <c r="I63" i="13"/>
  <c r="M65" i="13"/>
  <c r="I123" i="13"/>
  <c r="BD22" i="13"/>
  <c r="AW14" i="13"/>
  <c r="AY14" i="13" s="1"/>
  <c r="M121" i="12"/>
  <c r="M125" i="12" s="1"/>
  <c r="G21" i="13"/>
  <c r="G19" i="13" s="1"/>
  <c r="G17" i="13" s="1"/>
  <c r="G8" i="13" s="1"/>
  <c r="G121" i="13" s="1"/>
  <c r="G125" i="13" s="1"/>
  <c r="AE258" i="12"/>
  <c r="N60" i="13"/>
  <c r="N21" i="13" s="1"/>
  <c r="N123" i="13"/>
  <c r="J60" i="14"/>
  <c r="J21" i="14" s="1"/>
  <c r="L62" i="14"/>
  <c r="J123" i="14"/>
  <c r="I61" i="14"/>
  <c r="G60" i="14"/>
  <c r="I121" i="11"/>
  <c r="I125" i="11" s="1"/>
  <c r="K1" i="11"/>
  <c r="J5" i="11"/>
  <c r="G23" i="14"/>
  <c r="BD12" i="13"/>
  <c r="BD10" i="13" s="1"/>
  <c r="BD9" i="13" s="1"/>
  <c r="AW7" i="13"/>
  <c r="AY7" i="13" s="1"/>
  <c r="I22" i="13"/>
  <c r="M23" i="13"/>
  <c r="M22" i="13" s="1"/>
  <c r="AR14" i="12"/>
  <c r="I17" i="12"/>
  <c r="AD92" i="15"/>
  <c r="AB91" i="15"/>
  <c r="AB127" i="16"/>
  <c r="AI127" i="15"/>
  <c r="AZ26" i="12"/>
  <c r="AB178" i="16"/>
  <c r="AI178" i="15"/>
  <c r="AI176" i="15" s="1"/>
  <c r="AI170" i="15" s="1"/>
  <c r="AD176" i="15"/>
  <c r="AD170" i="15" s="1"/>
  <c r="J105" i="15"/>
  <c r="L99" i="14"/>
  <c r="N105" i="14"/>
  <c r="N99" i="14" s="1"/>
  <c r="AG129" i="14"/>
  <c r="AE123" i="14"/>
  <c r="AE112" i="14" s="1"/>
  <c r="AD116" i="15"/>
  <c r="AR16" i="13"/>
  <c r="BD7" i="13"/>
  <c r="I12" i="14"/>
  <c r="G10" i="14"/>
  <c r="G101" i="16"/>
  <c r="M101" i="15"/>
  <c r="M99" i="15" s="1"/>
  <c r="I99" i="15"/>
  <c r="BD18" i="15"/>
  <c r="AG181" i="15"/>
  <c r="AE236" i="16"/>
  <c r="AJ236" i="15"/>
  <c r="V259" i="16"/>
  <c r="Z259" i="16"/>
  <c r="X259" i="16"/>
  <c r="AB259" i="16"/>
  <c r="AF259" i="16"/>
  <c r="U259" i="16"/>
  <c r="AC259" i="16"/>
  <c r="W259" i="16"/>
  <c r="G30" i="15"/>
  <c r="I29" i="14"/>
  <c r="I28" i="14" s="1"/>
  <c r="M30" i="14"/>
  <c r="M29" i="14" s="1"/>
  <c r="M28" i="14" s="1"/>
  <c r="BD13" i="14"/>
  <c r="AG244" i="15"/>
  <c r="J90" i="15"/>
  <c r="AX13" i="14"/>
  <c r="AS13" i="14"/>
  <c r="N90" i="14"/>
  <c r="AE188" i="16"/>
  <c r="AG187" i="15"/>
  <c r="AJ188" i="15"/>
  <c r="AJ187" i="15" s="1"/>
  <c r="AG227" i="15"/>
  <c r="AE228" i="16"/>
  <c r="AJ228" i="15"/>
  <c r="AJ227" i="15" s="1"/>
  <c r="AG196" i="15"/>
  <c r="AG212" i="15"/>
  <c r="AG186" i="15"/>
  <c r="AE185" i="15"/>
  <c r="G86" i="15"/>
  <c r="M86" i="14"/>
  <c r="AJ223" i="15"/>
  <c r="AE223" i="16"/>
  <c r="AE203" i="15"/>
  <c r="AG204" i="15"/>
  <c r="AV30" i="13" l="1"/>
  <c r="AX30" i="13"/>
  <c r="AZ30" i="13" s="1"/>
  <c r="BP29" i="15"/>
  <c r="BJ13" i="15" s="1"/>
  <c r="AR30" i="15"/>
  <c r="J119" i="16"/>
  <c r="L117" i="15"/>
  <c r="L108" i="15" s="1"/>
  <c r="AS15" i="15" s="1"/>
  <c r="AV15" i="15" s="1"/>
  <c r="N119" i="15"/>
  <c r="N117" i="15" s="1"/>
  <c r="I83" i="16"/>
  <c r="G81" i="16"/>
  <c r="AB235" i="16"/>
  <c r="AB234" i="16" s="1"/>
  <c r="AB232" i="16" s="1"/>
  <c r="AD236" i="16"/>
  <c r="AE117" i="15"/>
  <c r="AJ117" i="14"/>
  <c r="AJ114" i="14" s="1"/>
  <c r="AG114" i="14"/>
  <c r="AJ241" i="14"/>
  <c r="AJ235" i="14" s="1"/>
  <c r="AE241" i="15"/>
  <c r="AG235" i="14"/>
  <c r="AJ213" i="14"/>
  <c r="AJ211" i="14" s="1"/>
  <c r="AJ210" i="14" s="1"/>
  <c r="AJ209" i="14" s="1"/>
  <c r="AJ207" i="14" s="1"/>
  <c r="AE213" i="15"/>
  <c r="AG211" i="14"/>
  <c r="AG210" i="14" s="1"/>
  <c r="AG209" i="14" s="1"/>
  <c r="AG207" i="14" s="1"/>
  <c r="AS29" i="14" s="1"/>
  <c r="AX29" i="14" s="1"/>
  <c r="AZ29" i="14" s="1"/>
  <c r="AW22" i="14"/>
  <c r="AY22" i="14" s="1"/>
  <c r="AI8" i="12"/>
  <c r="AB10" i="13"/>
  <c r="AB8" i="13" s="1"/>
  <c r="Y1" i="12"/>
  <c r="AI110" i="13"/>
  <c r="AB112" i="14"/>
  <c r="AS25" i="13"/>
  <c r="AX25" i="13" s="1"/>
  <c r="AZ25" i="13" s="1"/>
  <c r="AV31" i="12"/>
  <c r="AG8" i="12"/>
  <c r="AC1" i="12" s="1"/>
  <c r="J14" i="15"/>
  <c r="N14" i="14"/>
  <c r="N10" i="14" s="1"/>
  <c r="L10" i="14"/>
  <c r="AS16" i="14" s="1"/>
  <c r="AV16" i="14" s="1"/>
  <c r="AJ97" i="15"/>
  <c r="AE97" i="16"/>
  <c r="G48" i="14"/>
  <c r="I50" i="14"/>
  <c r="J37" i="16"/>
  <c r="N37" i="15"/>
  <c r="N35" i="15" s="1"/>
  <c r="N28" i="15" s="1"/>
  <c r="L35" i="15"/>
  <c r="L28" i="15" s="1"/>
  <c r="AS9" i="15" s="1"/>
  <c r="AV9" i="15" s="1"/>
  <c r="AX9" i="15"/>
  <c r="AZ9" i="15" s="1"/>
  <c r="AG52" i="14"/>
  <c r="AE49" i="14"/>
  <c r="AE43" i="14" s="1"/>
  <c r="Y212" i="16"/>
  <c r="AA211" i="15"/>
  <c r="AA210" i="15" s="1"/>
  <c r="AA209" i="15" s="1"/>
  <c r="AH212" i="15"/>
  <c r="AH211" i="15" s="1"/>
  <c r="AH210" i="15" s="1"/>
  <c r="AH209" i="15" s="1"/>
  <c r="AH207" i="15" s="1"/>
  <c r="BD8" i="13"/>
  <c r="BD23" i="13" s="1"/>
  <c r="AD39" i="15"/>
  <c r="AB35" i="15"/>
  <c r="AJ99" i="14"/>
  <c r="AJ96" i="14" s="1"/>
  <c r="AE99" i="15"/>
  <c r="AG96" i="14"/>
  <c r="AG224" i="14"/>
  <c r="AE222" i="14"/>
  <c r="AE220" i="14" s="1"/>
  <c r="AH249" i="15"/>
  <c r="AH243" i="15" s="1"/>
  <c r="AH234" i="15" s="1"/>
  <c r="AH232" i="15" s="1"/>
  <c r="Y249" i="16"/>
  <c r="AA243" i="15"/>
  <c r="AA234" i="15" s="1"/>
  <c r="AA232" i="15" s="1"/>
  <c r="BO29" i="15" s="1"/>
  <c r="BI13" i="15" s="1"/>
  <c r="AG86" i="16"/>
  <c r="AE83" i="16"/>
  <c r="G68" i="15"/>
  <c r="I66" i="14"/>
  <c r="M68" i="14"/>
  <c r="M66" i="14" s="1"/>
  <c r="J53" i="16"/>
  <c r="L51" i="15"/>
  <c r="N53" i="15"/>
  <c r="N51" i="15" s="1"/>
  <c r="AD20" i="16"/>
  <c r="AI22" i="16"/>
  <c r="AI20" i="16" s="1"/>
  <c r="AA230" i="16"/>
  <c r="Y227" i="16"/>
  <c r="Y220" i="16" s="1"/>
  <c r="AD207" i="15"/>
  <c r="AR29" i="15" s="1"/>
  <c r="AW29" i="15" s="1"/>
  <c r="AY29" i="15" s="1"/>
  <c r="BP27" i="15"/>
  <c r="J70" i="16"/>
  <c r="N70" i="15"/>
  <c r="N69" i="15" s="1"/>
  <c r="L69" i="15"/>
  <c r="I55" i="15"/>
  <c r="G54" i="15"/>
  <c r="AG116" i="16"/>
  <c r="I59" i="15"/>
  <c r="G57" i="15"/>
  <c r="AD215" i="16"/>
  <c r="AB211" i="16"/>
  <c r="AB210" i="16" s="1"/>
  <c r="AB209" i="16" s="1"/>
  <c r="AB207" i="16" s="1"/>
  <c r="G95" i="15"/>
  <c r="I93" i="14"/>
  <c r="M95" i="14"/>
  <c r="M93" i="14" s="1"/>
  <c r="M85" i="14" s="1"/>
  <c r="AB117" i="15"/>
  <c r="AI117" i="14"/>
  <c r="AI114" i="14" s="1"/>
  <c r="AD114" i="14"/>
  <c r="AE143" i="16"/>
  <c r="AG141" i="15"/>
  <c r="AJ143" i="15"/>
  <c r="AJ141" i="15" s="1"/>
  <c r="AJ14" i="13"/>
  <c r="AJ12" i="13" s="1"/>
  <c r="AJ10" i="13" s="1"/>
  <c r="AJ8" i="13" s="1"/>
  <c r="AJ245" i="14"/>
  <c r="AJ243" i="14" s="1"/>
  <c r="AJ234" i="14" s="1"/>
  <c r="AJ232" i="14" s="1"/>
  <c r="AE245" i="15"/>
  <c r="AG243" i="14"/>
  <c r="AG234" i="14" s="1"/>
  <c r="AG232" i="14" s="1"/>
  <c r="BI8" i="13"/>
  <c r="AD204" i="14"/>
  <c r="AB203" i="14"/>
  <c r="AB194" i="14" s="1"/>
  <c r="AB193" i="14" s="1"/>
  <c r="AD193" i="13"/>
  <c r="AR28" i="13" s="1"/>
  <c r="BP28" i="13"/>
  <c r="BP25" i="13" s="1"/>
  <c r="BJ12" i="13" s="1"/>
  <c r="AX28" i="13"/>
  <c r="AZ28" i="13" s="1"/>
  <c r="AV28" i="13"/>
  <c r="AG198" i="14"/>
  <c r="AE195" i="14"/>
  <c r="AE194" i="14" s="1"/>
  <c r="AE193" i="14" s="1"/>
  <c r="Y196" i="15"/>
  <c r="BO26" i="14"/>
  <c r="AH196" i="14"/>
  <c r="AH195" i="14" s="1"/>
  <c r="AH194" i="14" s="1"/>
  <c r="AH193" i="14" s="1"/>
  <c r="AA195" i="14"/>
  <c r="AA194" i="14" s="1"/>
  <c r="BO25" i="13"/>
  <c r="BI12" i="13" s="1"/>
  <c r="AI191" i="16"/>
  <c r="AD185" i="16"/>
  <c r="BP31" i="16"/>
  <c r="AE183" i="15"/>
  <c r="AJ183" i="14"/>
  <c r="AG259" i="14"/>
  <c r="AG176" i="14"/>
  <c r="AG170" i="14" s="1"/>
  <c r="AS27" i="14" s="1"/>
  <c r="AV27" i="14" s="1"/>
  <c r="AA177" i="14"/>
  <c r="Y176" i="14"/>
  <c r="Y170" i="14" s="1"/>
  <c r="BO22" i="13"/>
  <c r="BI11" i="13" s="1"/>
  <c r="AE110" i="14"/>
  <c r="AD258" i="12"/>
  <c r="BP33" i="12" s="1"/>
  <c r="AE162" i="15"/>
  <c r="AJ162" i="14"/>
  <c r="AJ157" i="14" s="1"/>
  <c r="AJ155" i="14" s="1"/>
  <c r="AJ145" i="14" s="1"/>
  <c r="AG157" i="14"/>
  <c r="AG155" i="14" s="1"/>
  <c r="AG145" i="14" s="1"/>
  <c r="AA157" i="14"/>
  <c r="AA155" i="14" s="1"/>
  <c r="AH160" i="14"/>
  <c r="AH157" i="14" s="1"/>
  <c r="Y160" i="15"/>
  <c r="Y145" i="14"/>
  <c r="Y110" i="14" s="1"/>
  <c r="Y156" i="15"/>
  <c r="BO18" i="14"/>
  <c r="AH156" i="14"/>
  <c r="AA110" i="13"/>
  <c r="AX16" i="13"/>
  <c r="AU16" i="13"/>
  <c r="N85" i="13"/>
  <c r="N19" i="13" s="1"/>
  <c r="N17" i="13" s="1"/>
  <c r="AF258" i="13" s="1"/>
  <c r="BQ33" i="13" s="1"/>
  <c r="AD152" i="14"/>
  <c r="AB149" i="14"/>
  <c r="AB147" i="14" s="1"/>
  <c r="AB145" i="14" s="1"/>
  <c r="AD145" i="13"/>
  <c r="AD110" i="13" s="1"/>
  <c r="AR26" i="13" s="1"/>
  <c r="BP16" i="13"/>
  <c r="BP15" i="13" s="1"/>
  <c r="BJ10" i="13" s="1"/>
  <c r="AR32" i="11"/>
  <c r="AV35" i="11" s="1"/>
  <c r="Y151" i="15"/>
  <c r="AA149" i="14"/>
  <c r="AA147" i="14" s="1"/>
  <c r="AH151" i="14"/>
  <c r="AH149" i="14" s="1"/>
  <c r="AH147" i="14" s="1"/>
  <c r="BO15" i="13"/>
  <c r="BI10" i="13" s="1"/>
  <c r="Y126" i="15"/>
  <c r="AA123" i="14"/>
  <c r="BO19" i="14"/>
  <c r="AH126" i="14"/>
  <c r="AH123" i="14" s="1"/>
  <c r="AH112" i="14" s="1"/>
  <c r="AX26" i="13"/>
  <c r="AZ26" i="13" s="1"/>
  <c r="AV26" i="13"/>
  <c r="AB124" i="15"/>
  <c r="AI124" i="14"/>
  <c r="AI123" i="14" s="1"/>
  <c r="AD123" i="14"/>
  <c r="AA114" i="16"/>
  <c r="AH116" i="16"/>
  <c r="AH114" i="16" s="1"/>
  <c r="AD106" i="14"/>
  <c r="AB105" i="14"/>
  <c r="AB104" i="14" s="1"/>
  <c r="BP13" i="13"/>
  <c r="AR25" i="13"/>
  <c r="AW25" i="13" s="1"/>
  <c r="AD97" i="14"/>
  <c r="AB96" i="14"/>
  <c r="AB90" i="14" s="1"/>
  <c r="AG63" i="13"/>
  <c r="AG92" i="14"/>
  <c r="AE91" i="14"/>
  <c r="AE90" i="14" s="1"/>
  <c r="AE63" i="14" s="1"/>
  <c r="BP14" i="13"/>
  <c r="AR24" i="13"/>
  <c r="AD84" i="14"/>
  <c r="AB83" i="14"/>
  <c r="AI63" i="13"/>
  <c r="AI12" i="13" s="1"/>
  <c r="AD79" i="14"/>
  <c r="AB69" i="14"/>
  <c r="AB65" i="14" s="1"/>
  <c r="BP12" i="13"/>
  <c r="BP9" i="13" s="1"/>
  <c r="AD63" i="13"/>
  <c r="AD12" i="13" s="1"/>
  <c r="AR23" i="13"/>
  <c r="AY32" i="12"/>
  <c r="AZ35" i="12" s="1"/>
  <c r="AW32" i="12"/>
  <c r="AE77" i="15"/>
  <c r="AJ77" i="14"/>
  <c r="AJ69" i="14" s="1"/>
  <c r="AJ65" i="14" s="1"/>
  <c r="AG69" i="14"/>
  <c r="AG65" i="14" s="1"/>
  <c r="Y70" i="15"/>
  <c r="AH70" i="14"/>
  <c r="AH69" i="14" s="1"/>
  <c r="AH65" i="14" s="1"/>
  <c r="AH63" i="14" s="1"/>
  <c r="AA69" i="14"/>
  <c r="AA65" i="14" s="1"/>
  <c r="AE67" i="16"/>
  <c r="AJ67" i="15"/>
  <c r="AD66" i="15"/>
  <c r="AD58" i="14"/>
  <c r="AD57" i="14" s="1"/>
  <c r="AB59" i="15"/>
  <c r="AI59" i="14"/>
  <c r="AI58" i="14" s="1"/>
  <c r="AI57" i="14" s="1"/>
  <c r="AB14" i="14"/>
  <c r="AB50" i="15"/>
  <c r="AD49" i="14"/>
  <c r="AD43" i="14" s="1"/>
  <c r="AI50" i="14"/>
  <c r="AI49" i="14" s="1"/>
  <c r="AI43" i="14" s="1"/>
  <c r="Y43" i="14"/>
  <c r="Y50" i="15"/>
  <c r="AH50" i="14"/>
  <c r="AH49" i="14" s="1"/>
  <c r="AA49" i="14"/>
  <c r="AE45" i="15"/>
  <c r="AJ45" i="14"/>
  <c r="AJ44" i="14" s="1"/>
  <c r="AG44" i="14"/>
  <c r="Y45" i="15"/>
  <c r="AA44" i="14"/>
  <c r="AH45" i="14"/>
  <c r="AH44" i="14" s="1"/>
  <c r="AH35" i="13"/>
  <c r="AH14" i="13" s="1"/>
  <c r="AH12" i="13" s="1"/>
  <c r="AH10" i="13" s="1"/>
  <c r="AH259" i="13"/>
  <c r="BI15" i="13"/>
  <c r="AA41" i="14"/>
  <c r="Y35" i="14"/>
  <c r="Y259" i="14"/>
  <c r="BO14" i="13"/>
  <c r="AA14" i="13"/>
  <c r="AA12" i="13" s="1"/>
  <c r="AJ38" i="14"/>
  <c r="AJ35" i="14" s="1"/>
  <c r="AE38" i="15"/>
  <c r="AG35" i="14"/>
  <c r="AS24" i="14" s="1"/>
  <c r="AX32" i="12"/>
  <c r="AG23" i="14"/>
  <c r="AE20" i="14"/>
  <c r="AE16" i="14" s="1"/>
  <c r="AS23" i="13"/>
  <c r="AG14" i="13"/>
  <c r="AZ32" i="12"/>
  <c r="AJ17" i="15"/>
  <c r="AS22" i="15"/>
  <c r="AE17" i="16"/>
  <c r="AB17" i="16"/>
  <c r="AI17" i="15"/>
  <c r="AI16" i="15" s="1"/>
  <c r="BP10" i="15"/>
  <c r="AD16" i="15"/>
  <c r="Y17" i="16"/>
  <c r="AH17" i="15"/>
  <c r="AH16" i="15" s="1"/>
  <c r="BO10" i="15"/>
  <c r="AA16" i="15"/>
  <c r="I113" i="14"/>
  <c r="G108" i="14"/>
  <c r="AX15" i="13"/>
  <c r="AZ15" i="13" s="1"/>
  <c r="AU15" i="13"/>
  <c r="J116" i="16"/>
  <c r="N116" i="15"/>
  <c r="N108" i="15" s="1"/>
  <c r="L96" i="14"/>
  <c r="J93" i="14"/>
  <c r="J85" i="14" s="1"/>
  <c r="J19" i="14" s="1"/>
  <c r="J17" i="14" s="1"/>
  <c r="L85" i="13"/>
  <c r="L19" i="13" s="1"/>
  <c r="L86" i="14"/>
  <c r="L79" i="15"/>
  <c r="J78" i="15"/>
  <c r="L78" i="15" s="1"/>
  <c r="N78" i="15" s="1"/>
  <c r="I79" i="15"/>
  <c r="G78" i="15"/>
  <c r="I78" i="15" s="1"/>
  <c r="M78" i="15" s="1"/>
  <c r="G76" i="15"/>
  <c r="M76" i="14"/>
  <c r="M75" i="14" s="1"/>
  <c r="I75" i="14"/>
  <c r="AR9" i="14" s="1"/>
  <c r="AU9" i="14" s="1"/>
  <c r="I74" i="14"/>
  <c r="G72" i="14"/>
  <c r="G70" i="15"/>
  <c r="I69" i="14"/>
  <c r="M70" i="14"/>
  <c r="M69" i="14" s="1"/>
  <c r="AY17" i="13"/>
  <c r="G63" i="14"/>
  <c r="I65" i="14"/>
  <c r="G123" i="14"/>
  <c r="M63" i="13"/>
  <c r="M21" i="13" s="1"/>
  <c r="M19" i="13" s="1"/>
  <c r="M17" i="13" s="1"/>
  <c r="M8" i="13" s="1"/>
  <c r="M123" i="13"/>
  <c r="Y258" i="13"/>
  <c r="L123" i="14"/>
  <c r="L60" i="14"/>
  <c r="L21" i="14" s="1"/>
  <c r="J62" i="15"/>
  <c r="N62" i="14"/>
  <c r="AR17" i="12"/>
  <c r="AU17" i="12" s="1"/>
  <c r="AU14" i="12"/>
  <c r="G61" i="15"/>
  <c r="I60" i="14"/>
  <c r="M61" i="14"/>
  <c r="M60" i="14" s="1"/>
  <c r="BD17" i="14"/>
  <c r="AA258" i="12"/>
  <c r="BO33" i="12" s="1"/>
  <c r="I8" i="12"/>
  <c r="I21" i="13"/>
  <c r="I19" i="13" s="1"/>
  <c r="AR7" i="13"/>
  <c r="AU7" i="13" s="1"/>
  <c r="G22" i="14"/>
  <c r="I23" i="14"/>
  <c r="J99" i="15"/>
  <c r="L105" i="15"/>
  <c r="AE129" i="15"/>
  <c r="AJ129" i="14"/>
  <c r="AJ123" i="14" s="1"/>
  <c r="AJ112" i="14" s="1"/>
  <c r="AG123" i="14"/>
  <c r="AD178" i="16"/>
  <c r="AB176" i="16"/>
  <c r="AB170" i="16" s="1"/>
  <c r="AD127" i="16"/>
  <c r="AI92" i="15"/>
  <c r="AI91" i="15" s="1"/>
  <c r="AD91" i="15"/>
  <c r="AB92" i="16"/>
  <c r="AB116" i="16"/>
  <c r="AI116" i="15"/>
  <c r="BP24" i="15"/>
  <c r="BP22" i="15" s="1"/>
  <c r="BJ11" i="15" s="1"/>
  <c r="AR27" i="15"/>
  <c r="AZ16" i="13"/>
  <c r="G12" i="15"/>
  <c r="I10" i="14"/>
  <c r="M12" i="14"/>
  <c r="M10" i="14" s="1"/>
  <c r="AG223" i="16"/>
  <c r="I86" i="15"/>
  <c r="AZ13" i="14"/>
  <c r="AG236" i="16"/>
  <c r="AE212" i="16"/>
  <c r="AJ212" i="15"/>
  <c r="I30" i="15"/>
  <c r="G29" i="15"/>
  <c r="G28" i="15" s="1"/>
  <c r="I101" i="16"/>
  <c r="G99" i="16"/>
  <c r="AG203" i="15"/>
  <c r="AE204" i="16"/>
  <c r="AJ204" i="15"/>
  <c r="AJ203" i="15" s="1"/>
  <c r="AJ196" i="15"/>
  <c r="AE196" i="16"/>
  <c r="AE227" i="16"/>
  <c r="AG228" i="16"/>
  <c r="AG188" i="16"/>
  <c r="AE187" i="16"/>
  <c r="L90" i="15"/>
  <c r="AG185" i="15"/>
  <c r="AJ186" i="15"/>
  <c r="AJ185" i="15" s="1"/>
  <c r="AE186" i="16"/>
  <c r="AJ244" i="15"/>
  <c r="AE244" i="16"/>
  <c r="AJ181" i="15"/>
  <c r="AE181" i="16"/>
  <c r="L119" i="16" l="1"/>
  <c r="J117" i="16"/>
  <c r="J108" i="16" s="1"/>
  <c r="AI236" i="16"/>
  <c r="AI235" i="16" s="1"/>
  <c r="AI234" i="16" s="1"/>
  <c r="AI232" i="16" s="1"/>
  <c r="AD235" i="16"/>
  <c r="AD234" i="16" s="1"/>
  <c r="AD232" i="16" s="1"/>
  <c r="I81" i="16"/>
  <c r="M83" i="16"/>
  <c r="M81" i="16" s="1"/>
  <c r="AW30" i="15"/>
  <c r="AY30" i="15" s="1"/>
  <c r="AU30" i="15"/>
  <c r="AG112" i="14"/>
  <c r="AG241" i="15"/>
  <c r="AE235" i="15"/>
  <c r="AG117" i="15"/>
  <c r="AE114" i="15"/>
  <c r="AG213" i="15"/>
  <c r="AE211" i="15"/>
  <c r="AE210" i="15" s="1"/>
  <c r="AE209" i="15" s="1"/>
  <c r="AE207" i="15" s="1"/>
  <c r="AX27" i="14"/>
  <c r="AZ27" i="14" s="1"/>
  <c r="AI10" i="13"/>
  <c r="AI8" i="13" s="1"/>
  <c r="AB110" i="14"/>
  <c r="BJ8" i="13"/>
  <c r="AB258" i="13"/>
  <c r="AI112" i="14"/>
  <c r="AE14" i="14"/>
  <c r="AE12" i="14" s="1"/>
  <c r="AE10" i="14" s="1"/>
  <c r="AE8" i="14" s="1"/>
  <c r="AV25" i="13"/>
  <c r="AW17" i="13"/>
  <c r="AZ17" i="13"/>
  <c r="AX17" i="13"/>
  <c r="AD117" i="15"/>
  <c r="AB114" i="15"/>
  <c r="AJ86" i="16"/>
  <c r="AJ83" i="16" s="1"/>
  <c r="AG83" i="16"/>
  <c r="AE52" i="15"/>
  <c r="AJ52" i="14"/>
  <c r="AJ49" i="14" s="1"/>
  <c r="AJ43" i="14" s="1"/>
  <c r="AG49" i="14"/>
  <c r="AG43" i="14" s="1"/>
  <c r="L37" i="16"/>
  <c r="J35" i="16"/>
  <c r="J28" i="16" s="1"/>
  <c r="AG97" i="16"/>
  <c r="L14" i="15"/>
  <c r="J10" i="15"/>
  <c r="I95" i="15"/>
  <c r="G93" i="15"/>
  <c r="G85" i="15" s="1"/>
  <c r="G59" i="16"/>
  <c r="I57" i="15"/>
  <c r="M59" i="15"/>
  <c r="M57" i="15" s="1"/>
  <c r="G55" i="16"/>
  <c r="M55" i="15"/>
  <c r="M54" i="15" s="1"/>
  <c r="I54" i="15"/>
  <c r="J51" i="16"/>
  <c r="L53" i="16"/>
  <c r="AG99" i="15"/>
  <c r="AE96" i="15"/>
  <c r="BD19" i="14"/>
  <c r="I85" i="14"/>
  <c r="L70" i="16"/>
  <c r="J69" i="16"/>
  <c r="AH230" i="16"/>
  <c r="AH227" i="16" s="1"/>
  <c r="AH220" i="16" s="1"/>
  <c r="AA227" i="16"/>
  <c r="AA220" i="16" s="1"/>
  <c r="BO30" i="16" s="1"/>
  <c r="I68" i="15"/>
  <c r="G66" i="15"/>
  <c r="AA249" i="16"/>
  <c r="Y243" i="16"/>
  <c r="Y234" i="16" s="1"/>
  <c r="Y232" i="16" s="1"/>
  <c r="AB39" i="16"/>
  <c r="AI39" i="15"/>
  <c r="AI35" i="15" s="1"/>
  <c r="AD35" i="15"/>
  <c r="AA212" i="16"/>
  <c r="Y211" i="16"/>
  <c r="Y210" i="16" s="1"/>
  <c r="Y209" i="16" s="1"/>
  <c r="Y207" i="16" s="1"/>
  <c r="AG143" i="16"/>
  <c r="AE141" i="16"/>
  <c r="AI215" i="16"/>
  <c r="AI211" i="16" s="1"/>
  <c r="AI210" i="16" s="1"/>
  <c r="AI209" i="16" s="1"/>
  <c r="AI207" i="16" s="1"/>
  <c r="AD211" i="16"/>
  <c r="AD210" i="16" s="1"/>
  <c r="AD209" i="16" s="1"/>
  <c r="AJ116" i="16"/>
  <c r="AE224" i="15"/>
  <c r="AJ224" i="14"/>
  <c r="AJ222" i="14" s="1"/>
  <c r="AJ220" i="14" s="1"/>
  <c r="AG222" i="14"/>
  <c r="AG220" i="14" s="1"/>
  <c r="AS30" i="14" s="1"/>
  <c r="AA207" i="15"/>
  <c r="BO27" i="15"/>
  <c r="G50" i="15"/>
  <c r="I48" i="14"/>
  <c r="M50" i="14"/>
  <c r="M48" i="14" s="1"/>
  <c r="AG245" i="15"/>
  <c r="AE243" i="15"/>
  <c r="Y14" i="14"/>
  <c r="Y12" i="14" s="1"/>
  <c r="Y10" i="14" s="1"/>
  <c r="Y8" i="14" s="1"/>
  <c r="AB204" i="15"/>
  <c r="AD203" i="14"/>
  <c r="AD194" i="14" s="1"/>
  <c r="AI204" i="14"/>
  <c r="AI203" i="14" s="1"/>
  <c r="AI194" i="14" s="1"/>
  <c r="AI193" i="14" s="1"/>
  <c r="AU28" i="13"/>
  <c r="AW28" i="13"/>
  <c r="AY28" i="13" s="1"/>
  <c r="AJ198" i="14"/>
  <c r="AJ195" i="14" s="1"/>
  <c r="AJ194" i="14" s="1"/>
  <c r="AJ193" i="14" s="1"/>
  <c r="AE198" i="15"/>
  <c r="AG195" i="14"/>
  <c r="AG194" i="14" s="1"/>
  <c r="AG193" i="14" s="1"/>
  <c r="AS28" i="14" s="1"/>
  <c r="AA196" i="15"/>
  <c r="Y195" i="15"/>
  <c r="Y194" i="15" s="1"/>
  <c r="Y193" i="15" s="1"/>
  <c r="BO28" i="14"/>
  <c r="BO25" i="14" s="1"/>
  <c r="BI12" i="14" s="1"/>
  <c r="AA193" i="14"/>
  <c r="E55" i="20"/>
  <c r="BJ15" i="16"/>
  <c r="AI185" i="16"/>
  <c r="AI259" i="16"/>
  <c r="AG183" i="15"/>
  <c r="AE259" i="15"/>
  <c r="AE176" i="15"/>
  <c r="AE170" i="15" s="1"/>
  <c r="AJ259" i="14"/>
  <c r="AJ176" i="14"/>
  <c r="AJ170" i="14" s="1"/>
  <c r="Y177" i="15"/>
  <c r="AA176" i="14"/>
  <c r="AA170" i="14" s="1"/>
  <c r="BO24" i="14" s="1"/>
  <c r="BO23" i="14"/>
  <c r="AH177" i="14"/>
  <c r="AH176" i="14" s="1"/>
  <c r="AH170" i="14" s="1"/>
  <c r="AW27" i="15"/>
  <c r="AY27" i="15" s="1"/>
  <c r="AU27" i="15"/>
  <c r="AG110" i="14"/>
  <c r="AS26" i="14" s="1"/>
  <c r="AV26" i="14" s="1"/>
  <c r="AA10" i="13"/>
  <c r="AA8" i="13" s="1"/>
  <c r="U1" i="13" s="1"/>
  <c r="AR31" i="12"/>
  <c r="AU31" i="12" s="1"/>
  <c r="AG162" i="15"/>
  <c r="AE157" i="15"/>
  <c r="AE155" i="15" s="1"/>
  <c r="AE145" i="15" s="1"/>
  <c r="AJ110" i="14"/>
  <c r="Y157" i="15"/>
  <c r="Y155" i="15" s="1"/>
  <c r="AA160" i="15"/>
  <c r="AH155" i="14"/>
  <c r="AH145" i="14" s="1"/>
  <c r="AH110" i="14" s="1"/>
  <c r="AA156" i="15"/>
  <c r="BP8" i="13"/>
  <c r="BP7" i="13" s="1"/>
  <c r="BP32" i="13" s="1"/>
  <c r="AU35" i="11"/>
  <c r="AU32" i="11"/>
  <c r="AU26" i="13"/>
  <c r="AW26" i="13"/>
  <c r="AY26" i="13" s="1"/>
  <c r="AB152" i="15"/>
  <c r="AI152" i="14"/>
  <c r="AI149" i="14" s="1"/>
  <c r="AI147" i="14" s="1"/>
  <c r="AI145" i="14" s="1"/>
  <c r="AD149" i="14"/>
  <c r="AD147" i="14" s="1"/>
  <c r="AD10" i="13"/>
  <c r="AD8" i="13" s="1"/>
  <c r="Y149" i="15"/>
  <c r="Y147" i="15" s="1"/>
  <c r="AA151" i="15"/>
  <c r="AA145" i="14"/>
  <c r="BO16" i="14"/>
  <c r="AA126" i="15"/>
  <c r="Y123" i="15"/>
  <c r="Y112" i="15" s="1"/>
  <c r="BO17" i="14"/>
  <c r="AA112" i="14"/>
  <c r="BP17" i="14"/>
  <c r="AD112" i="14"/>
  <c r="AD124" i="15"/>
  <c r="AB123" i="15"/>
  <c r="AU25" i="13"/>
  <c r="AD105" i="14"/>
  <c r="AD104" i="14" s="1"/>
  <c r="AB106" i="15"/>
  <c r="AI106" i="14"/>
  <c r="AI105" i="14" s="1"/>
  <c r="AI104" i="14" s="1"/>
  <c r="AB97" i="15"/>
  <c r="AI97" i="14"/>
  <c r="AI96" i="14" s="1"/>
  <c r="AI90" i="14" s="1"/>
  <c r="AD96" i="14"/>
  <c r="AD90" i="14" s="1"/>
  <c r="AG12" i="13"/>
  <c r="AG10" i="13" s="1"/>
  <c r="AG258" i="13" s="1"/>
  <c r="AS31" i="13" s="1"/>
  <c r="AV31" i="13" s="1"/>
  <c r="AJ258" i="13"/>
  <c r="AE92" i="15"/>
  <c r="AJ92" i="14"/>
  <c r="AJ91" i="14" s="1"/>
  <c r="AJ90" i="14" s="1"/>
  <c r="AJ63" i="14" s="1"/>
  <c r="AG91" i="14"/>
  <c r="AG90" i="14" s="1"/>
  <c r="AG63" i="14" s="1"/>
  <c r="AB63" i="14"/>
  <c r="AB12" i="14" s="1"/>
  <c r="BJ9" i="13"/>
  <c r="AW24" i="13"/>
  <c r="AY24" i="13" s="1"/>
  <c r="AU24" i="13"/>
  <c r="AI84" i="14"/>
  <c r="AI83" i="14" s="1"/>
  <c r="AD83" i="14"/>
  <c r="AB84" i="15"/>
  <c r="AW23" i="13"/>
  <c r="AY23" i="13" s="1"/>
  <c r="AU23" i="13"/>
  <c r="AB79" i="15"/>
  <c r="AI79" i="14"/>
  <c r="AI69" i="14" s="1"/>
  <c r="AI65" i="14" s="1"/>
  <c r="AD69" i="14"/>
  <c r="AD65" i="14" s="1"/>
  <c r="AY35" i="12"/>
  <c r="AG77" i="15"/>
  <c r="AE69" i="15"/>
  <c r="AE65" i="15" s="1"/>
  <c r="AA70" i="15"/>
  <c r="Y69" i="15"/>
  <c r="Y65" i="15" s="1"/>
  <c r="Y63" i="15" s="1"/>
  <c r="AA63" i="14"/>
  <c r="BO12" i="14"/>
  <c r="BO9" i="14" s="1"/>
  <c r="AG67" i="16"/>
  <c r="AB66" i="16"/>
  <c r="AI66" i="15"/>
  <c r="AR22" i="15"/>
  <c r="AW22" i="15" s="1"/>
  <c r="AY22" i="15" s="1"/>
  <c r="AI14" i="14"/>
  <c r="AB58" i="15"/>
  <c r="AB57" i="15" s="1"/>
  <c r="AD59" i="15"/>
  <c r="AA43" i="14"/>
  <c r="BO13" i="14" s="1"/>
  <c r="AY25" i="13"/>
  <c r="AD50" i="15"/>
  <c r="AB49" i="15"/>
  <c r="AB43" i="15" s="1"/>
  <c r="AD14" i="14"/>
  <c r="AA50" i="15"/>
  <c r="Y49" i="15"/>
  <c r="AH43" i="14"/>
  <c r="AG45" i="15"/>
  <c r="AE44" i="15"/>
  <c r="AA45" i="15"/>
  <c r="Y44" i="15"/>
  <c r="BI9" i="13"/>
  <c r="BI7" i="13" s="1"/>
  <c r="BI16" i="13" s="1"/>
  <c r="BO8" i="13"/>
  <c r="BO7" i="13" s="1"/>
  <c r="BO32" i="13" s="1"/>
  <c r="AH258" i="13"/>
  <c r="AH8" i="13"/>
  <c r="Y41" i="15"/>
  <c r="AH41" i="14"/>
  <c r="BO31" i="14"/>
  <c r="BI15" i="14" s="1"/>
  <c r="AA35" i="14"/>
  <c r="AA259" i="14"/>
  <c r="AE35" i="15"/>
  <c r="AG38" i="15"/>
  <c r="AX24" i="14"/>
  <c r="AZ24" i="14" s="1"/>
  <c r="AV24" i="14"/>
  <c r="AJ23" i="14"/>
  <c r="AJ20" i="14" s="1"/>
  <c r="AJ16" i="14" s="1"/>
  <c r="AE23" i="15"/>
  <c r="AG20" i="14"/>
  <c r="AG16" i="14" s="1"/>
  <c r="AV23" i="13"/>
  <c r="AX23" i="13"/>
  <c r="AX22" i="15"/>
  <c r="AZ22" i="15" s="1"/>
  <c r="AV22" i="15"/>
  <c r="AG17" i="16"/>
  <c r="AD17" i="16"/>
  <c r="AB16" i="16"/>
  <c r="AA17" i="16"/>
  <c r="Y16" i="16"/>
  <c r="G113" i="15"/>
  <c r="M113" i="14"/>
  <c r="M108" i="14" s="1"/>
  <c r="I108" i="14"/>
  <c r="AR15" i="14" s="1"/>
  <c r="BD20" i="14"/>
  <c r="L116" i="16"/>
  <c r="AS14" i="13"/>
  <c r="L17" i="13"/>
  <c r="J96" i="15"/>
  <c r="N96" i="14"/>
  <c r="N93" i="14" s="1"/>
  <c r="L93" i="14"/>
  <c r="AX14" i="14" s="1"/>
  <c r="AZ14" i="14" s="1"/>
  <c r="N8" i="13"/>
  <c r="N121" i="13" s="1"/>
  <c r="N125" i="13" s="1"/>
  <c r="J8" i="14"/>
  <c r="J121" i="14" s="1"/>
  <c r="J125" i="14" s="1"/>
  <c r="J86" i="15"/>
  <c r="N86" i="14"/>
  <c r="J79" i="16"/>
  <c r="N79" i="15"/>
  <c r="G79" i="16"/>
  <c r="M79" i="15"/>
  <c r="I76" i="15"/>
  <c r="G75" i="15"/>
  <c r="G74" i="15"/>
  <c r="M74" i="14"/>
  <c r="M72" i="14" s="1"/>
  <c r="I72" i="14"/>
  <c r="I70" i="15"/>
  <c r="G69" i="15"/>
  <c r="AE258" i="13"/>
  <c r="G65" i="15"/>
  <c r="I63" i="14"/>
  <c r="M65" i="14"/>
  <c r="BD22" i="14"/>
  <c r="I123" i="14"/>
  <c r="AW14" i="14"/>
  <c r="AY14" i="14" s="1"/>
  <c r="G21" i="14"/>
  <c r="G19" i="14" s="1"/>
  <c r="G17" i="14" s="1"/>
  <c r="M121" i="13"/>
  <c r="M125" i="13" s="1"/>
  <c r="L62" i="15"/>
  <c r="J60" i="15"/>
  <c r="J21" i="15" s="1"/>
  <c r="J123" i="15"/>
  <c r="N60" i="14"/>
  <c r="N21" i="14" s="1"/>
  <c r="N123" i="14"/>
  <c r="G60" i="15"/>
  <c r="I61" i="15"/>
  <c r="AR14" i="13"/>
  <c r="I17" i="13"/>
  <c r="AW7" i="14"/>
  <c r="AY7" i="14" s="1"/>
  <c r="BD12" i="14"/>
  <c r="BD10" i="14" s="1"/>
  <c r="BD9" i="14" s="1"/>
  <c r="I22" i="14"/>
  <c r="G23" i="15"/>
  <c r="M23" i="14"/>
  <c r="M22" i="14" s="1"/>
  <c r="I121" i="12"/>
  <c r="I125" i="12" s="1"/>
  <c r="J5" i="12"/>
  <c r="K1" i="12"/>
  <c r="AD116" i="16"/>
  <c r="AB91" i="16"/>
  <c r="AD92" i="16"/>
  <c r="AI127" i="16"/>
  <c r="AI178" i="16"/>
  <c r="AI176" i="16" s="1"/>
  <c r="AD176" i="16"/>
  <c r="AD170" i="16" s="1"/>
  <c r="J105" i="16"/>
  <c r="N105" i="15"/>
  <c r="N99" i="15" s="1"/>
  <c r="L99" i="15"/>
  <c r="AG129" i="15"/>
  <c r="AE123" i="15"/>
  <c r="AE112" i="15" s="1"/>
  <c r="AR16" i="14"/>
  <c r="BD7" i="14"/>
  <c r="I12" i="15"/>
  <c r="G10" i="15"/>
  <c r="AG181" i="16"/>
  <c r="AG187" i="16"/>
  <c r="AJ188" i="16"/>
  <c r="AJ187" i="16" s="1"/>
  <c r="AG196" i="16"/>
  <c r="AJ236" i="16"/>
  <c r="AG227" i="16"/>
  <c r="AJ228" i="16"/>
  <c r="AJ227" i="16" s="1"/>
  <c r="M101" i="16"/>
  <c r="M99" i="16" s="1"/>
  <c r="BD18" i="16"/>
  <c r="I99" i="16"/>
  <c r="D19" i="20"/>
  <c r="G86" i="16"/>
  <c r="M86" i="15"/>
  <c r="AJ223" i="16"/>
  <c r="J90" i="16"/>
  <c r="N90" i="15"/>
  <c r="AX13" i="15"/>
  <c r="AS13" i="15"/>
  <c r="AG204" i="16"/>
  <c r="AE203" i="16"/>
  <c r="AG212" i="16"/>
  <c r="AG244" i="16"/>
  <c r="AE185" i="16"/>
  <c r="AG186" i="16"/>
  <c r="G30" i="16"/>
  <c r="I29" i="15"/>
  <c r="I28" i="15" s="1"/>
  <c r="M30" i="15"/>
  <c r="M29" i="15" s="1"/>
  <c r="M28" i="15" s="1"/>
  <c r="BD13" i="15"/>
  <c r="L117" i="16" l="1"/>
  <c r="N119" i="16"/>
  <c r="N117" i="16" s="1"/>
  <c r="BP29" i="16"/>
  <c r="AR30" i="16"/>
  <c r="BJ7" i="13"/>
  <c r="BJ16" i="13" s="1"/>
  <c r="AE234" i="15"/>
  <c r="AE232" i="15" s="1"/>
  <c r="AJ117" i="15"/>
  <c r="AJ114" i="15" s="1"/>
  <c r="AE117" i="16"/>
  <c r="AG114" i="15"/>
  <c r="AJ213" i="15"/>
  <c r="AJ211" i="15" s="1"/>
  <c r="AJ210" i="15" s="1"/>
  <c r="AJ209" i="15" s="1"/>
  <c r="AJ207" i="15" s="1"/>
  <c r="AE213" i="16"/>
  <c r="AG211" i="15"/>
  <c r="AG210" i="15" s="1"/>
  <c r="AG209" i="15" s="1"/>
  <c r="AG207" i="15" s="1"/>
  <c r="AS29" i="15" s="1"/>
  <c r="AX29" i="15" s="1"/>
  <c r="AZ29" i="15" s="1"/>
  <c r="AE241" i="16"/>
  <c r="AJ241" i="15"/>
  <c r="AJ235" i="15" s="1"/>
  <c r="AG235" i="15"/>
  <c r="AB10" i="14"/>
  <c r="AB258" i="14" s="1"/>
  <c r="AB112" i="15"/>
  <c r="BD8" i="14"/>
  <c r="BD23" i="14" s="1"/>
  <c r="AI258" i="13"/>
  <c r="AI170" i="16"/>
  <c r="AI110" i="14"/>
  <c r="AU22" i="15"/>
  <c r="AJ14" i="14"/>
  <c r="AJ12" i="14" s="1"/>
  <c r="AJ10" i="14" s="1"/>
  <c r="AJ8" i="14" s="1"/>
  <c r="AV30" i="14"/>
  <c r="AX30" i="14"/>
  <c r="AZ30" i="14" s="1"/>
  <c r="AG141" i="16"/>
  <c r="AJ143" i="16"/>
  <c r="AJ141" i="16" s="1"/>
  <c r="AG52" i="15"/>
  <c r="AE49" i="15"/>
  <c r="AE43" i="15" s="1"/>
  <c r="AB117" i="16"/>
  <c r="AI117" i="15"/>
  <c r="AI114" i="15" s="1"/>
  <c r="AD114" i="15"/>
  <c r="AH249" i="16"/>
  <c r="AH243" i="16" s="1"/>
  <c r="AH234" i="16" s="1"/>
  <c r="AH232" i="16" s="1"/>
  <c r="AA243" i="16"/>
  <c r="AA234" i="16" s="1"/>
  <c r="AA232" i="16" s="1"/>
  <c r="BO29" i="16" s="1"/>
  <c r="G95" i="16"/>
  <c r="I93" i="15"/>
  <c r="M95" i="15"/>
  <c r="M93" i="15" s="1"/>
  <c r="M85" i="15" s="1"/>
  <c r="AJ97" i="16"/>
  <c r="BO22" i="14"/>
  <c r="BI11" i="14" s="1"/>
  <c r="AG224" i="15"/>
  <c r="AE222" i="15"/>
  <c r="AE220" i="15" s="1"/>
  <c r="AA211" i="16"/>
  <c r="AA210" i="16" s="1"/>
  <c r="AA209" i="16" s="1"/>
  <c r="AH212" i="16"/>
  <c r="AH211" i="16" s="1"/>
  <c r="AH210" i="16" s="1"/>
  <c r="AH209" i="16" s="1"/>
  <c r="AH207" i="16" s="1"/>
  <c r="BI14" i="16"/>
  <c r="D54" i="20"/>
  <c r="L51" i="16"/>
  <c r="N53" i="16"/>
  <c r="N51" i="16" s="1"/>
  <c r="I55" i="16"/>
  <c r="G54" i="16"/>
  <c r="G48" i="15"/>
  <c r="I50" i="15"/>
  <c r="AD207" i="16"/>
  <c r="AR29" i="16" s="1"/>
  <c r="AW29" i="16" s="1"/>
  <c r="AY29" i="16" s="1"/>
  <c r="BP27" i="16"/>
  <c r="E51" i="20" s="1"/>
  <c r="AD39" i="16"/>
  <c r="AB35" i="16"/>
  <c r="G68" i="16"/>
  <c r="I66" i="15"/>
  <c r="M68" i="15"/>
  <c r="M66" i="15" s="1"/>
  <c r="N70" i="16"/>
  <c r="N69" i="16" s="1"/>
  <c r="L69" i="16"/>
  <c r="AE99" i="16"/>
  <c r="AJ99" i="15"/>
  <c r="AJ96" i="15" s="1"/>
  <c r="AG96" i="15"/>
  <c r="I59" i="16"/>
  <c r="G57" i="16"/>
  <c r="J14" i="16"/>
  <c r="N14" i="15"/>
  <c r="N10" i="15" s="1"/>
  <c r="L10" i="15"/>
  <c r="AS16" i="15" s="1"/>
  <c r="AV16" i="15" s="1"/>
  <c r="N37" i="16"/>
  <c r="N35" i="16" s="1"/>
  <c r="N28" i="16" s="1"/>
  <c r="L35" i="16"/>
  <c r="L28" i="16" s="1"/>
  <c r="AS9" i="16" s="1"/>
  <c r="AV9" i="16" s="1"/>
  <c r="AX9" i="16"/>
  <c r="AZ9" i="16" s="1"/>
  <c r="AB14" i="15"/>
  <c r="AJ245" i="15"/>
  <c r="AJ243" i="15" s="1"/>
  <c r="AE245" i="16"/>
  <c r="AG243" i="15"/>
  <c r="AG234" i="15" s="1"/>
  <c r="AG232" i="15" s="1"/>
  <c r="BP28" i="14"/>
  <c r="BP25" i="14" s="1"/>
  <c r="BJ12" i="14" s="1"/>
  <c r="AD193" i="14"/>
  <c r="AR28" i="14" s="1"/>
  <c r="AB203" i="15"/>
  <c r="AB194" i="15" s="1"/>
  <c r="AB193" i="15" s="1"/>
  <c r="AD204" i="15"/>
  <c r="AG198" i="15"/>
  <c r="AE195" i="15"/>
  <c r="AE194" i="15" s="1"/>
  <c r="AE193" i="15" s="1"/>
  <c r="AV28" i="14"/>
  <c r="AX28" i="14"/>
  <c r="AZ28" i="14" s="1"/>
  <c r="Y196" i="16"/>
  <c r="BO26" i="15"/>
  <c r="AH196" i="15"/>
  <c r="AH195" i="15" s="1"/>
  <c r="AH194" i="15" s="1"/>
  <c r="AH193" i="15" s="1"/>
  <c r="AA195" i="15"/>
  <c r="AA194" i="15" s="1"/>
  <c r="AJ183" i="15"/>
  <c r="AE183" i="16"/>
  <c r="AG259" i="15"/>
  <c r="AG176" i="15"/>
  <c r="AG170" i="15" s="1"/>
  <c r="AS27" i="15" s="1"/>
  <c r="AV27" i="15" s="1"/>
  <c r="AA177" i="15"/>
  <c r="Y176" i="15"/>
  <c r="Y170" i="15" s="1"/>
  <c r="AE110" i="15"/>
  <c r="Y1" i="13"/>
  <c r="Y145" i="15"/>
  <c r="Y110" i="15" s="1"/>
  <c r="AR32" i="12"/>
  <c r="AU32" i="12" s="1"/>
  <c r="AE162" i="16"/>
  <c r="AJ162" i="15"/>
  <c r="AJ157" i="15" s="1"/>
  <c r="AJ155" i="15" s="1"/>
  <c r="AJ145" i="15" s="1"/>
  <c r="AG157" i="15"/>
  <c r="AG155" i="15" s="1"/>
  <c r="AG145" i="15" s="1"/>
  <c r="AH160" i="15"/>
  <c r="AH157" i="15" s="1"/>
  <c r="Y160" i="16"/>
  <c r="AA157" i="15"/>
  <c r="AA155" i="15" s="1"/>
  <c r="Y156" i="16"/>
  <c r="BO18" i="15"/>
  <c r="AH156" i="15"/>
  <c r="L85" i="14"/>
  <c r="L19" i="14" s="1"/>
  <c r="L17" i="14" s="1"/>
  <c r="AX16" i="14"/>
  <c r="AU16" i="14"/>
  <c r="N85" i="14"/>
  <c r="N19" i="14" s="1"/>
  <c r="N17" i="14" s="1"/>
  <c r="AS25" i="14"/>
  <c r="AV25" i="14" s="1"/>
  <c r="AD145" i="14"/>
  <c r="AD110" i="14" s="1"/>
  <c r="AR26" i="14" s="1"/>
  <c r="AU26" i="14" s="1"/>
  <c r="BP16" i="14"/>
  <c r="BP15" i="14" s="1"/>
  <c r="BJ10" i="14" s="1"/>
  <c r="AD152" i="15"/>
  <c r="AB149" i="15"/>
  <c r="AB147" i="15" s="1"/>
  <c r="AB145" i="15" s="1"/>
  <c r="AA110" i="14"/>
  <c r="Y151" i="16"/>
  <c r="AA149" i="15"/>
  <c r="AA147" i="15" s="1"/>
  <c r="AH151" i="15"/>
  <c r="AH149" i="15" s="1"/>
  <c r="AH147" i="15" s="1"/>
  <c r="BO15" i="14"/>
  <c r="BI10" i="14" s="1"/>
  <c r="AS32" i="13"/>
  <c r="AV32" i="13" s="1"/>
  <c r="Y126" i="16"/>
  <c r="BO19" i="15"/>
  <c r="AH126" i="15"/>
  <c r="AH123" i="15" s="1"/>
  <c r="AH112" i="15" s="1"/>
  <c r="AA123" i="15"/>
  <c r="AG8" i="13"/>
  <c r="AC1" i="13" s="1"/>
  <c r="AI124" i="15"/>
  <c r="AI123" i="15" s="1"/>
  <c r="AB124" i="16"/>
  <c r="AD123" i="15"/>
  <c r="AB105" i="15"/>
  <c r="AB104" i="15" s="1"/>
  <c r="AD106" i="15"/>
  <c r="AR25" i="14"/>
  <c r="AW25" i="14" s="1"/>
  <c r="BP13" i="14"/>
  <c r="AD97" i="15"/>
  <c r="AB96" i="15"/>
  <c r="AB90" i="15" s="1"/>
  <c r="AG92" i="15"/>
  <c r="AE91" i="15"/>
  <c r="AE90" i="15" s="1"/>
  <c r="AE63" i="15" s="1"/>
  <c r="AW32" i="13"/>
  <c r="AY32" i="13"/>
  <c r="AZ35" i="13" s="1"/>
  <c r="AD84" i="15"/>
  <c r="AB83" i="15"/>
  <c r="AI63" i="14"/>
  <c r="AI12" i="14" s="1"/>
  <c r="AR24" i="14"/>
  <c r="BP14" i="14"/>
  <c r="BJ9" i="14" s="1"/>
  <c r="BP12" i="14"/>
  <c r="BP9" i="14" s="1"/>
  <c r="AD63" i="14"/>
  <c r="AD12" i="14" s="1"/>
  <c r="AR23" i="14"/>
  <c r="AD79" i="15"/>
  <c r="AB69" i="15"/>
  <c r="AB65" i="15" s="1"/>
  <c r="BI8" i="14"/>
  <c r="AE77" i="16"/>
  <c r="AJ77" i="15"/>
  <c r="AJ69" i="15" s="1"/>
  <c r="AJ65" i="15" s="1"/>
  <c r="AG69" i="15"/>
  <c r="AG65" i="15" s="1"/>
  <c r="Y70" i="16"/>
  <c r="AH70" i="15"/>
  <c r="AH69" i="15" s="1"/>
  <c r="AH65" i="15" s="1"/>
  <c r="AH63" i="15" s="1"/>
  <c r="AA69" i="15"/>
  <c r="AA65" i="15" s="1"/>
  <c r="AJ67" i="16"/>
  <c r="AD66" i="16"/>
  <c r="BP10" i="16" s="1"/>
  <c r="AI59" i="15"/>
  <c r="AI58" i="15" s="1"/>
  <c r="AI57" i="15" s="1"/>
  <c r="AD58" i="15"/>
  <c r="AD57" i="15" s="1"/>
  <c r="AB59" i="16"/>
  <c r="Y43" i="15"/>
  <c r="AB50" i="16"/>
  <c r="AD49" i="15"/>
  <c r="AD43" i="15" s="1"/>
  <c r="AI50" i="15"/>
  <c r="AI49" i="15" s="1"/>
  <c r="AI43" i="15" s="1"/>
  <c r="Y50" i="16"/>
  <c r="AH50" i="15"/>
  <c r="AH49" i="15" s="1"/>
  <c r="AA49" i="15"/>
  <c r="AJ45" i="15"/>
  <c r="AJ44" i="15" s="1"/>
  <c r="AE45" i="16"/>
  <c r="AG44" i="15"/>
  <c r="AH45" i="15"/>
  <c r="AH44" i="15" s="1"/>
  <c r="Y45" i="16"/>
  <c r="AA44" i="15"/>
  <c r="AH35" i="14"/>
  <c r="AH14" i="14" s="1"/>
  <c r="AH12" i="14" s="1"/>
  <c r="AH10" i="14" s="1"/>
  <c r="AH259" i="14"/>
  <c r="BO14" i="14"/>
  <c r="AA14" i="14"/>
  <c r="AA12" i="14" s="1"/>
  <c r="AA41" i="15"/>
  <c r="Y35" i="15"/>
  <c r="Y259" i="15"/>
  <c r="AG35" i="15"/>
  <c r="AS24" i="15" s="1"/>
  <c r="AJ38" i="15"/>
  <c r="AJ35" i="15" s="1"/>
  <c r="AE38" i="16"/>
  <c r="AZ23" i="13"/>
  <c r="AZ32" i="13" s="1"/>
  <c r="AX32" i="13"/>
  <c r="AG14" i="14"/>
  <c r="AG12" i="14" s="1"/>
  <c r="AG10" i="14" s="1"/>
  <c r="AG258" i="14" s="1"/>
  <c r="AS31" i="14" s="1"/>
  <c r="AV31" i="14" s="1"/>
  <c r="AS23" i="14"/>
  <c r="AG23" i="15"/>
  <c r="AE20" i="15"/>
  <c r="AE16" i="15" s="1"/>
  <c r="AJ17" i="16"/>
  <c r="AS22" i="16"/>
  <c r="AI17" i="16"/>
  <c r="AI16" i="16" s="1"/>
  <c r="AD16" i="16"/>
  <c r="AH17" i="16"/>
  <c r="AH16" i="16" s="1"/>
  <c r="BO10" i="16"/>
  <c r="AA16" i="16"/>
  <c r="AX15" i="14"/>
  <c r="AZ15" i="14" s="1"/>
  <c r="AU15" i="14"/>
  <c r="I113" i="15"/>
  <c r="G108" i="15"/>
  <c r="N116" i="16"/>
  <c r="N108" i="16" s="1"/>
  <c r="L108" i="16"/>
  <c r="AS15" i="16" s="1"/>
  <c r="AV15" i="16" s="1"/>
  <c r="AV14" i="13"/>
  <c r="AS17" i="13"/>
  <c r="AV17" i="13" s="1"/>
  <c r="AD258" i="13"/>
  <c r="L8" i="13"/>
  <c r="L121" i="13" s="1"/>
  <c r="L125" i="13" s="1"/>
  <c r="L96" i="15"/>
  <c r="J93" i="15"/>
  <c r="J85" i="15" s="1"/>
  <c r="J19" i="15" s="1"/>
  <c r="J17" i="15" s="1"/>
  <c r="J8" i="15" s="1"/>
  <c r="J121" i="15" s="1"/>
  <c r="J125" i="15" s="1"/>
  <c r="L86" i="15"/>
  <c r="J78" i="16"/>
  <c r="L78" i="16" s="1"/>
  <c r="N78" i="16" s="1"/>
  <c r="L79" i="16"/>
  <c r="N79" i="16" s="1"/>
  <c r="I79" i="16"/>
  <c r="M79" i="16" s="1"/>
  <c r="G78" i="16"/>
  <c r="I78" i="16" s="1"/>
  <c r="M78" i="16" s="1"/>
  <c r="M76" i="15"/>
  <c r="M75" i="15" s="1"/>
  <c r="I75" i="15"/>
  <c r="AR9" i="15" s="1"/>
  <c r="AU9" i="15" s="1"/>
  <c r="G76" i="16"/>
  <c r="AW9" i="15"/>
  <c r="AY9" i="15" s="1"/>
  <c r="I74" i="15"/>
  <c r="G72" i="15"/>
  <c r="G70" i="16"/>
  <c r="I69" i="15"/>
  <c r="M70" i="15"/>
  <c r="M69" i="15" s="1"/>
  <c r="I65" i="15"/>
  <c r="G63" i="15"/>
  <c r="G123" i="15"/>
  <c r="Y258" i="14"/>
  <c r="G8" i="14"/>
  <c r="G121" i="14" s="1"/>
  <c r="G125" i="14" s="1"/>
  <c r="M63" i="14"/>
  <c r="M21" i="14" s="1"/>
  <c r="M19" i="14" s="1"/>
  <c r="M17" i="14" s="1"/>
  <c r="M123" i="14"/>
  <c r="AY17" i="14"/>
  <c r="L123" i="15"/>
  <c r="N62" i="15"/>
  <c r="L60" i="15"/>
  <c r="L21" i="15" s="1"/>
  <c r="J62" i="16"/>
  <c r="I60" i="15"/>
  <c r="G61" i="16"/>
  <c r="M61" i="15"/>
  <c r="M60" i="15" s="1"/>
  <c r="BD17" i="15"/>
  <c r="AR17" i="13"/>
  <c r="AU17" i="13" s="1"/>
  <c r="AU14" i="13"/>
  <c r="AR7" i="14"/>
  <c r="AU7" i="14" s="1"/>
  <c r="I21" i="14"/>
  <c r="I19" i="14" s="1"/>
  <c r="G22" i="15"/>
  <c r="I23" i="15"/>
  <c r="I8" i="13"/>
  <c r="AA258" i="13"/>
  <c r="BO33" i="13" s="1"/>
  <c r="BP24" i="16"/>
  <c r="AR27" i="16"/>
  <c r="AD91" i="16"/>
  <c r="AI92" i="16"/>
  <c r="AI91" i="16" s="1"/>
  <c r="AX26" i="14"/>
  <c r="AE129" i="16"/>
  <c r="AJ129" i="15"/>
  <c r="AJ123" i="15" s="1"/>
  <c r="AG123" i="15"/>
  <c r="J99" i="16"/>
  <c r="L105" i="16"/>
  <c r="AI116" i="16"/>
  <c r="G12" i="16"/>
  <c r="I10" i="15"/>
  <c r="M12" i="15"/>
  <c r="M10" i="15" s="1"/>
  <c r="AZ16" i="14"/>
  <c r="AJ244" i="16"/>
  <c r="AG203" i="16"/>
  <c r="AJ204" i="16"/>
  <c r="AJ203" i="16" s="1"/>
  <c r="AJ186" i="16"/>
  <c r="AJ185" i="16" s="1"/>
  <c r="AG185" i="16"/>
  <c r="AJ212" i="16"/>
  <c r="L90" i="16"/>
  <c r="G29" i="16"/>
  <c r="G28" i="16" s="1"/>
  <c r="I30" i="16"/>
  <c r="AZ13" i="15"/>
  <c r="I86" i="16"/>
  <c r="AJ196" i="16"/>
  <c r="AJ181" i="16"/>
  <c r="AG112" i="15" l="1"/>
  <c r="AG110" i="15" s="1"/>
  <c r="AS26" i="15" s="1"/>
  <c r="BJ13" i="16"/>
  <c r="E53" i="20"/>
  <c r="AW30" i="16"/>
  <c r="AY30" i="16" s="1"/>
  <c r="AU30" i="16"/>
  <c r="AJ234" i="15"/>
  <c r="AJ232" i="15" s="1"/>
  <c r="AB8" i="14"/>
  <c r="AJ112" i="15"/>
  <c r="AG241" i="16"/>
  <c r="AE235" i="16"/>
  <c r="AG213" i="16"/>
  <c r="AE211" i="16"/>
  <c r="AE210" i="16" s="1"/>
  <c r="AE209" i="16" s="1"/>
  <c r="AE207" i="16" s="1"/>
  <c r="AG117" i="16"/>
  <c r="AE114" i="16"/>
  <c r="AB110" i="15"/>
  <c r="AI112" i="15"/>
  <c r="AW14" i="15"/>
  <c r="AY14" i="15" s="1"/>
  <c r="AX27" i="15"/>
  <c r="AZ27" i="15" s="1"/>
  <c r="AI10" i="14"/>
  <c r="AI258" i="14" s="1"/>
  <c r="AX25" i="14"/>
  <c r="AZ25" i="14" s="1"/>
  <c r="AE14" i="15"/>
  <c r="AE12" i="15" s="1"/>
  <c r="AE10" i="15" s="1"/>
  <c r="AE8" i="15" s="1"/>
  <c r="AW17" i="14"/>
  <c r="AF258" i="14"/>
  <c r="BQ33" i="14" s="1"/>
  <c r="N8" i="14"/>
  <c r="N121" i="14" s="1"/>
  <c r="N125" i="14" s="1"/>
  <c r="AS14" i="14"/>
  <c r="AS17" i="14" s="1"/>
  <c r="AV17" i="14" s="1"/>
  <c r="AG99" i="16"/>
  <c r="AE96" i="16"/>
  <c r="I85" i="15"/>
  <c r="BD19" i="15"/>
  <c r="AE52" i="16"/>
  <c r="AJ52" i="15"/>
  <c r="AJ49" i="15" s="1"/>
  <c r="AG49" i="15"/>
  <c r="AG43" i="15" s="1"/>
  <c r="L14" i="16"/>
  <c r="J10" i="16"/>
  <c r="AI39" i="16"/>
  <c r="AI35" i="16" s="1"/>
  <c r="AD35" i="16"/>
  <c r="BO27" i="16"/>
  <c r="D51" i="20" s="1"/>
  <c r="AA207" i="16"/>
  <c r="AJ43" i="15"/>
  <c r="AU25" i="14"/>
  <c r="AR22" i="16"/>
  <c r="AW22" i="16" s="1"/>
  <c r="AY22" i="16" s="1"/>
  <c r="G50" i="16"/>
  <c r="M50" i="15"/>
  <c r="M48" i="15" s="1"/>
  <c r="I48" i="15"/>
  <c r="BI13" i="16"/>
  <c r="D53" i="20"/>
  <c r="AD117" i="16"/>
  <c r="AB114" i="16"/>
  <c r="I57" i="16"/>
  <c r="M59" i="16"/>
  <c r="M57" i="16" s="1"/>
  <c r="I68" i="16"/>
  <c r="G66" i="16"/>
  <c r="M55" i="16"/>
  <c r="M54" i="16" s="1"/>
  <c r="I54" i="16"/>
  <c r="AJ224" i="15"/>
  <c r="AJ222" i="15" s="1"/>
  <c r="AJ220" i="15" s="1"/>
  <c r="AE224" i="16"/>
  <c r="AG222" i="15"/>
  <c r="AG220" i="15" s="1"/>
  <c r="I95" i="16"/>
  <c r="G93" i="16"/>
  <c r="G85" i="16" s="1"/>
  <c r="Y14" i="15"/>
  <c r="Y12" i="15" s="1"/>
  <c r="Y10" i="15" s="1"/>
  <c r="Y8" i="15" s="1"/>
  <c r="AS30" i="15"/>
  <c r="AX30" i="15" s="1"/>
  <c r="AZ30" i="15" s="1"/>
  <c r="AG245" i="16"/>
  <c r="AE243" i="16"/>
  <c r="AU28" i="14"/>
  <c r="AW28" i="14"/>
  <c r="AY28" i="14" s="1"/>
  <c r="AD203" i="15"/>
  <c r="AD194" i="15" s="1"/>
  <c r="AB204" i="16"/>
  <c r="AI204" i="15"/>
  <c r="AI203" i="15" s="1"/>
  <c r="AI194" i="15" s="1"/>
  <c r="AI193" i="15" s="1"/>
  <c r="AE198" i="16"/>
  <c r="AJ198" i="15"/>
  <c r="AJ195" i="15" s="1"/>
  <c r="AJ194" i="15" s="1"/>
  <c r="AJ193" i="15" s="1"/>
  <c r="AG195" i="15"/>
  <c r="AG194" i="15" s="1"/>
  <c r="AG193" i="15" s="1"/>
  <c r="AS28" i="15" s="1"/>
  <c r="AA196" i="16"/>
  <c r="Y195" i="16"/>
  <c r="Y194" i="16" s="1"/>
  <c r="Y193" i="16" s="1"/>
  <c r="AA193" i="15"/>
  <c r="BO28" i="15"/>
  <c r="BO25" i="15" s="1"/>
  <c r="BI12" i="15" s="1"/>
  <c r="AJ259" i="15"/>
  <c r="AJ176" i="15"/>
  <c r="AJ170" i="15" s="1"/>
  <c r="AG183" i="16"/>
  <c r="AE259" i="16"/>
  <c r="AE176" i="16"/>
  <c r="AE170" i="16" s="1"/>
  <c r="Y177" i="16"/>
  <c r="AA176" i="15"/>
  <c r="AA170" i="15" s="1"/>
  <c r="BO24" i="15" s="1"/>
  <c r="BO23" i="15"/>
  <c r="AH177" i="15"/>
  <c r="AH176" i="15" s="1"/>
  <c r="AH170" i="15" s="1"/>
  <c r="AW27" i="16"/>
  <c r="AY27" i="16" s="1"/>
  <c r="AU27" i="16"/>
  <c r="AV35" i="12"/>
  <c r="AU35" i="12"/>
  <c r="AG162" i="16"/>
  <c r="AE157" i="16"/>
  <c r="AE155" i="16" s="1"/>
  <c r="AE145" i="16" s="1"/>
  <c r="AJ110" i="15"/>
  <c r="AW26" i="14"/>
  <c r="AY26" i="14" s="1"/>
  <c r="AA10" i="14"/>
  <c r="AA8" i="14" s="1"/>
  <c r="U1" i="14" s="1"/>
  <c r="Y157" i="16"/>
  <c r="Y155" i="16" s="1"/>
  <c r="AA160" i="16"/>
  <c r="AH155" i="15"/>
  <c r="AH145" i="15" s="1"/>
  <c r="AH110" i="15" s="1"/>
  <c r="AA156" i="16"/>
  <c r="AD10" i="14"/>
  <c r="AD8" i="14" s="1"/>
  <c r="AB152" i="16"/>
  <c r="AI152" i="15"/>
  <c r="AI149" i="15" s="1"/>
  <c r="AI147" i="15" s="1"/>
  <c r="AI145" i="15" s="1"/>
  <c r="AD149" i="15"/>
  <c r="AD147" i="15" s="1"/>
  <c r="AA151" i="16"/>
  <c r="Y149" i="16"/>
  <c r="Y147" i="16" s="1"/>
  <c r="AA145" i="15"/>
  <c r="BO16" i="15"/>
  <c r="AA126" i="16"/>
  <c r="Y123" i="16"/>
  <c r="Y112" i="16" s="1"/>
  <c r="BO17" i="15"/>
  <c r="AA112" i="15"/>
  <c r="AD124" i="16"/>
  <c r="AB123" i="16"/>
  <c r="BP17" i="15"/>
  <c r="AD112" i="15"/>
  <c r="AB106" i="16"/>
  <c r="AD105" i="15"/>
  <c r="AD104" i="15" s="1"/>
  <c r="AI106" i="15"/>
  <c r="AI105" i="15" s="1"/>
  <c r="AI104" i="15" s="1"/>
  <c r="BJ8" i="14"/>
  <c r="BJ7" i="14" s="1"/>
  <c r="BJ16" i="14" s="1"/>
  <c r="AJ258" i="14"/>
  <c r="AB97" i="16"/>
  <c r="AI97" i="15"/>
  <c r="AI96" i="15" s="1"/>
  <c r="AI90" i="15" s="1"/>
  <c r="AD96" i="15"/>
  <c r="AD90" i="15" s="1"/>
  <c r="AE92" i="16"/>
  <c r="AJ92" i="15"/>
  <c r="AJ91" i="15" s="1"/>
  <c r="AJ90" i="15" s="1"/>
  <c r="AJ63" i="15" s="1"/>
  <c r="AG91" i="15"/>
  <c r="AG90" i="15" s="1"/>
  <c r="AG63" i="15" s="1"/>
  <c r="AY35" i="13"/>
  <c r="AU24" i="14"/>
  <c r="AW24" i="14"/>
  <c r="AY24" i="14" s="1"/>
  <c r="AB84" i="16"/>
  <c r="AI84" i="15"/>
  <c r="AI83" i="15" s="1"/>
  <c r="AD83" i="15"/>
  <c r="AB63" i="15"/>
  <c r="AB12" i="15" s="1"/>
  <c r="BP8" i="14"/>
  <c r="BP7" i="14" s="1"/>
  <c r="BP32" i="14" s="1"/>
  <c r="AU23" i="14"/>
  <c r="AW23" i="14"/>
  <c r="AY23" i="14" s="1"/>
  <c r="AB79" i="16"/>
  <c r="AI79" i="15"/>
  <c r="AI69" i="15" s="1"/>
  <c r="AI65" i="15" s="1"/>
  <c r="AD69" i="15"/>
  <c r="AD65" i="15" s="1"/>
  <c r="AG77" i="16"/>
  <c r="AE69" i="16"/>
  <c r="AE65" i="16" s="1"/>
  <c r="AG8" i="14"/>
  <c r="AA70" i="16"/>
  <c r="Y69" i="16"/>
  <c r="Y65" i="16" s="1"/>
  <c r="Y63" i="16" s="1"/>
  <c r="AA63" i="15"/>
  <c r="BO12" i="15"/>
  <c r="BO9" i="15" s="1"/>
  <c r="AI66" i="16"/>
  <c r="AI14" i="15"/>
  <c r="AB58" i="16"/>
  <c r="AB57" i="16" s="1"/>
  <c r="AD59" i="16"/>
  <c r="AA43" i="15"/>
  <c r="BO13" i="15" s="1"/>
  <c r="AY25" i="14"/>
  <c r="AD50" i="16"/>
  <c r="AB49" i="16"/>
  <c r="AB43" i="16" s="1"/>
  <c r="AD14" i="15"/>
  <c r="AA50" i="16"/>
  <c r="Y49" i="16"/>
  <c r="AH43" i="15"/>
  <c r="AG45" i="16"/>
  <c r="AE44" i="16"/>
  <c r="Y44" i="16"/>
  <c r="AA45" i="16"/>
  <c r="BI9" i="14"/>
  <c r="BI7" i="14" s="1"/>
  <c r="BI16" i="14" s="1"/>
  <c r="BO8" i="14"/>
  <c r="BO7" i="14" s="1"/>
  <c r="BO32" i="14" s="1"/>
  <c r="AH258" i="14"/>
  <c r="AH8" i="14"/>
  <c r="Y41" i="16"/>
  <c r="AH41" i="15"/>
  <c r="BO31" i="15"/>
  <c r="BI15" i="15" s="1"/>
  <c r="AA35" i="15"/>
  <c r="AA259" i="15"/>
  <c r="AE35" i="16"/>
  <c r="AG38" i="16"/>
  <c r="AX24" i="15"/>
  <c r="AZ24" i="15" s="1"/>
  <c r="AV24" i="15"/>
  <c r="AX23" i="14"/>
  <c r="AZ23" i="14" s="1"/>
  <c r="AV23" i="14"/>
  <c r="AE23" i="16"/>
  <c r="AJ23" i="15"/>
  <c r="AJ20" i="15" s="1"/>
  <c r="AJ16" i="15" s="1"/>
  <c r="AG20" i="15"/>
  <c r="AG16" i="15" s="1"/>
  <c r="AV22" i="16"/>
  <c r="AX22" i="16"/>
  <c r="AZ22" i="16" s="1"/>
  <c r="AS32" i="14"/>
  <c r="AV32" i="14" s="1"/>
  <c r="E34" i="20"/>
  <c r="D34" i="20"/>
  <c r="G113" i="16"/>
  <c r="M113" i="15"/>
  <c r="M108" i="15" s="1"/>
  <c r="BD20" i="15"/>
  <c r="I108" i="15"/>
  <c r="AR15" i="15" s="1"/>
  <c r="AZ17" i="14"/>
  <c r="AX17" i="14"/>
  <c r="J96" i="16"/>
  <c r="N96" i="15"/>
  <c r="N93" i="15" s="1"/>
  <c r="L93" i="15"/>
  <c r="AX14" i="15" s="1"/>
  <c r="AZ14" i="15" s="1"/>
  <c r="BP33" i="13"/>
  <c r="AR31" i="13"/>
  <c r="L8" i="14"/>
  <c r="L121" i="14" s="1"/>
  <c r="L125" i="14" s="1"/>
  <c r="J86" i="16"/>
  <c r="N86" i="15"/>
  <c r="G75" i="16"/>
  <c r="I76" i="16"/>
  <c r="AW9" i="16" s="1"/>
  <c r="AY9" i="16" s="1"/>
  <c r="G74" i="16"/>
  <c r="I72" i="15"/>
  <c r="M74" i="15"/>
  <c r="M72" i="15" s="1"/>
  <c r="I70" i="16"/>
  <c r="G69" i="16"/>
  <c r="AE258" i="14"/>
  <c r="M8" i="14"/>
  <c r="M121" i="14" s="1"/>
  <c r="M125" i="14" s="1"/>
  <c r="I63" i="15"/>
  <c r="G65" i="16"/>
  <c r="M65" i="15"/>
  <c r="I123" i="15"/>
  <c r="BD22" i="15"/>
  <c r="G21" i="15"/>
  <c r="G19" i="15" s="1"/>
  <c r="G17" i="15" s="1"/>
  <c r="N123" i="15"/>
  <c r="N60" i="15"/>
  <c r="N21" i="15" s="1"/>
  <c r="J60" i="16"/>
  <c r="J21" i="16" s="1"/>
  <c r="L62" i="16"/>
  <c r="J123" i="16"/>
  <c r="G60" i="16"/>
  <c r="I61" i="16"/>
  <c r="I121" i="13"/>
  <c r="I125" i="13" s="1"/>
  <c r="K1" i="13"/>
  <c r="J5" i="13"/>
  <c r="AR14" i="14"/>
  <c r="I17" i="14"/>
  <c r="G23" i="16"/>
  <c r="AW7" i="15"/>
  <c r="AY7" i="15" s="1"/>
  <c r="BD12" i="15"/>
  <c r="BD10" i="15" s="1"/>
  <c r="BD9" i="15" s="1"/>
  <c r="M23" i="15"/>
  <c r="M22" i="15" s="1"/>
  <c r="I22" i="15"/>
  <c r="L99" i="16"/>
  <c r="N105" i="16"/>
  <c r="N99" i="16" s="1"/>
  <c r="AG129" i="16"/>
  <c r="AE123" i="16"/>
  <c r="AE112" i="16" s="1"/>
  <c r="AZ26" i="14"/>
  <c r="BP22" i="16"/>
  <c r="BJ11" i="16" s="1"/>
  <c r="E48" i="20"/>
  <c r="E46" i="20" s="1"/>
  <c r="BD7" i="15"/>
  <c r="AR16" i="15"/>
  <c r="G10" i="16"/>
  <c r="I12" i="16"/>
  <c r="M86" i="16"/>
  <c r="I29" i="16"/>
  <c r="I28" i="16" s="1"/>
  <c r="M30" i="16"/>
  <c r="M29" i="16" s="1"/>
  <c r="M28" i="16" s="1"/>
  <c r="BD13" i="16"/>
  <c r="D13" i="20" s="1"/>
  <c r="N90" i="16"/>
  <c r="AX13" i="16"/>
  <c r="AS13" i="16"/>
  <c r="AE234" i="16" l="1"/>
  <c r="AE232" i="16" s="1"/>
  <c r="AJ213" i="16"/>
  <c r="AJ211" i="16" s="1"/>
  <c r="AJ210" i="16" s="1"/>
  <c r="AJ209" i="16" s="1"/>
  <c r="AJ207" i="16" s="1"/>
  <c r="AG211" i="16"/>
  <c r="AG210" i="16" s="1"/>
  <c r="AG209" i="16" s="1"/>
  <c r="AG207" i="16" s="1"/>
  <c r="AS29" i="16" s="1"/>
  <c r="AX29" i="16" s="1"/>
  <c r="AZ29" i="16" s="1"/>
  <c r="AJ117" i="16"/>
  <c r="AJ114" i="16" s="1"/>
  <c r="AG114" i="16"/>
  <c r="AJ241" i="16"/>
  <c r="AJ235" i="16" s="1"/>
  <c r="AG235" i="16"/>
  <c r="AV30" i="15"/>
  <c r="AB10" i="15"/>
  <c r="AB8" i="15" s="1"/>
  <c r="AI110" i="15"/>
  <c r="AY17" i="15"/>
  <c r="AV14" i="14"/>
  <c r="AB14" i="16"/>
  <c r="BP13" i="15"/>
  <c r="AI8" i="14"/>
  <c r="AB112" i="16"/>
  <c r="AU22" i="16"/>
  <c r="AJ14" i="15"/>
  <c r="N85" i="15"/>
  <c r="N19" i="15" s="1"/>
  <c r="N17" i="15" s="1"/>
  <c r="N8" i="15" s="1"/>
  <c r="N121" i="15" s="1"/>
  <c r="N125" i="15" s="1"/>
  <c r="BD8" i="15"/>
  <c r="BD23" i="15" s="1"/>
  <c r="AG224" i="16"/>
  <c r="AE222" i="16"/>
  <c r="AE220" i="16" s="1"/>
  <c r="AG52" i="16"/>
  <c r="AE49" i="16"/>
  <c r="AE43" i="16" s="1"/>
  <c r="AJ99" i="16"/>
  <c r="AJ96" i="16" s="1"/>
  <c r="AG96" i="16"/>
  <c r="I50" i="16"/>
  <c r="G48" i="16"/>
  <c r="BO22" i="15"/>
  <c r="BI11" i="15" s="1"/>
  <c r="I93" i="16"/>
  <c r="M95" i="16"/>
  <c r="M93" i="16" s="1"/>
  <c r="M85" i="16" s="1"/>
  <c r="AI117" i="16"/>
  <c r="AI114" i="16" s="1"/>
  <c r="AD114" i="16"/>
  <c r="I66" i="16"/>
  <c r="M68" i="16"/>
  <c r="M66" i="16" s="1"/>
  <c r="N14" i="16"/>
  <c r="N10" i="16" s="1"/>
  <c r="L10" i="16"/>
  <c r="AJ245" i="16"/>
  <c r="AJ243" i="16" s="1"/>
  <c r="AJ234" i="16" s="1"/>
  <c r="AJ232" i="16" s="1"/>
  <c r="AG243" i="16"/>
  <c r="AG234" i="16" s="1"/>
  <c r="AG232" i="16" s="1"/>
  <c r="BP28" i="15"/>
  <c r="BP25" i="15" s="1"/>
  <c r="BJ12" i="15" s="1"/>
  <c r="AD193" i="15"/>
  <c r="AR28" i="15" s="1"/>
  <c r="AD204" i="16"/>
  <c r="AB203" i="16"/>
  <c r="AB194" i="16" s="1"/>
  <c r="AB193" i="16" s="1"/>
  <c r="AG198" i="16"/>
  <c r="AE195" i="16"/>
  <c r="AE194" i="16" s="1"/>
  <c r="AE193" i="16" s="1"/>
  <c r="AX28" i="15"/>
  <c r="AZ28" i="15" s="1"/>
  <c r="AV28" i="15"/>
  <c r="BO26" i="16"/>
  <c r="AH196" i="16"/>
  <c r="AH195" i="16" s="1"/>
  <c r="AH194" i="16" s="1"/>
  <c r="AH193" i="16" s="1"/>
  <c r="AA195" i="16"/>
  <c r="AA194" i="16" s="1"/>
  <c r="AJ183" i="16"/>
  <c r="AG259" i="16"/>
  <c r="AG176" i="16"/>
  <c r="AG170" i="16" s="1"/>
  <c r="AS27" i="16" s="1"/>
  <c r="AV27" i="16" s="1"/>
  <c r="AA177" i="16"/>
  <c r="Y176" i="16"/>
  <c r="Y170" i="16" s="1"/>
  <c r="AJ162" i="16"/>
  <c r="AJ157" i="16" s="1"/>
  <c r="AJ155" i="16" s="1"/>
  <c r="AJ145" i="16" s="1"/>
  <c r="AG157" i="16"/>
  <c r="AG155" i="16" s="1"/>
  <c r="AG145" i="16" s="1"/>
  <c r="AE110" i="16"/>
  <c r="Y1" i="14"/>
  <c r="Y145" i="16"/>
  <c r="Y110" i="16" s="1"/>
  <c r="AA157" i="16"/>
  <c r="AA155" i="16" s="1"/>
  <c r="AH160" i="16"/>
  <c r="AH157" i="16" s="1"/>
  <c r="AC1" i="14"/>
  <c r="AD258" i="14"/>
  <c r="AR31" i="14" s="1"/>
  <c r="H10" i="18"/>
  <c r="I10" i="18" s="1"/>
  <c r="BO18" i="16"/>
  <c r="D42" i="20" s="1"/>
  <c r="AH156" i="16"/>
  <c r="AX16" i="15"/>
  <c r="AZ16" i="15" s="1"/>
  <c r="AU16" i="15"/>
  <c r="L85" i="15"/>
  <c r="L19" i="15" s="1"/>
  <c r="L17" i="15" s="1"/>
  <c r="L8" i="15" s="1"/>
  <c r="L121" i="15" s="1"/>
  <c r="L125" i="15" s="1"/>
  <c r="AD152" i="16"/>
  <c r="AB149" i="16"/>
  <c r="AB147" i="16" s="1"/>
  <c r="AB145" i="16" s="1"/>
  <c r="AB110" i="16" s="1"/>
  <c r="AD145" i="15"/>
  <c r="AD110" i="15" s="1"/>
  <c r="AR26" i="15" s="1"/>
  <c r="AU26" i="15" s="1"/>
  <c r="BP16" i="15"/>
  <c r="BP15" i="15" s="1"/>
  <c r="BJ10" i="15" s="1"/>
  <c r="AA110" i="15"/>
  <c r="AA149" i="16"/>
  <c r="AA147" i="16" s="1"/>
  <c r="AH151" i="16"/>
  <c r="AH149" i="16" s="1"/>
  <c r="AH147" i="16" s="1"/>
  <c r="BO15" i="15"/>
  <c r="BI10" i="15" s="1"/>
  <c r="BO19" i="16"/>
  <c r="D43" i="20" s="1"/>
  <c r="AH126" i="16"/>
  <c r="AH123" i="16" s="1"/>
  <c r="AH112" i="16" s="1"/>
  <c r="AA123" i="16"/>
  <c r="AX26" i="15"/>
  <c r="AZ26" i="15" s="1"/>
  <c r="AV26" i="15"/>
  <c r="AI124" i="16"/>
  <c r="AI123" i="16" s="1"/>
  <c r="AI112" i="16" s="1"/>
  <c r="AD123" i="16"/>
  <c r="AD106" i="16"/>
  <c r="AB105" i="16"/>
  <c r="AB104" i="16" s="1"/>
  <c r="AR25" i="15"/>
  <c r="AW25" i="15" s="1"/>
  <c r="AD97" i="16"/>
  <c r="AB96" i="16"/>
  <c r="AB90" i="16" s="1"/>
  <c r="AS25" i="15"/>
  <c r="AG92" i="16"/>
  <c r="AE91" i="16"/>
  <c r="AE90" i="16" s="1"/>
  <c r="AE63" i="16" s="1"/>
  <c r="AJ12" i="15"/>
  <c r="AJ10" i="15" s="1"/>
  <c r="AJ8" i="15" s="1"/>
  <c r="AD84" i="16"/>
  <c r="AB83" i="16"/>
  <c r="BP14" i="15"/>
  <c r="BJ9" i="15" s="1"/>
  <c r="AR24" i="15"/>
  <c r="AI63" i="15"/>
  <c r="AI12" i="15" s="1"/>
  <c r="AW32" i="14"/>
  <c r="AY32" i="14"/>
  <c r="AY35" i="14" s="1"/>
  <c r="BP12" i="15"/>
  <c r="BP9" i="15" s="1"/>
  <c r="AD63" i="15"/>
  <c r="AD12" i="15" s="1"/>
  <c r="AR23" i="15"/>
  <c r="AD79" i="16"/>
  <c r="AB69" i="16"/>
  <c r="AB65" i="16" s="1"/>
  <c r="AJ77" i="16"/>
  <c r="AJ69" i="16" s="1"/>
  <c r="AJ65" i="16" s="1"/>
  <c r="AG69" i="16"/>
  <c r="AG65" i="16" s="1"/>
  <c r="BI8" i="15"/>
  <c r="AH70" i="16"/>
  <c r="AH69" i="16" s="1"/>
  <c r="AH65" i="16" s="1"/>
  <c r="AH63" i="16" s="1"/>
  <c r="AA69" i="16"/>
  <c r="AA65" i="16" s="1"/>
  <c r="AX32" i="14"/>
  <c r="AD58" i="16"/>
  <c r="AD57" i="16" s="1"/>
  <c r="AI59" i="16"/>
  <c r="AI58" i="16" s="1"/>
  <c r="AI57" i="16" s="1"/>
  <c r="AD49" i="16"/>
  <c r="AD43" i="16" s="1"/>
  <c r="AI50" i="16"/>
  <c r="AI49" i="16" s="1"/>
  <c r="AI43" i="16" s="1"/>
  <c r="AH50" i="16"/>
  <c r="AH49" i="16" s="1"/>
  <c r="AA49" i="16"/>
  <c r="Y43" i="16"/>
  <c r="AJ45" i="16"/>
  <c r="AJ44" i="16" s="1"/>
  <c r="AG44" i="16"/>
  <c r="AH45" i="16"/>
  <c r="AH44" i="16" s="1"/>
  <c r="AA44" i="16"/>
  <c r="AA41" i="16"/>
  <c r="Y35" i="16"/>
  <c r="Y259" i="16"/>
  <c r="AH35" i="15"/>
  <c r="AH14" i="15" s="1"/>
  <c r="AH12" i="15" s="1"/>
  <c r="AH10" i="15" s="1"/>
  <c r="AH259" i="15"/>
  <c r="BO14" i="15"/>
  <c r="AA14" i="15"/>
  <c r="AA12" i="15" s="1"/>
  <c r="AJ38" i="16"/>
  <c r="AJ35" i="16" s="1"/>
  <c r="AG35" i="16"/>
  <c r="AS24" i="16" s="1"/>
  <c r="AZ32" i="14"/>
  <c r="AS23" i="15"/>
  <c r="AG14" i="15"/>
  <c r="AG12" i="15" s="1"/>
  <c r="AG10" i="15" s="1"/>
  <c r="AG8" i="15" s="1"/>
  <c r="AG23" i="16"/>
  <c r="AE20" i="16"/>
  <c r="AE16" i="16" s="1"/>
  <c r="I113" i="16"/>
  <c r="G108" i="16"/>
  <c r="AX15" i="15"/>
  <c r="AZ15" i="15" s="1"/>
  <c r="AU15" i="15"/>
  <c r="L96" i="16"/>
  <c r="J93" i="16"/>
  <c r="AR32" i="13"/>
  <c r="AU31" i="13"/>
  <c r="L86" i="16"/>
  <c r="J85" i="16"/>
  <c r="J19" i="16" s="1"/>
  <c r="J17" i="16" s="1"/>
  <c r="M76" i="16"/>
  <c r="M75" i="16" s="1"/>
  <c r="I75" i="16"/>
  <c r="AR9" i="16" s="1"/>
  <c r="AU9" i="16" s="1"/>
  <c r="I74" i="16"/>
  <c r="G72" i="16"/>
  <c r="I69" i="16"/>
  <c r="M70" i="16"/>
  <c r="M69" i="16" s="1"/>
  <c r="M63" i="15"/>
  <c r="M21" i="15" s="1"/>
  <c r="M19" i="15" s="1"/>
  <c r="M17" i="15" s="1"/>
  <c r="AE258" i="15" s="1"/>
  <c r="M123" i="15"/>
  <c r="G8" i="15"/>
  <c r="G121" i="15" s="1"/>
  <c r="G125" i="15" s="1"/>
  <c r="Y258" i="15"/>
  <c r="I65" i="16"/>
  <c r="G63" i="16"/>
  <c r="G123" i="16"/>
  <c r="L123" i="16"/>
  <c r="L60" i="16"/>
  <c r="L21" i="16" s="1"/>
  <c r="N62" i="16"/>
  <c r="I60" i="16"/>
  <c r="M61" i="16"/>
  <c r="M60" i="16" s="1"/>
  <c r="BD17" i="16"/>
  <c r="D17" i="20" s="1"/>
  <c r="AR17" i="14"/>
  <c r="AU17" i="14" s="1"/>
  <c r="AU14" i="14"/>
  <c r="I8" i="14"/>
  <c r="AA258" i="14"/>
  <c r="BO33" i="14" s="1"/>
  <c r="I21" i="15"/>
  <c r="I19" i="15" s="1"/>
  <c r="AR7" i="15"/>
  <c r="AU7" i="15" s="1"/>
  <c r="G22" i="16"/>
  <c r="I23" i="16"/>
  <c r="AJ129" i="16"/>
  <c r="AJ123" i="16" s="1"/>
  <c r="AG123" i="16"/>
  <c r="I10" i="16"/>
  <c r="M12" i="16"/>
  <c r="M10" i="16" s="1"/>
  <c r="AZ13" i="16"/>
  <c r="AG112" i="16" l="1"/>
  <c r="AG110" i="16" s="1"/>
  <c r="AS26" i="16" s="1"/>
  <c r="AJ112" i="16"/>
  <c r="AJ110" i="16" s="1"/>
  <c r="AB258" i="15"/>
  <c r="AI10" i="15"/>
  <c r="AI258" i="15" s="1"/>
  <c r="AW17" i="15"/>
  <c r="AU25" i="15"/>
  <c r="BJ8" i="15"/>
  <c r="BJ7" i="15" s="1"/>
  <c r="BJ16" i="15" s="1"/>
  <c r="BP8" i="15"/>
  <c r="BP7" i="15" s="1"/>
  <c r="BP32" i="15" s="1"/>
  <c r="AS14" i="15"/>
  <c r="AV14" i="15" s="1"/>
  <c r="AJ224" i="16"/>
  <c r="AJ222" i="16" s="1"/>
  <c r="AJ220" i="16" s="1"/>
  <c r="AG222" i="16"/>
  <c r="AG220" i="16" s="1"/>
  <c r="AS30" i="16" s="1"/>
  <c r="AX17" i="15"/>
  <c r="AE14" i="16"/>
  <c r="AE12" i="16" s="1"/>
  <c r="AE10" i="16" s="1"/>
  <c r="AE8" i="16" s="1"/>
  <c r="AS16" i="16"/>
  <c r="AV16" i="16" s="1"/>
  <c r="F8" i="20"/>
  <c r="R8" i="20" s="1"/>
  <c r="I48" i="16"/>
  <c r="M50" i="16"/>
  <c r="M48" i="16" s="1"/>
  <c r="AJ52" i="16"/>
  <c r="AJ49" i="16" s="1"/>
  <c r="AJ43" i="16" s="1"/>
  <c r="AG49" i="16"/>
  <c r="AG43" i="16" s="1"/>
  <c r="I85" i="16"/>
  <c r="BD19" i="16"/>
  <c r="D22" i="20" s="1"/>
  <c r="AZ17" i="15"/>
  <c r="AW28" i="15"/>
  <c r="AY28" i="15" s="1"/>
  <c r="AU28" i="15"/>
  <c r="AD203" i="16"/>
  <c r="AD194" i="16" s="1"/>
  <c r="AI204" i="16"/>
  <c r="AI203" i="16" s="1"/>
  <c r="AI194" i="16" s="1"/>
  <c r="AI193" i="16" s="1"/>
  <c r="AJ198" i="16"/>
  <c r="AJ195" i="16" s="1"/>
  <c r="AJ194" i="16" s="1"/>
  <c r="AJ193" i="16" s="1"/>
  <c r="AG195" i="16"/>
  <c r="AG194" i="16" s="1"/>
  <c r="AG193" i="16" s="1"/>
  <c r="AS28" i="16" s="1"/>
  <c r="AA193" i="16"/>
  <c r="BO28" i="16"/>
  <c r="D52" i="20" s="1"/>
  <c r="D50" i="20"/>
  <c r="AJ259" i="16"/>
  <c r="AJ176" i="16"/>
  <c r="AJ170" i="16" s="1"/>
  <c r="AX27" i="16"/>
  <c r="AZ27" i="16" s="1"/>
  <c r="AA176" i="16"/>
  <c r="AA170" i="16" s="1"/>
  <c r="BO24" i="16" s="1"/>
  <c r="BO23" i="16"/>
  <c r="D47" i="20" s="1"/>
  <c r="AH177" i="16"/>
  <c r="AH176" i="16" s="1"/>
  <c r="AH170" i="16" s="1"/>
  <c r="BP33" i="14"/>
  <c r="AH155" i="16"/>
  <c r="AH145" i="16" s="1"/>
  <c r="AH110" i="16" s="1"/>
  <c r="AW26" i="15"/>
  <c r="AY26" i="15" s="1"/>
  <c r="AI152" i="16"/>
  <c r="AI149" i="16" s="1"/>
  <c r="AI147" i="16" s="1"/>
  <c r="AI145" i="16" s="1"/>
  <c r="AI110" i="16" s="1"/>
  <c r="AD149" i="16"/>
  <c r="AD147" i="16" s="1"/>
  <c r="AD10" i="15"/>
  <c r="AD258" i="15" s="1"/>
  <c r="BP33" i="15" s="1"/>
  <c r="AA10" i="15"/>
  <c r="AA8" i="15" s="1"/>
  <c r="U1" i="15" s="1"/>
  <c r="AA145" i="16"/>
  <c r="BO16" i="16"/>
  <c r="D40" i="20" s="1"/>
  <c r="BO17" i="16"/>
  <c r="AA112" i="16"/>
  <c r="BP17" i="16"/>
  <c r="AD112" i="16"/>
  <c r="AI106" i="16"/>
  <c r="AI105" i="16" s="1"/>
  <c r="AI104" i="16" s="1"/>
  <c r="AD105" i="16"/>
  <c r="AD104" i="16" s="1"/>
  <c r="AI97" i="16"/>
  <c r="AI96" i="16" s="1"/>
  <c r="AI90" i="16" s="1"/>
  <c r="AD96" i="16"/>
  <c r="AD90" i="16" s="1"/>
  <c r="AX25" i="15"/>
  <c r="AZ25" i="15" s="1"/>
  <c r="AV25" i="15"/>
  <c r="AJ258" i="15"/>
  <c r="AJ92" i="16"/>
  <c r="AJ91" i="16" s="1"/>
  <c r="AJ90" i="16" s="1"/>
  <c r="AJ63" i="16" s="1"/>
  <c r="AG91" i="16"/>
  <c r="AG90" i="16" s="1"/>
  <c r="AG63" i="16" s="1"/>
  <c r="AB63" i="16"/>
  <c r="AB12" i="16" s="1"/>
  <c r="AB10" i="16" s="1"/>
  <c r="AB8" i="16" s="1"/>
  <c r="AW24" i="15"/>
  <c r="AY24" i="15" s="1"/>
  <c r="AU24" i="15"/>
  <c r="AI84" i="16"/>
  <c r="AI83" i="16" s="1"/>
  <c r="AD83" i="16"/>
  <c r="AI79" i="16"/>
  <c r="AI69" i="16" s="1"/>
  <c r="AI65" i="16" s="1"/>
  <c r="AD69" i="16"/>
  <c r="AD65" i="16" s="1"/>
  <c r="AU23" i="15"/>
  <c r="AW23" i="15"/>
  <c r="AY23" i="15" s="1"/>
  <c r="AZ35" i="14"/>
  <c r="AA63" i="16"/>
  <c r="BO12" i="16"/>
  <c r="AI14" i="16"/>
  <c r="AA43" i="16"/>
  <c r="BO13" i="16" s="1"/>
  <c r="D37" i="20" s="1"/>
  <c r="Y14" i="16"/>
  <c r="Y12" i="16" s="1"/>
  <c r="Y10" i="16" s="1"/>
  <c r="Y8" i="16" s="1"/>
  <c r="AY25" i="15"/>
  <c r="AD14" i="16"/>
  <c r="AH43" i="16"/>
  <c r="AH8" i="15"/>
  <c r="AH258" i="15"/>
  <c r="AH41" i="16"/>
  <c r="BO31" i="16"/>
  <c r="AA35" i="16"/>
  <c r="AA259" i="16"/>
  <c r="BI9" i="15"/>
  <c r="BI7" i="15" s="1"/>
  <c r="BI16" i="15" s="1"/>
  <c r="BO8" i="15"/>
  <c r="BO7" i="15" s="1"/>
  <c r="BO32" i="15" s="1"/>
  <c r="AX24" i="16"/>
  <c r="AZ24" i="16" s="1"/>
  <c r="AV24" i="16"/>
  <c r="AG258" i="15"/>
  <c r="AS31" i="15" s="1"/>
  <c r="AS32" i="15" s="1"/>
  <c r="AV32" i="15" s="1"/>
  <c r="AX23" i="15"/>
  <c r="AV23" i="15"/>
  <c r="AJ23" i="16"/>
  <c r="AJ20" i="16" s="1"/>
  <c r="AJ16" i="16" s="1"/>
  <c r="AG20" i="16"/>
  <c r="AG16" i="16" s="1"/>
  <c r="M113" i="16"/>
  <c r="M108" i="16" s="1"/>
  <c r="BD20" i="16"/>
  <c r="D23" i="20" s="1"/>
  <c r="I108" i="16"/>
  <c r="AR15" i="16" s="1"/>
  <c r="N96" i="16"/>
  <c r="N93" i="16" s="1"/>
  <c r="L93" i="16"/>
  <c r="L85" i="16" s="1"/>
  <c r="L19" i="16" s="1"/>
  <c r="AS14" i="16" s="1"/>
  <c r="AU32" i="13"/>
  <c r="AV35" i="13"/>
  <c r="AU35" i="13"/>
  <c r="AF258" i="15"/>
  <c r="BQ33" i="15" s="1"/>
  <c r="AU31" i="14"/>
  <c r="AR32" i="14"/>
  <c r="N86" i="16"/>
  <c r="J8" i="16"/>
  <c r="J121" i="16" s="1"/>
  <c r="J125" i="16" s="1"/>
  <c r="M8" i="15"/>
  <c r="M121" i="15" s="1"/>
  <c r="M125" i="15" s="1"/>
  <c r="I72" i="16"/>
  <c r="M74" i="16"/>
  <c r="M72" i="16" s="1"/>
  <c r="I63" i="16"/>
  <c r="M65" i="16"/>
  <c r="BD22" i="16"/>
  <c r="D25" i="20" s="1"/>
  <c r="I123" i="16"/>
  <c r="G21" i="16"/>
  <c r="G19" i="16" s="1"/>
  <c r="G17" i="16" s="1"/>
  <c r="G8" i="16" s="1"/>
  <c r="G121" i="16" s="1"/>
  <c r="G125" i="16" s="1"/>
  <c r="AW14" i="16"/>
  <c r="AY14" i="16" s="1"/>
  <c r="N60" i="16"/>
  <c r="N21" i="16" s="1"/>
  <c r="N123" i="16"/>
  <c r="AR14" i="15"/>
  <c r="I17" i="15"/>
  <c r="I121" i="14"/>
  <c r="I125" i="14" s="1"/>
  <c r="J5" i="14"/>
  <c r="K1" i="14"/>
  <c r="M23" i="16"/>
  <c r="M22" i="16" s="1"/>
  <c r="AW7" i="16"/>
  <c r="AY7" i="16" s="1"/>
  <c r="I22" i="16"/>
  <c r="BD12" i="16"/>
  <c r="D8" i="20"/>
  <c r="AR16" i="16"/>
  <c r="BD7" i="16"/>
  <c r="BR32" i="16"/>
  <c r="AI8" i="15" l="1"/>
  <c r="D49" i="20"/>
  <c r="AS17" i="15"/>
  <c r="AV17" i="15" s="1"/>
  <c r="AV30" i="16"/>
  <c r="AX30" i="16"/>
  <c r="AZ30" i="16" s="1"/>
  <c r="AJ14" i="16"/>
  <c r="AJ12" i="16" s="1"/>
  <c r="AJ10" i="16" s="1"/>
  <c r="AJ258" i="16" s="1"/>
  <c r="AD193" i="16"/>
  <c r="AR28" i="16" s="1"/>
  <c r="BP28" i="16"/>
  <c r="AV28" i="16"/>
  <c r="AX28" i="16"/>
  <c r="AZ28" i="16" s="1"/>
  <c r="BO25" i="16"/>
  <c r="BI12" i="16" s="1"/>
  <c r="BO22" i="16"/>
  <c r="BI11" i="16" s="1"/>
  <c r="D48" i="20"/>
  <c r="D46" i="20" s="1"/>
  <c r="AA110" i="16"/>
  <c r="AX16" i="16"/>
  <c r="AZ16" i="16" s="1"/>
  <c r="AU16" i="16"/>
  <c r="AR25" i="16"/>
  <c r="AW25" i="16" s="1"/>
  <c r="AX14" i="16"/>
  <c r="AZ14" i="16" s="1"/>
  <c r="AD145" i="16"/>
  <c r="AD110" i="16" s="1"/>
  <c r="AR26" i="16" s="1"/>
  <c r="BP16" i="16"/>
  <c r="E40" i="20" s="1"/>
  <c r="AD8" i="15"/>
  <c r="AC1" i="15" s="1"/>
  <c r="D41" i="20"/>
  <c r="D39" i="20" s="1"/>
  <c r="BO15" i="16"/>
  <c r="BI10" i="16" s="1"/>
  <c r="AX26" i="16"/>
  <c r="AZ26" i="16" s="1"/>
  <c r="AV26" i="16"/>
  <c r="E41" i="20"/>
  <c r="BP13" i="16"/>
  <c r="E37" i="20" s="1"/>
  <c r="AS25" i="16"/>
  <c r="AV25" i="16" s="1"/>
  <c r="AB258" i="16"/>
  <c r="AI63" i="16"/>
  <c r="AI12" i="16" s="1"/>
  <c r="AI10" i="16" s="1"/>
  <c r="AI258" i="16" s="1"/>
  <c r="BP14" i="16"/>
  <c r="AR24" i="16"/>
  <c r="AY32" i="15"/>
  <c r="AY35" i="15" s="1"/>
  <c r="AD63" i="16"/>
  <c r="AD12" i="16" s="1"/>
  <c r="BP12" i="16"/>
  <c r="AR23" i="16"/>
  <c r="AW32" i="15"/>
  <c r="AR31" i="15"/>
  <c r="AR32" i="15" s="1"/>
  <c r="AU32" i="15" s="1"/>
  <c r="D36" i="20"/>
  <c r="D33" i="20" s="1"/>
  <c r="D32" i="20" s="1"/>
  <c r="BO9" i="16"/>
  <c r="BI8" i="16" s="1"/>
  <c r="AV31" i="15"/>
  <c r="Y258" i="16"/>
  <c r="AH35" i="16"/>
  <c r="AH14" i="16" s="1"/>
  <c r="AH12" i="16" s="1"/>
  <c r="AH10" i="16" s="1"/>
  <c r="AH259" i="16"/>
  <c r="BI15" i="16"/>
  <c r="D55" i="20"/>
  <c r="BO14" i="16"/>
  <c r="AA14" i="16"/>
  <c r="AA12" i="16" s="1"/>
  <c r="AG14" i="16"/>
  <c r="AG12" i="16" s="1"/>
  <c r="AG10" i="16" s="1"/>
  <c r="AG8" i="16" s="1"/>
  <c r="AS23" i="16"/>
  <c r="AZ23" i="15"/>
  <c r="AZ32" i="15" s="1"/>
  <c r="AX32" i="15"/>
  <c r="AU15" i="16"/>
  <c r="AX15" i="16"/>
  <c r="AZ15" i="16" s="1"/>
  <c r="N85" i="16"/>
  <c r="N19" i="16" s="1"/>
  <c r="N17" i="16" s="1"/>
  <c r="AV35" i="14"/>
  <c r="AU32" i="14"/>
  <c r="AU35" i="14"/>
  <c r="L17" i="16"/>
  <c r="AY17" i="16"/>
  <c r="M63" i="16"/>
  <c r="M21" i="16" s="1"/>
  <c r="M19" i="16" s="1"/>
  <c r="M17" i="16" s="1"/>
  <c r="M123" i="16"/>
  <c r="AS17" i="16"/>
  <c r="AV17" i="16" s="1"/>
  <c r="AV14" i="16"/>
  <c r="AR17" i="15"/>
  <c r="AU14" i="15"/>
  <c r="D12" i="20"/>
  <c r="D10" i="20" s="1"/>
  <c r="D9" i="20" s="1"/>
  <c r="D26" i="20" s="1"/>
  <c r="BD10" i="16"/>
  <c r="BD9" i="16" s="1"/>
  <c r="BD8" i="16" s="1"/>
  <c r="BD23" i="16" s="1"/>
  <c r="I8" i="15"/>
  <c r="AA258" i="15"/>
  <c r="BO33" i="15" s="1"/>
  <c r="AR7" i="16"/>
  <c r="AU7" i="16" s="1"/>
  <c r="I21" i="16"/>
  <c r="I19" i="16" s="1"/>
  <c r="AU25" i="16" l="1"/>
  <c r="AZ17" i="16"/>
  <c r="AX17" i="16"/>
  <c r="E52" i="20"/>
  <c r="E49" i="20" s="1"/>
  <c r="BP25" i="16"/>
  <c r="BJ12" i="16" s="1"/>
  <c r="AU28" i="16"/>
  <c r="AW28" i="16"/>
  <c r="AY28" i="16" s="1"/>
  <c r="AA10" i="16"/>
  <c r="AA8" i="16" s="1"/>
  <c r="E9" i="19" s="1"/>
  <c r="BP15" i="16"/>
  <c r="BJ10" i="16" s="1"/>
  <c r="AW26" i="16"/>
  <c r="AY26" i="16" s="1"/>
  <c r="AU26" i="16"/>
  <c r="AD10" i="16"/>
  <c r="AD8" i="16" s="1"/>
  <c r="Y1" i="15"/>
  <c r="E39" i="20"/>
  <c r="AU31" i="15"/>
  <c r="AX25" i="16"/>
  <c r="AZ25" i="16" s="1"/>
  <c r="AJ8" i="16"/>
  <c r="BJ9" i="16"/>
  <c r="E38" i="20"/>
  <c r="AU24" i="16"/>
  <c r="AW24" i="16"/>
  <c r="AY24" i="16" s="1"/>
  <c r="AV35" i="15"/>
  <c r="AI8" i="16"/>
  <c r="AZ35" i="15"/>
  <c r="BP9" i="16"/>
  <c r="E36" i="20"/>
  <c r="E33" i="20" s="1"/>
  <c r="E32" i="20" s="1"/>
  <c r="AU23" i="16"/>
  <c r="AW23" i="16"/>
  <c r="AY23" i="16" s="1"/>
  <c r="AY25" i="16"/>
  <c r="AG258" i="16"/>
  <c r="AS31" i="16" s="1"/>
  <c r="AS32" i="16" s="1"/>
  <c r="AV32" i="16" s="1"/>
  <c r="BI9" i="16"/>
  <c r="BI7" i="16" s="1"/>
  <c r="BI16" i="16" s="1"/>
  <c r="D38" i="20"/>
  <c r="D31" i="20" s="1"/>
  <c r="D30" i="20" s="1"/>
  <c r="D56" i="20" s="1"/>
  <c r="D57" i="20" s="1"/>
  <c r="BO8" i="16"/>
  <c r="BO7" i="16" s="1"/>
  <c r="BO32" i="16" s="1"/>
  <c r="AH8" i="16"/>
  <c r="AH258" i="16"/>
  <c r="AV23" i="16"/>
  <c r="AX23" i="16"/>
  <c r="AW17" i="16"/>
  <c r="AF258" i="16"/>
  <c r="BQ33" i="16" s="1"/>
  <c r="N8" i="16"/>
  <c r="N121" i="16" s="1"/>
  <c r="N125" i="16" s="1"/>
  <c r="L8" i="16"/>
  <c r="M8" i="16"/>
  <c r="M121" i="16" s="1"/>
  <c r="M125" i="16" s="1"/>
  <c r="AE258" i="16"/>
  <c r="AU17" i="15"/>
  <c r="AU35" i="15"/>
  <c r="AR14" i="16"/>
  <c r="I17" i="16"/>
  <c r="I121" i="15"/>
  <c r="I125" i="15" s="1"/>
  <c r="J5" i="15"/>
  <c r="K1" i="15"/>
  <c r="F9" i="19"/>
  <c r="U1" i="16" l="1"/>
  <c r="Y1" i="16"/>
  <c r="AC1" i="16"/>
  <c r="AD258" i="16"/>
  <c r="BP33" i="16" s="1"/>
  <c r="AV31" i="16"/>
  <c r="E31" i="20"/>
  <c r="E30" i="20" s="1"/>
  <c r="E56" i="20" s="1"/>
  <c r="E57" i="20" s="1"/>
  <c r="AY32" i="16"/>
  <c r="AZ35" i="16" s="1"/>
  <c r="AW32" i="16"/>
  <c r="BP8" i="16"/>
  <c r="BP7" i="16" s="1"/>
  <c r="BP32" i="16" s="1"/>
  <c r="BJ8" i="16"/>
  <c r="BJ7" i="16" s="1"/>
  <c r="BJ16" i="16" s="1"/>
  <c r="AZ23" i="16"/>
  <c r="AZ32" i="16" s="1"/>
  <c r="AX32" i="16"/>
  <c r="L121" i="16"/>
  <c r="L125" i="16" s="1"/>
  <c r="C9" i="19"/>
  <c r="AR17" i="16"/>
  <c r="AU17" i="16" s="1"/>
  <c r="AU14" i="16"/>
  <c r="AA258" i="16"/>
  <c r="BO33" i="16" s="1"/>
  <c r="I8" i="16"/>
  <c r="AR31" i="16" l="1"/>
  <c r="AR32" i="16" s="1"/>
  <c r="AU35" i="16" s="1"/>
  <c r="AY35" i="16"/>
  <c r="J9" i="19"/>
  <c r="H9" i="19"/>
  <c r="J5" i="16"/>
  <c r="B10" i="18"/>
  <c r="K1" i="16"/>
  <c r="I121" i="16"/>
  <c r="I125" i="16" s="1"/>
  <c r="B9" i="19"/>
  <c r="AU31" i="16" l="1"/>
  <c r="AV35" i="16"/>
  <c r="AU32" i="16"/>
  <c r="R10" i="18"/>
  <c r="F10" i="18"/>
  <c r="J10" i="18"/>
  <c r="N10" i="18"/>
  <c r="G9" i="19"/>
  <c r="D9" i="19"/>
  <c r="I9" i="19"/>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<sst xmlns="http://schemas.openxmlformats.org/spreadsheetml/2006/main" count="3275" uniqueCount="611">
  <si>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</si>
  <si>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</si>
  <si>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</si>
  <si>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</si>
  <si>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</si>
  <si>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</si>
  <si>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</si>
  <si>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DIRECCION SECCIONAL DE SALUD DE ANTIOQUIA</t>
  </si>
  <si>
    <t xml:space="preserve">  ANALISIS DE LA SITUACION PRESUPUESTAL</t>
  </si>
  <si>
    <t>EJECUCION PRESUPUESTAL DE INGRESOS</t>
  </si>
  <si>
    <t>ENERO</t>
  </si>
  <si>
    <t>EJECUCION PRESUPUESTAL DE GASTOS</t>
  </si>
  <si>
    <t>MUNICIPIO</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</si>
  <si>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</si>
  <si>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</si>
  <si>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</si>
  <si>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</si>
  <si>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</si>
  <si>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</si>
  <si>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</si>
  <si>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</si>
  <si>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</si>
  <si>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</si>
  <si>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</si>
  <si>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</si>
  <si>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</si>
  <si>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</si>
  <si>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</si>
  <si>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</si>
  <si>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</si>
  <si>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</si>
  <si>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</si>
  <si>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</si>
  <si>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</si>
  <si>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</si>
  <si>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</si>
  <si>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</si>
  <si>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</si>
  <si>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</si>
  <si>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</si>
  <si>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</si>
  <si>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</si>
  <si>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</si>
  <si>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</si>
  <si>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</si>
  <si>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</si>
  <si>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</si>
  <si>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</si>
  <si>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</si>
  <si>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</si>
  <si>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</si>
  <si>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</si>
  <si>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</si>
  <si>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</si>
  <si>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</si>
  <si>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</si>
  <si>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</si>
  <si>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</si>
  <si>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</si>
  <si>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</si>
  <si>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</si>
  <si>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</si>
  <si>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</si>
  <si>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</si>
  <si>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</si>
  <si>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</si>
  <si>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</si>
  <si>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</si>
  <si>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</si>
  <si>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</si>
  <si>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</si>
  <si>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</si>
  <si>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</si>
  <si>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</si>
  <si>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</si>
  <si>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</si>
  <si>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</si>
  <si>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</si>
  <si>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</si>
  <si>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</si>
  <si>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</si>
  <si>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</si>
  <si>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</si>
  <si>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</si>
  <si>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</si>
  <si>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</si>
  <si>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</si>
  <si>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</si>
  <si>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</si>
  <si>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</si>
  <si>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</si>
  <si>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</si>
  <si>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</si>
  <si>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</si>
  <si>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</si>
  <si>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</si>
  <si>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</si>
  <si>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</si>
  <si>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</si>
  <si>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</si>
  <si>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</si>
  <si>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</si>
  <si>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</si>
  <si>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</si>
  <si>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</si>
  <si>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</si>
  <si>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</si>
  <si>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</si>
  <si>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</si>
  <si>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</si>
  <si>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</si>
  <si>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</si>
  <si>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</si>
  <si>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</si>
  <si>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</si>
  <si>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</si>
  <si>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</si>
  <si>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</si>
  <si>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</si>
  <si>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</si>
  <si>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</si>
  <si>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</si>
  <si>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</si>
  <si>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</si>
  <si>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</si>
  <si>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</si>
  <si>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</si>
  <si>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</si>
  <si>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</si>
  <si>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Insumos Hospitalarios</t>
  </si>
  <si>
    <t>1130103-2</t>
  </si>
  <si>
    <t>Prestación de Servicios de salud  2o. Nivel</t>
  </si>
  <si>
    <t>Vigencias Anteriores</t>
  </si>
  <si>
    <t>Gastos Operación Ccial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</si>
  <si>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</si>
  <si>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</si>
  <si>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</si>
  <si>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</si>
  <si>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</si>
  <si>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</si>
  <si>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</si>
  <si>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</si>
  <si>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</si>
  <si>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</si>
  <si>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</si>
  <si>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</si>
  <si>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</si>
  <si>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</si>
  <si>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</si>
  <si>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</si>
  <si>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</si>
  <si>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</si>
  <si>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</si>
  <si>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</si>
  <si>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</si>
  <si>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</si>
  <si>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</si>
  <si>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Otros Honorarios (Servicios de Cooperativa)</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</si>
  <si>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</si>
  <si>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</si>
  <si>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</si>
  <si>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</si>
  <si>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</si>
  <si>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</si>
  <si>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</si>
  <si>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Contribuciones - Sin Situación de Fondos</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</si>
  <si>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</si>
  <si>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</si>
  <si>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</si>
  <si>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</si>
  <si>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</si>
  <si>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</si>
  <si>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</si>
  <si>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</si>
  <si>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</si>
  <si>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</si>
  <si>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</si>
  <si>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</si>
  <si>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</si>
  <si>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</si>
  <si>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</si>
  <si>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</si>
  <si>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</si>
  <si>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</si>
  <si>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</si>
  <si>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</si>
  <si>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</si>
  <si>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</si>
  <si>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</si>
  <si>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</si>
  <si>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</si>
  <si>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</si>
  <si>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</si>
  <si>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</si>
  <si>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</si>
  <si>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</si>
  <si>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</si>
  <si>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</si>
  <si>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</si>
  <si>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</si>
  <si>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</si>
  <si>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</si>
  <si>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</si>
  <si>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</si>
  <si>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</si>
  <si>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</si>
  <si>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</si>
  <si>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</si>
  <si>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</si>
  <si>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</si>
  <si>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</si>
  <si>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</si>
  <si>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</si>
  <si>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</si>
  <si>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</si>
  <si>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</si>
  <si>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</si>
  <si>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</si>
  <si>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</si>
  <si>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</si>
  <si>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</si>
  <si>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</si>
  <si>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</si>
  <si>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</si>
  <si>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</si>
  <si>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</si>
  <si>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</si>
  <si>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</si>
  <si>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</si>
  <si>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Venta de Otros Bienes y Servicios</t>
  </si>
  <si>
    <t>1020200-4</t>
  </si>
  <si>
    <t>ARRENDAMIENTO Y ALQUILER DE BIENES MUEBLES E INMUEBLES</t>
  </si>
  <si>
    <t>COMERCIALIZACIÓN DE MERCANCÍAS</t>
  </si>
  <si>
    <t>CONVENIOS CON LA NACION LIGADOS A LA VTA DE SERVICIOS</t>
  </si>
  <si>
    <t>CONVENIOS CON EL DEPARTAMENTO LIGADOS A LA VTA SERVICIOS</t>
  </si>
  <si>
    <t>CONVENIOS CON EL MUNICIPIO LIGADOS A LA VTA DE SERVICIOS</t>
  </si>
  <si>
    <t>1020301-1</t>
  </si>
  <si>
    <t>OTROS CONVENIOS LIGADOS A LA VTA DE SERVICIOS</t>
  </si>
  <si>
    <t>1020301-2</t>
  </si>
  <si>
    <t>1020301-3</t>
  </si>
  <si>
    <t>OTROS</t>
  </si>
  <si>
    <t>1020301-4</t>
  </si>
  <si>
    <t>1130209 - 1</t>
  </si>
  <si>
    <t>1130209 - 2</t>
  </si>
  <si>
    <t>1020302-1</t>
  </si>
  <si>
    <t>1130209 - 3</t>
  </si>
  <si>
    <t>1020302-2</t>
  </si>
  <si>
    <t>1130209 - 4</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</si>
  <si>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</si>
  <si>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</si>
  <si>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</si>
  <si>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</si>
  <si>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</si>
  <si>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</si>
  <si>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</si>
  <si>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</si>
  <si>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</si>
  <si>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</si>
  <si>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</si>
  <si>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</si>
  <si>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</si>
  <si>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</si>
  <si>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</si>
  <si>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</si>
  <si>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</si>
  <si>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</si>
  <si>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</si>
  <si>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</si>
  <si>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</si>
  <si>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</si>
  <si>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</si>
  <si>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</si>
  <si>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</si>
  <si>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</si>
  <si>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</si>
  <si>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</si>
  <si>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</si>
  <si>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</si>
  <si>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</si>
  <si>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</si>
  <si>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</si>
  <si>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</si>
  <si>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</si>
  <si>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</si>
  <si>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</si>
  <si>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</si>
  <si>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</si>
  <si>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</si>
  <si>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</si>
  <si>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</si>
  <si>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</si>
  <si>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</si>
  <si>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</si>
  <si>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</si>
  <si>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</si>
  <si>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</si>
  <si>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</si>
  <si>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</si>
  <si>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</si>
  <si>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</si>
  <si>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</si>
  <si>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</si>
  <si>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</si>
  <si>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</si>
  <si>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</si>
  <si>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</si>
  <si>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</si>
  <si>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</si>
  <si>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</si>
  <si>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</si>
  <si>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</si>
  <si>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</si>
  <si>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</si>
  <si>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</si>
  <si>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</si>
  <si>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</si>
  <si>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</si>
  <si>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</si>
  <si>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</si>
  <si>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</si>
  <si>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</si>
  <si>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</si>
  <si>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</si>
  <si>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</si>
  <si>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</si>
  <si>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</si>
  <si>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</si>
  <si>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</si>
  <si>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</si>
  <si>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</si>
  <si>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</si>
  <si>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</si>
  <si>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</si>
  <si>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</si>
  <si>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</si>
  <si>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</si>
  <si>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</si>
  <si>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</si>
  <si>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</si>
  <si>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</si>
  <si>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</si>
  <si>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</si>
  <si>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</si>
  <si>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</si>
  <si>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GASTOS DE OPERACION COMERCIAL</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</si>
  <si>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</si>
  <si>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</si>
  <si>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</si>
  <si>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</si>
  <si>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</si>
  <si>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</si>
  <si>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</si>
  <si>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</si>
  <si>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</si>
  <si>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</si>
  <si>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</si>
  <si>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</si>
  <si>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</si>
  <si>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</si>
  <si>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</si>
  <si>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</si>
  <si>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</si>
  <si>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</si>
  <si>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</si>
  <si>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</si>
  <si>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</si>
  <si>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</si>
  <si>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</si>
  <si>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</si>
  <si>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</si>
  <si>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</si>
  <si>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</si>
  <si>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</si>
  <si>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</si>
  <si>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</si>
  <si>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</si>
  <si>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</si>
  <si>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</si>
  <si>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</si>
  <si>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</si>
  <si>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</si>
  <si>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</si>
  <si>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</si>
  <si>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TOTAL VIGENCIAS ANTERIORES</t>
  </si>
  <si>
    <t>FEBRERO</t>
  </si>
  <si>
    <t>MARZO</t>
  </si>
  <si>
    <t>RECAUDOS ACUMULADOS DEL AÑO</t>
  </si>
  <si>
    <t>PAGOS ACUMULADOS DEL AÑO</t>
  </si>
  <si>
    <t>ABRIL</t>
  </si>
  <si>
    <t>MAYO</t>
  </si>
  <si>
    <t>JUNIO</t>
  </si>
  <si>
    <t>JULIO</t>
  </si>
  <si>
    <t>AGOSTO</t>
  </si>
  <si>
    <t>SEPTIEMBRE</t>
  </si>
  <si>
    <t>OCTUBRE</t>
  </si>
  <si>
    <t>NOVIEMBRE</t>
  </si>
  <si>
    <t>DICIEMBRE</t>
  </si>
  <si>
    <t>FLUJO DE CAJA PARA EL INFORME TRIMESTRAL DEL DECRETO 2193</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</si>
  <si>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</si>
  <si>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</si>
  <si>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</si>
  <si>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</si>
  <si>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</si>
  <si>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</si>
  <si>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</si>
  <si>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</si>
  <si>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</si>
  <si>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</si>
  <si>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</si>
  <si>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</si>
  <si>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</si>
  <si>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</si>
  <si>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</si>
  <si>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</si>
  <si>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Aportes no ligados a venta servicios de salud</t>
  </si>
  <si>
    <t>CREDITO INTERNO</t>
  </si>
  <si>
    <t>CREDITO EXTERNO</t>
  </si>
  <si>
    <t>RENDIMIENTOS FINANCIEROS</t>
  </si>
  <si>
    <t>VENTA DE ACTIVOS</t>
  </si>
  <si>
    <t>DONACIONES</t>
  </si>
  <si>
    <t>OTROS INGRESOS DE CAPITAL</t>
  </si>
  <si>
    <t>1130119-1</t>
  </si>
  <si>
    <t>1130119-2</t>
  </si>
  <si>
    <t>INFORMACION DE INGRESOS CONSOLIDAR INFORME DEL DECRETO 2193</t>
  </si>
  <si>
    <t>INFORMACION DE GASTOS CONSOLIDAR INFORME DECRETO 2193</t>
  </si>
  <si>
    <t xml:space="preserve">Prima de Navidad </t>
  </si>
  <si>
    <t>Prima Vida Cara</t>
  </si>
  <si>
    <t>Prima de Vacaciones</t>
  </si>
  <si>
    <t>Prima Clima</t>
  </si>
  <si>
    <t>Prima de Servicios</t>
  </si>
  <si>
    <t>Bonific. por Servicios Prestados (Convencional)</t>
  </si>
  <si>
    <t>Auxilio de Transporte</t>
  </si>
  <si>
    <t>Subsidio de Alimentación</t>
  </si>
  <si>
    <t>Gastos de Representación</t>
  </si>
  <si>
    <t xml:space="preserve"> Indemnizaciones por Vacaciones o Supresión de Cargos por Reestructuración</t>
  </si>
  <si>
    <t>Aportes a E.P.S.- Sin sit. Fondos</t>
  </si>
  <si>
    <t>Aportes Fondos Pensionales - Sin Sit. Fondos</t>
  </si>
  <si>
    <t xml:space="preserve">Aportes a Fondos de Cesantia - Sin Sit. de Fondos </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</si>
  <si>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</si>
  <si>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</si>
  <si>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</si>
  <si>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</si>
  <si>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</si>
  <si>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</si>
  <si>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</si>
  <si>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</si>
  <si>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</si>
  <si>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</si>
  <si>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</si>
  <si>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</si>
  <si>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</si>
  <si>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</si>
  <si>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</si>
  <si>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</si>
  <si>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</si>
  <si>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</si>
  <si>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</si>
  <si>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</si>
  <si>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</si>
  <si>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</si>
  <si>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</si>
  <si>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</si>
  <si>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</si>
  <si>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</si>
  <si>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</si>
  <si>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</si>
  <si>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Otros ingresos</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</si>
  <si>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</si>
  <si>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</si>
  <si>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</si>
  <si>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</si>
  <si>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</si>
  <si>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</si>
  <si>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</si>
  <si>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</si>
  <si>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</si>
  <si>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</si>
  <si>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</si>
  <si>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</si>
  <si>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</si>
  <si>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</si>
  <si>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</si>
  <si>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Vigencias anteriores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</si>
  <si>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</si>
  <si>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</si>
  <si>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</si>
  <si>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</si>
  <si>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</si>
  <si>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</si>
  <si>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</si>
  <si>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</si>
  <si>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</si>
  <si>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</si>
  <si>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</si>
  <si>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</si>
  <si>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</si>
  <si>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 xml:space="preserve">NACION </t>
  </si>
  <si>
    <t>DEPARTAMENTO</t>
  </si>
  <si>
    <t>CONVENIOS (EMPRESTITO)</t>
  </si>
  <si>
    <t>OTROS CONVENIOS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</si>
  <si>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</si>
  <si>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</si>
  <si>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</si>
  <si>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</si>
  <si>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</si>
  <si>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</si>
  <si>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</si>
  <si>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</si>
  <si>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</si>
  <si>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</si>
  <si>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</si>
  <si>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</si>
  <si>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</si>
  <si>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</si>
  <si>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</si>
  <si>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</si>
  <si>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2700-1</t>
  </si>
  <si>
    <t>2700-2</t>
  </si>
  <si>
    <t>Descuentos por pronto pago</t>
  </si>
  <si>
    <t>SECRETARIA SECCIONAL DE SALUD DE ANTIOQUIA</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</si>
  <si>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</si>
  <si>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</si>
  <si>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</si>
  <si>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</si>
  <si>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</si>
  <si>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</si>
  <si>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</si>
  <si>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</si>
  <si>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</si>
  <si>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</si>
  <si>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</si>
  <si>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</si>
  <si>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</si>
  <si>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</si>
  <si>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</si>
  <si>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</si>
  <si>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</si>
  <si>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</si>
  <si>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</si>
  <si>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PRESUPUESTO TOTAL INSTITUCIÓN (DEFINITIVO)</t>
  </si>
  <si>
    <t>PRESUPUESTO TOTAL INSTITUCIÓN (RECONOCIMIENTOS)</t>
  </si>
  <si>
    <t>VALOR ASIGNADO</t>
  </si>
  <si>
    <t>% ASIGNADO RESPECTO AL TOTAL DE INGRESOS DEFINITIVO</t>
  </si>
  <si>
    <t>VALOR COMPROMETIDO</t>
  </si>
  <si>
    <t>% EJECUTADO RESPECTO AL TOTAL DE INGRESOS DEFINITIVOS</t>
  </si>
  <si>
    <t xml:space="preserve">VALOR EJECUTADO (OBLIGADO) </t>
  </si>
  <si>
    <t>VALOR PAGADO</t>
  </si>
  <si>
    <t>% PAGADO RESPECTO AL TOTAL DE INGRESOS DEFINITIVOS</t>
  </si>
  <si>
    <t>Adquisicion de Bienes</t>
  </si>
  <si>
    <t>Adquisicion de servicios</t>
  </si>
  <si>
    <t>% ASIGNADO RESPECTO AL TOTAL DE INGRESOS RECONOCIDOS</t>
  </si>
  <si>
    <t>% EJECUTADO RESPECTO AL TOTAL DE INGRESOS RECONOCIDOS</t>
  </si>
  <si>
    <t>% COMPROMETIDO RESPECTO AL TOTAL DE INGRESOS DEFINITIVOS</t>
  </si>
  <si>
    <t>% COMPROMETIDO RESPECTO AL TOTAL DE INGRESOS RECONOCIDOS</t>
  </si>
  <si>
    <t>% PAGADO RESPECTO AL TOTAL DE INGRESOS RECONOCIDOS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</si>
  <si>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</si>
  <si>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</si>
  <si>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</si>
  <si>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</si>
  <si>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</si>
  <si>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</si>
  <si>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</si>
  <si>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</si>
  <si>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</si>
  <si>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</si>
  <si>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</si>
  <si>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</si>
  <si>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</si>
  <si>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</si>
  <si>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</si>
  <si>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</si>
  <si>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</si>
  <si>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</si>
  <si>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</si>
  <si>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</si>
  <si>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</si>
  <si>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</si>
  <si>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</si>
  <si>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</si>
  <si>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</si>
  <si>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</si>
  <si>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</si>
  <si>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</si>
  <si>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</si>
  <si>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</si>
  <si>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</si>
  <si>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SEGUIMIENTO EJECUCION PRESUPUESTAL - VIGENCIA 2014</t>
  </si>
  <si>
    <t>EVALUACION RECURSOS DE MANTENIMIENTO HOSPITALARIO VIGENCIA 2014</t>
  </si>
  <si>
    <t xml:space="preserve">Aporte a ARL. - Sin Sit. de Fondos </t>
  </si>
  <si>
    <t>Aporte a ARL. - Con Sit. de Fondos</t>
  </si>
  <si>
    <t>Aporte a ARL. - Sin Sit. de Fondos</t>
  </si>
  <si>
    <t>APORTES PATRONALES MUNICIPIO / DEPARTAMENTO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</si>
  <si>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</si>
  <si>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</si>
  <si>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</si>
  <si>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</si>
  <si>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</si>
  <si>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</si>
  <si>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</si>
  <si>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</si>
  <si>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</si>
  <si>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</si>
  <si>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</si>
  <si>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</si>
  <si>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</si>
  <si>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</si>
  <si>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</si>
  <si>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CONCORDIA</t>
  </si>
  <si>
    <t>Salud Pública</t>
  </si>
  <si>
    <t>Combustible</t>
  </si>
  <si>
    <t>ESE HOSPITAL SAN JUAN DE DIOS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</si>
</sst>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58"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sz val="9"/>
      <name val="Times New Roman"/>
      <family val="1"/>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i/>
      <sz val="11"/>
      <name val="Times New Roman"/>
      <family val="1"/>
    </font>
    <font>
      <i/>
      <sz val="11"/>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3" tint="0.59999389629810485"/>
        <bgColor indexed="64"/>
      </patternFill>
    </fill>
  </fills>
  <borders count="83">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42">
    <xf numFmtId="0" fontId="0" fillId="0" borderId="0" xfId="0"/>
    <xf numFmtId="1" fontId="4" fillId="2" borderId="0" xfId="0" applyNumberFormat="1" applyFont="1" applyFill="1" applyProtection="1"/>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164" fontId="3" fillId="2" borderId="5" xfId="0" applyNumberFormat="1" applyFont="1" applyFill="1" applyBorder="1" applyAlignment="1" applyProtection="1">
      <alignment horizontal="lef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164" fontId="3" fillId="0" borderId="5" xfId="0" applyNumberFormat="1" applyFont="1" applyFill="1" applyBorder="1" applyAlignment="1" applyProtection="1">
      <alignment horizontal="left" vertical="center"/>
    </xf>
    <xf numFmtId="164" fontId="17" fillId="2" borderId="5" xfId="0" applyNumberFormat="1" applyFont="1" applyFill="1" applyBorder="1" applyAlignment="1" applyProtection="1">
      <alignment horizontal="lef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9" xfId="0" applyNumberFormat="1" applyFont="1" applyFill="1" applyBorder="1" applyAlignment="1" applyProtection="1">
      <alignment vertical="center"/>
    </xf>
    <xf numFmtId="1" fontId="19" fillId="2" borderId="5" xfId="0" applyNumberFormat="1" applyFont="1" applyFill="1" applyBorder="1" applyAlignment="1" applyProtection="1">
      <alignment horizontal="left" vertical="center"/>
    </xf>
    <xf numFmtId="164" fontId="3" fillId="0" borderId="5" xfId="0" quotePrefix="1" applyNumberFormat="1" applyFont="1" applyFill="1" applyBorder="1" applyAlignment="1" applyProtection="1">
      <alignment horizontal="left" vertical="center"/>
    </xf>
    <xf numFmtId="164" fontId="3" fillId="2" borderId="5" xfId="0" quotePrefix="1" applyNumberFormat="1" applyFont="1" applyFill="1" applyBorder="1" applyAlignment="1" applyProtection="1">
      <alignment horizontal="left" vertical="center"/>
    </xf>
    <xf numFmtId="164" fontId="3"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left" vertical="center"/>
    </xf>
    <xf numFmtId="3" fontId="1" fillId="0" borderId="9" xfId="0" applyNumberFormat="1" applyFont="1" applyFill="1" applyBorder="1" applyAlignment="1" applyProtection="1">
      <alignment horizontal="left" vertical="center"/>
    </xf>
    <xf numFmtId="1" fontId="7" fillId="2" borderId="5" xfId="0" applyNumberFormat="1" applyFont="1" applyFill="1" applyBorder="1" applyAlignment="1" applyProtection="1">
      <alignment horizontal="left" vertical="center"/>
    </xf>
    <xf numFmtId="3" fontId="1" fillId="2" borderId="9" xfId="0" applyNumberFormat="1" applyFont="1" applyFill="1" applyBorder="1" applyAlignment="1" applyProtection="1">
      <alignment horizontal="left" vertical="center" indent="2"/>
    </xf>
    <xf numFmtId="3" fontId="1" fillId="0" borderId="9" xfId="0" applyNumberFormat="1" applyFont="1" applyFill="1" applyBorder="1" applyAlignment="1" applyProtection="1">
      <alignment horizontal="left" vertical="center" indent="2"/>
    </xf>
    <xf numFmtId="3" fontId="15" fillId="2" borderId="9" xfId="0" applyNumberFormat="1" applyFont="1" applyFill="1" applyBorder="1" applyAlignment="1" applyProtection="1">
      <alignment vertical="center" wrapText="1"/>
    </xf>
    <xf numFmtId="1" fontId="4" fillId="2" borderId="5" xfId="0" applyNumberFormat="1" applyFont="1" applyFill="1" applyBorder="1" applyAlignment="1" applyProtection="1">
      <alignment horizontal="left" vertical="center"/>
    </xf>
    <xf numFmtId="3" fontId="4" fillId="2" borderId="9" xfId="0" applyNumberFormat="1" applyFont="1" applyFill="1" applyBorder="1" applyAlignment="1" applyProtection="1">
      <alignment vertical="center"/>
    </xf>
    <xf numFmtId="1" fontId="4" fillId="2" borderId="19" xfId="0" applyNumberFormat="1" applyFont="1" applyFill="1" applyBorder="1" applyProtection="1"/>
    <xf numFmtId="1" fontId="4" fillId="2" borderId="20" xfId="0" applyNumberFormat="1" applyFont="1" applyFill="1" applyBorder="1" applyProtection="1"/>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8" xfId="0" applyNumberFormat="1" applyFont="1" applyFill="1" applyBorder="1" applyAlignment="1" applyProtection="1">
      <alignment vertical="center"/>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7" fillId="2" borderId="17" xfId="0" applyNumberFormat="1" applyFont="1" applyFill="1" applyBorder="1" applyAlignment="1" applyProtection="1">
      <alignment vertical="center"/>
    </xf>
    <xf numFmtId="3" fontId="7" fillId="2" borderId="18" xfId="0" applyNumberFormat="1" applyFont="1" applyFill="1" applyBorder="1" applyAlignment="1" applyProtection="1">
      <alignment vertical="center"/>
    </xf>
    <xf numFmtId="3" fontId="3" fillId="2" borderId="0" xfId="0" applyNumberFormat="1" applyFont="1" applyFill="1" applyProtection="1"/>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9" fillId="2" borderId="36"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164" fontId="4" fillId="2" borderId="5" xfId="0" applyNumberFormat="1" applyFont="1" applyFill="1" applyBorder="1" applyAlignment="1" applyProtection="1">
      <alignment horizontal="left" vertical="center"/>
    </xf>
    <xf numFmtId="164" fontId="3" fillId="2" borderId="5" xfId="0" applyNumberFormat="1" applyFont="1" applyFill="1" applyBorder="1" applyAlignment="1" applyProtection="1">
      <alignment horizontal="right" vertical="center"/>
    </xf>
    <xf numFmtId="3" fontId="9" fillId="2" borderId="10" xfId="0" applyNumberFormat="1" applyFont="1" applyFill="1" applyBorder="1" applyAlignment="1" applyProtection="1">
      <alignment vertical="center"/>
    </xf>
    <xf numFmtId="3" fontId="17" fillId="2" borderId="9" xfId="0" quotePrefix="1"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lef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6"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8"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horizontal="left" vertical="center"/>
      <protection locked="0"/>
    </xf>
    <xf numFmtId="3" fontId="15" fillId="2" borderId="9" xfId="0" applyNumberFormat="1" applyFont="1" applyFill="1" applyBorder="1" applyAlignment="1" applyProtection="1">
      <alignment vertical="center"/>
      <protection locked="0"/>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1" fontId="42" fillId="2" borderId="5" xfId="0" applyNumberFormat="1" applyFont="1" applyFill="1" applyBorder="1" applyAlignment="1" applyProtection="1">
      <alignment horizontal="left" vertical="center"/>
    </xf>
    <xf numFmtId="3" fontId="43" fillId="2" borderId="9" xfId="0" applyNumberFormat="1" applyFont="1" applyFill="1" applyBorder="1" applyAlignment="1" applyProtection="1">
      <alignment horizontal="left" vertical="center" indent="2"/>
    </xf>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1" fontId="3" fillId="2" borderId="19" xfId="0" applyNumberFormat="1" applyFont="1" applyFill="1" applyBorder="1" applyAlignment="1" applyProtection="1">
      <alignment horizontal="left" vertical="center"/>
    </xf>
    <xf numFmtId="164" fontId="3" fillId="2" borderId="41" xfId="0" applyNumberFormat="1" applyFont="1" applyFill="1" applyBorder="1" applyAlignment="1" applyProtection="1">
      <alignment horizontal="left" vertical="center"/>
    </xf>
    <xf numFmtId="164" fontId="3" fillId="2" borderId="26" xfId="0" applyNumberFormat="1" applyFont="1" applyFill="1" applyBorder="1" applyAlignment="1" applyProtection="1">
      <alignment horizontal="left" vertical="center"/>
    </xf>
    <xf numFmtId="3" fontId="15" fillId="2" borderId="45" xfId="0" applyNumberFormat="1" applyFont="1" applyFill="1" applyBorder="1" applyAlignment="1" applyProtection="1">
      <alignment horizontal="left" vertical="center"/>
    </xf>
    <xf numFmtId="1" fontId="3" fillId="2" borderId="26" xfId="0" applyNumberFormat="1" applyFont="1" applyFill="1" applyBorder="1" applyAlignment="1" applyProtection="1">
      <alignment horizontal="left" vertical="center"/>
    </xf>
    <xf numFmtId="1" fontId="18" fillId="2" borderId="5" xfId="0" applyNumberFormat="1" applyFont="1" applyFill="1" applyBorder="1" applyAlignment="1" applyProtection="1">
      <alignment horizontal="center" vertical="center"/>
    </xf>
    <xf numFmtId="1" fontId="18" fillId="2" borderId="38" xfId="0" applyNumberFormat="1" applyFont="1" applyFill="1" applyBorder="1" applyAlignment="1" applyProtection="1">
      <alignment horizontal="center" vertical="center"/>
    </xf>
    <xf numFmtId="3" fontId="1" fillId="2" borderId="9" xfId="0" applyNumberFormat="1" applyFont="1" applyFill="1" applyBorder="1" applyAlignment="1" applyProtection="1">
      <alignment horizontal="left" vertical="center"/>
      <protection locked="0"/>
    </xf>
    <xf numFmtId="164" fontId="3" fillId="2" borderId="35" xfId="0" applyNumberFormat="1" applyFont="1" applyFill="1" applyBorder="1" applyAlignment="1" applyProtection="1">
      <alignment horizontal="lef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164" fontId="3" fillId="2" borderId="20" xfId="0" applyNumberFormat="1" applyFont="1" applyFill="1" applyBorder="1" applyAlignment="1" applyProtection="1">
      <alignment horizontal="left" vertical="center"/>
    </xf>
    <xf numFmtId="164" fontId="3" fillId="0" borderId="16" xfId="0" applyNumberFormat="1" applyFont="1" applyFill="1" applyBorder="1" applyAlignment="1" applyProtection="1">
      <alignment horizontal="left" vertical="center"/>
    </xf>
    <xf numFmtId="3" fontId="1" fillId="0" borderId="18" xfId="0" applyNumberFormat="1" applyFont="1" applyFill="1" applyBorder="1" applyAlignment="1" applyProtection="1">
      <alignment horizontal="left" vertical="center" indent="2"/>
    </xf>
    <xf numFmtId="164" fontId="3" fillId="0" borderId="5" xfId="0" applyNumberFormat="1" applyFont="1" applyFill="1" applyBorder="1" applyAlignment="1" applyProtection="1">
      <alignment horizontal="left" vertical="center"/>
      <protection locked="0"/>
    </xf>
    <xf numFmtId="3" fontId="1" fillId="0" borderId="9" xfId="0" applyNumberFormat="1" applyFont="1" applyFill="1" applyBorder="1" applyAlignment="1" applyProtection="1">
      <alignment horizontal="left" vertical="center" indent="2"/>
      <protection locked="0"/>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left" vertical="center"/>
      <protection locked="0"/>
    </xf>
    <xf numFmtId="164" fontId="3" fillId="2" borderId="5" xfId="0" applyNumberFormat="1" applyFont="1" applyFill="1" applyBorder="1" applyAlignment="1" applyProtection="1">
      <alignment horizontal="right" vertical="center"/>
      <protection locked="0"/>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17" fillId="2" borderId="11" xfId="0" quotePrefix="1" applyNumberFormat="1" applyFont="1" applyFill="1" applyBorder="1" applyAlignment="1" applyProtection="1">
      <alignment horizontal="left" vertical="center"/>
    </xf>
    <xf numFmtId="3" fontId="4" fillId="2" borderId="11" xfId="0" applyNumberFormat="1" applyFont="1" applyFill="1" applyBorder="1" applyAlignment="1" applyProtection="1">
      <alignment horizontal="lef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3" fontId="1" fillId="2" borderId="18" xfId="0" applyNumberFormat="1" applyFont="1" applyFill="1" applyBorder="1" applyAlignment="1" applyProtection="1">
      <alignment horizontal="left" vertical="center" indent="2"/>
    </xf>
    <xf numFmtId="3" fontId="1" fillId="0"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indent="2"/>
    </xf>
    <xf numFmtId="164" fontId="3" fillId="0" borderId="16" xfId="0" quotePrefix="1" applyNumberFormat="1" applyFont="1" applyFill="1" applyBorder="1" applyAlignment="1" applyProtection="1">
      <alignment horizontal="left" vertical="center"/>
    </xf>
    <xf numFmtId="3" fontId="1" fillId="2" borderId="37" xfId="0" applyNumberFormat="1" applyFont="1" applyFill="1" applyBorder="1" applyAlignment="1" applyProtection="1">
      <alignment horizontal="left" vertical="center" indent="2"/>
      <protection locked="0"/>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164" fontId="17" fillId="2" borderId="8" xfId="0" applyNumberFormat="1" applyFont="1" applyFill="1" applyBorder="1" applyAlignment="1" applyProtection="1">
      <alignment horizontal="left" vertical="center"/>
    </xf>
    <xf numFmtId="3" fontId="17" fillId="2" borderId="8" xfId="0" quotePrefix="1" applyNumberFormat="1" applyFont="1" applyFill="1" applyBorder="1" applyAlignment="1" applyProtection="1">
      <alignment horizontal="left" vertical="center"/>
    </xf>
    <xf numFmtId="164" fontId="4" fillId="2" borderId="8" xfId="0" applyNumberFormat="1" applyFont="1" applyFill="1" applyBorder="1" applyAlignment="1" applyProtection="1">
      <alignment horizontal="left" vertical="center"/>
    </xf>
    <xf numFmtId="3" fontId="4" fillId="2" borderId="8" xfId="0" applyNumberFormat="1" applyFont="1" applyFill="1" applyBorder="1" applyAlignment="1" applyProtection="1">
      <alignment horizontal="left" vertical="center"/>
    </xf>
    <xf numFmtId="164" fontId="3" fillId="2" borderId="8"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41" xfId="0" applyFont="1" applyBorder="1" applyAlignment="1" applyProtection="1"/>
    <xf numFmtId="0" fontId="3" fillId="0" borderId="0" xfId="0" applyFont="1" applyBorder="1" applyProtection="1"/>
    <xf numFmtId="164" fontId="17" fillId="0" borderId="5" xfId="0" applyNumberFormat="1" applyFont="1" applyFill="1" applyBorder="1" applyAlignment="1" applyProtection="1">
      <alignment horizontal="left" vertical="center"/>
    </xf>
    <xf numFmtId="3" fontId="17" fillId="0" borderId="9" xfId="0" quotePrefix="1" applyNumberFormat="1" applyFont="1" applyFill="1" applyBorder="1" applyAlignment="1" applyProtection="1">
      <alignment horizontal="left" vertical="center"/>
    </xf>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164" fontId="3" fillId="2" borderId="27" xfId="0" applyNumberFormat="1" applyFont="1" applyFill="1" applyBorder="1" applyAlignment="1" applyProtection="1">
      <alignment horizontal="lef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9" fillId="0" borderId="0" xfId="0" applyFont="1" applyBorder="1" applyAlignment="1" applyProtection="1">
      <alignment horizontal="center" vertical="center"/>
    </xf>
    <xf numFmtId="0" fontId="49" fillId="0" borderId="20" xfId="0" applyFont="1" applyBorder="1" applyAlignment="1" applyProtection="1">
      <alignment horizontal="center" vertical="center"/>
    </xf>
    <xf numFmtId="0" fontId="49" fillId="0" borderId="20" xfId="0" applyFont="1" applyBorder="1" applyAlignment="1" applyProtection="1">
      <alignment horizontal="center"/>
    </xf>
    <xf numFmtId="0" fontId="4" fillId="0" borderId="0" xfId="2"/>
    <xf numFmtId="167"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30"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3" fontId="4" fillId="0" borderId="8" xfId="0" applyNumberFormat="1" applyFont="1" applyFill="1" applyBorder="1" applyAlignment="1" applyProtection="1">
      <alignment vertical="center" wrapText="1"/>
    </xf>
    <xf numFmtId="3" fontId="0" fillId="0" borderId="8" xfId="0" applyNumberFormat="1" applyFill="1" applyBorder="1" applyAlignment="1" applyProtection="1">
      <alignment vertical="center" wrapText="1"/>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9" fillId="6" borderId="51" xfId="0" applyNumberFormat="1" applyFont="1" applyFill="1" applyBorder="1" applyAlignment="1" applyProtection="1">
      <alignment horizontal="center" vertical="center"/>
    </xf>
    <xf numFmtId="0" fontId="32"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3" fillId="6" borderId="35" xfId="0" applyFont="1" applyFill="1" applyBorder="1" applyAlignment="1" applyProtection="1">
      <alignment horizontal="center" vertical="center" wrapText="1"/>
      <protection hidden="1"/>
    </xf>
    <xf numFmtId="0" fontId="33"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9"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0" fontId="3" fillId="6" borderId="32" xfId="0" applyFont="1" applyFill="1" applyBorder="1" applyAlignment="1" applyProtection="1">
      <alignment horizontal="left" vertical="center" wrapText="1" indent="2"/>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167"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1" fontId="3" fillId="2" borderId="19" xfId="0" applyNumberFormat="1" applyFont="1" applyFill="1" applyBorder="1" applyAlignment="1" applyProtection="1">
      <alignment horizontal="left"/>
    </xf>
    <xf numFmtId="3" fontId="6" fillId="2" borderId="14" xfId="0" applyNumberFormat="1" applyFont="1" applyFill="1" applyBorder="1" applyProtection="1"/>
    <xf numFmtId="3" fontId="1" fillId="2" borderId="19" xfId="0" applyNumberFormat="1" applyFont="1" applyFill="1" applyBorder="1" applyProtection="1"/>
    <xf numFmtId="3" fontId="50" fillId="2" borderId="14" xfId="0" applyNumberFormat="1" applyFont="1" applyFill="1" applyBorder="1" applyAlignment="1" applyProtection="1">
      <alignment horizontal="left" vertical="center" indent="1"/>
    </xf>
    <xf numFmtId="3" fontId="50"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1" fontId="3" fillId="2" borderId="20" xfId="0" applyNumberFormat="1" applyFont="1" applyFill="1" applyBorder="1" applyAlignment="1" applyProtection="1">
      <alignment horizontal="left"/>
    </xf>
    <xf numFmtId="3" fontId="31"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4" fillId="2" borderId="0" xfId="0" applyNumberFormat="1" applyFont="1" applyFill="1" applyBorder="1" applyAlignment="1" applyProtection="1">
      <alignment horizontal="center" vertical="center"/>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52"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14" fillId="2" borderId="48" xfId="0" applyNumberFormat="1" applyFont="1" applyFill="1" applyBorder="1" applyAlignment="1" applyProtection="1">
      <alignment horizontal="center" vertical="center"/>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1" fontId="29" fillId="2" borderId="35" xfId="0" applyNumberFormat="1" applyFont="1" applyFill="1" applyBorder="1" applyAlignment="1" applyProtection="1">
      <alignment horizontal="left" vertical="center"/>
    </xf>
    <xf numFmtId="3" fontId="53" fillId="2" borderId="28" xfId="0" applyNumberFormat="1" applyFont="1" applyFill="1" applyBorder="1" applyAlignment="1" applyProtection="1">
      <alignment vertical="center"/>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29" fillId="2" borderId="29" xfId="0" applyNumberFormat="1" applyFont="1" applyFill="1" applyBorder="1" applyAlignment="1" applyProtection="1">
      <alignmen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1" fontId="29" fillId="2" borderId="20" xfId="0" applyNumberFormat="1" applyFont="1" applyFill="1" applyBorder="1" applyAlignment="1" applyProtection="1">
      <alignment horizontal="left" vertical="center"/>
    </xf>
    <xf numFmtId="3" fontId="29" fillId="2" borderId="0"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1" fontId="31" fillId="2" borderId="21" xfId="0" applyNumberFormat="1" applyFont="1" applyFill="1" applyBorder="1" applyAlignment="1" applyProtection="1">
      <alignment horizontal="left" vertical="center"/>
    </xf>
    <xf numFmtId="3" fontId="31" fillId="2" borderId="50" xfId="0" applyNumberFormat="1" applyFont="1" applyFill="1" applyBorder="1" applyAlignment="1" applyProtection="1">
      <alignment vertical="center"/>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9" fillId="2" borderId="21" xfId="0" applyNumberFormat="1" applyFont="1" applyFill="1" applyBorder="1" applyAlignment="1" applyProtection="1">
      <alignment horizontal="center" vertical="center"/>
    </xf>
    <xf numFmtId="3" fontId="31" fillId="2" borderId="24" xfId="0" applyNumberFormat="1" applyFont="1" applyFill="1" applyBorder="1" applyAlignment="1" applyProtection="1">
      <alignment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4" fillId="2" borderId="49" xfId="0" applyNumberFormat="1" applyFont="1" applyFill="1" applyBorder="1" applyAlignment="1" applyProtection="1">
      <alignment horizontal="center" vertical="center"/>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164" fontId="14" fillId="2" borderId="67" xfId="0" applyNumberFormat="1" applyFont="1" applyFill="1" applyBorder="1" applyAlignment="1" applyProtection="1">
      <alignment horizontal="left" vertical="center"/>
    </xf>
    <xf numFmtId="3" fontId="14" fillId="2" borderId="68" xfId="0" applyNumberFormat="1" applyFont="1" applyFill="1" applyBorder="1" applyAlignment="1" applyProtection="1">
      <alignment horizontal="left" vertical="center"/>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164" fontId="14" fillId="2" borderId="5" xfId="0" applyNumberFormat="1" applyFont="1" applyFill="1" applyBorder="1" applyAlignment="1" applyProtection="1">
      <alignment horizontal="left" vertical="center"/>
    </xf>
    <xf numFmtId="3" fontId="15" fillId="2" borderId="9" xfId="0" applyNumberFormat="1" applyFont="1" applyFill="1" applyBorder="1" applyAlignment="1" applyProtection="1">
      <alignment horizontal="left" vertical="center"/>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horizontal="left" vertical="justify"/>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31" fillId="2" borderId="23"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5"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1" fontId="14" fillId="2" borderId="5"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4" fillId="2" borderId="0" xfId="0" applyNumberFormat="1" applyFont="1" applyFill="1" applyAlignment="1" applyProtection="1">
      <alignment vertical="center"/>
    </xf>
    <xf numFmtId="1" fontId="14" fillId="2" borderId="67" xfId="0" applyNumberFormat="1" applyFont="1" applyFill="1" applyBorder="1" applyAlignment="1" applyProtection="1">
      <alignment horizontal="left" vertical="center"/>
    </xf>
    <xf numFmtId="3" fontId="14" fillId="2" borderId="68" xfId="0" applyNumberFormat="1" applyFont="1" applyFill="1" applyBorder="1" applyAlignment="1" applyProtection="1">
      <alignment vertical="center"/>
    </xf>
    <xf numFmtId="3" fontId="15" fillId="2" borderId="67" xfId="0" applyNumberFormat="1" applyFont="1" applyFill="1" applyBorder="1" applyAlignment="1" applyProtection="1">
      <alignment horizontal="right" vertical="center"/>
    </xf>
    <xf numFmtId="3" fontId="15" fillId="2" borderId="30" xfId="0" applyNumberFormat="1" applyFont="1" applyFill="1" applyBorder="1" applyAlignment="1" applyProtection="1">
      <alignment horizontal="right" vertical="center"/>
    </xf>
    <xf numFmtId="3" fontId="15" fillId="2" borderId="68" xfId="0" applyNumberFormat="1" applyFont="1" applyFill="1" applyBorder="1" applyAlignment="1" applyProtection="1">
      <alignment horizontal="righ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52"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2" borderId="45" xfId="0" applyNumberFormat="1" applyFont="1" applyFill="1" applyBorder="1" applyAlignment="1" applyProtection="1">
      <alignment horizontal="left" vertical="center"/>
    </xf>
    <xf numFmtId="3" fontId="15" fillId="2" borderId="67" xfId="0" applyNumberFormat="1" applyFont="1" applyFill="1" applyBorder="1" applyAlignment="1" applyProtection="1">
      <alignment vertical="center"/>
    </xf>
    <xf numFmtId="3" fontId="15" fillId="2" borderId="30" xfId="0" applyNumberFormat="1" applyFont="1" applyFill="1" applyBorder="1" applyAlignment="1" applyProtection="1">
      <alignment vertical="center"/>
    </xf>
    <xf numFmtId="3" fontId="15" fillId="2" borderId="68" xfId="0" applyNumberFormat="1"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8" fillId="2" borderId="9" xfId="0" applyNumberFormat="1" applyFont="1" applyFill="1" applyBorder="1" applyAlignment="1" applyProtection="1">
      <alignment horizontal="left" vertical="center"/>
    </xf>
    <xf numFmtId="3" fontId="1" fillId="0" borderId="17" xfId="0" applyNumberFormat="1" applyFont="1" applyFill="1" applyBorder="1" applyAlignment="1" applyProtection="1">
      <alignment vertical="center"/>
    </xf>
    <xf numFmtId="3" fontId="1" fillId="0" borderId="18" xfId="0" applyNumberFormat="1" applyFont="1" applyFill="1" applyBorder="1" applyAlignment="1" applyProtection="1">
      <alignment vertical="center"/>
    </xf>
    <xf numFmtId="3" fontId="1" fillId="0" borderId="16"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2" borderId="20" xfId="0" applyNumberFormat="1" applyFont="1" applyFill="1" applyBorder="1" applyAlignment="1" applyProtection="1">
      <alignment vertical="center"/>
    </xf>
    <xf numFmtId="164" fontId="14" fillId="2" borderId="21" xfId="0" applyNumberFormat="1" applyFont="1" applyFill="1" applyBorder="1" applyAlignment="1" applyProtection="1">
      <alignment horizontal="left" vertical="center"/>
    </xf>
    <xf numFmtId="3" fontId="14" fillId="2" borderId="24" xfId="0" applyNumberFormat="1" applyFont="1" applyFill="1" applyBorder="1" applyAlignment="1" applyProtection="1">
      <alignment horizontal="left" vertical="center"/>
    </xf>
    <xf numFmtId="3" fontId="15" fillId="0" borderId="21" xfId="0" applyNumberFormat="1" applyFont="1" applyFill="1" applyBorder="1" applyAlignment="1" applyProtection="1">
      <alignment vertical="center"/>
    </xf>
    <xf numFmtId="3" fontId="15" fillId="0" borderId="23" xfId="0" applyNumberFormat="1" applyFont="1" applyFill="1" applyBorder="1" applyAlignment="1" applyProtection="1">
      <alignment vertical="center"/>
    </xf>
    <xf numFmtId="3" fontId="15" fillId="0" borderId="24"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1" fontId="42" fillId="2" borderId="16" xfId="0" applyNumberFormat="1" applyFont="1" applyFill="1" applyBorder="1" applyAlignment="1" applyProtection="1">
      <alignment horizontal="left" vertical="center"/>
    </xf>
    <xf numFmtId="3" fontId="43" fillId="2" borderId="18" xfId="0" applyNumberFormat="1" applyFont="1" applyFill="1" applyBorder="1" applyAlignment="1" applyProtection="1">
      <alignment horizontal="left" vertical="center" indent="2"/>
    </xf>
    <xf numFmtId="3" fontId="1" fillId="2" borderId="19" xfId="0" applyNumberFormat="1" applyFont="1" applyFill="1" applyBorder="1" applyAlignment="1" applyProtection="1">
      <alignment vertical="center"/>
    </xf>
    <xf numFmtId="3" fontId="15" fillId="0" borderId="21" xfId="0" applyNumberFormat="1" applyFont="1" applyFill="1" applyBorder="1" applyAlignment="1" applyProtection="1">
      <alignment horizontal="right" vertical="center"/>
    </xf>
    <xf numFmtId="3" fontId="15" fillId="0" borderId="23" xfId="0" applyNumberFormat="1" applyFont="1" applyFill="1" applyBorder="1" applyAlignment="1" applyProtection="1">
      <alignment horizontal="right" vertical="center"/>
    </xf>
    <xf numFmtId="3" fontId="15" fillId="0" borderId="50" xfId="0" applyNumberFormat="1" applyFont="1" applyFill="1" applyBorder="1" applyAlignment="1" applyProtection="1">
      <alignment horizontal="right" vertical="center"/>
    </xf>
    <xf numFmtId="3" fontId="9" fillId="0" borderId="5" xfId="0" applyNumberFormat="1" applyFont="1" applyFill="1" applyBorder="1" applyAlignment="1" applyProtection="1">
      <alignment vertical="center"/>
      <protection locked="0"/>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164" fontId="18" fillId="0" borderId="5" xfId="0" quotePrefix="1" applyNumberFormat="1" applyFont="1" applyFill="1" applyBorder="1" applyAlignment="1" applyProtection="1">
      <alignment horizontal="left" vertical="center"/>
    </xf>
    <xf numFmtId="3" fontId="18" fillId="2" borderId="11"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horizontal="lef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vertical="center"/>
    </xf>
    <xf numFmtId="3" fontId="9" fillId="0" borderId="16" xfId="0" applyNumberFormat="1" applyFont="1" applyFill="1" applyBorder="1" applyAlignment="1" applyProtection="1">
      <alignment vertical="center"/>
      <protection locked="0"/>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 fillId="2" borderId="60" xfId="0" applyNumberFormat="1" applyFont="1" applyFill="1" applyBorder="1" applyAlignment="1" applyProtection="1">
      <alignment horizontal="left" vertical="center"/>
    </xf>
    <xf numFmtId="3" fontId="1" fillId="2" borderId="13" xfId="0" applyNumberFormat="1" applyFont="1" applyFill="1" applyBorder="1" applyAlignment="1" applyProtection="1">
      <alignment vertical="center"/>
    </xf>
    <xf numFmtId="164" fontId="14" fillId="2" borderId="19" xfId="0" quotePrefix="1" applyNumberFormat="1" applyFont="1" applyFill="1" applyBorder="1" applyAlignment="1" applyProtection="1">
      <alignment horizontal="left" vertical="center"/>
    </xf>
    <xf numFmtId="3" fontId="15" fillId="2" borderId="71" xfId="0" applyNumberFormat="1" applyFont="1" applyFill="1" applyBorder="1" applyAlignment="1" applyProtection="1">
      <alignment horizontal="left" vertical="center"/>
    </xf>
    <xf numFmtId="3" fontId="15" fillId="2" borderId="55" xfId="0" applyNumberFormat="1" applyFont="1" applyFill="1" applyBorder="1" applyAlignment="1" applyProtection="1">
      <alignment vertical="center"/>
    </xf>
    <xf numFmtId="3" fontId="15" fillId="2" borderId="56" xfId="0" applyNumberFormat="1" applyFont="1" applyFill="1" applyBorder="1" applyAlignment="1" applyProtection="1">
      <alignment vertical="center"/>
    </xf>
    <xf numFmtId="3" fontId="15" fillId="2" borderId="66"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164" fontId="14" fillId="2" borderId="46" xfId="0" quotePrefix="1" applyNumberFormat="1" applyFont="1" applyFill="1" applyBorder="1" applyAlignment="1" applyProtection="1">
      <alignment horizontal="left" vertical="center"/>
    </xf>
    <xf numFmtId="3" fontId="15" fillId="2" borderId="36" xfId="0" applyNumberFormat="1" applyFont="1" applyFill="1" applyBorder="1" applyAlignment="1" applyProtection="1">
      <alignment horizontal="lef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164" fontId="14" fillId="0" borderId="20" xfId="0" quotePrefix="1" applyNumberFormat="1" applyFont="1" applyFill="1" applyBorder="1" applyAlignment="1" applyProtection="1">
      <alignment horizontal="left" vertical="center"/>
    </xf>
    <xf numFmtId="3" fontId="15" fillId="0" borderId="20" xfId="0" applyNumberFormat="1" applyFont="1" applyFill="1" applyBorder="1" applyAlignment="1" applyProtection="1">
      <alignment horizontal="left" vertical="center"/>
    </xf>
    <xf numFmtId="3" fontId="15" fillId="0" borderId="44" xfId="0" applyNumberFormat="1" applyFont="1" applyFill="1" applyBorder="1" applyAlignment="1" applyProtection="1">
      <alignment vertical="center"/>
    </xf>
    <xf numFmtId="3" fontId="15" fillId="0" borderId="65"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48" xfId="0" applyNumberFormat="1" applyFont="1" applyFill="1" applyBorder="1" applyAlignment="1" applyProtection="1">
      <alignment horizontal="left" vertical="center"/>
    </xf>
    <xf numFmtId="164" fontId="14" fillId="2" borderId="41" xfId="0" quotePrefix="1" applyNumberFormat="1" applyFont="1" applyFill="1" applyBorder="1" applyAlignment="1" applyProtection="1">
      <alignment horizontal="left" vertical="center"/>
    </xf>
    <xf numFmtId="3" fontId="15" fillId="2" borderId="41" xfId="0" applyNumberFormat="1" applyFont="1" applyFill="1" applyBorder="1" applyAlignment="1" applyProtection="1">
      <alignment horizontal="lef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1" fontId="3" fillId="2" borderId="0" xfId="0" applyNumberFormat="1" applyFont="1" applyFill="1" applyAlignment="1" applyProtection="1">
      <alignment horizontal="left" vertical="center"/>
    </xf>
    <xf numFmtId="164" fontId="4" fillId="2" borderId="16" xfId="0" applyNumberFormat="1" applyFont="1" applyFill="1" applyBorder="1" applyAlignment="1" applyProtection="1">
      <alignment horizontal="left" vertical="center"/>
    </xf>
    <xf numFmtId="3" fontId="4" fillId="2" borderId="18" xfId="0" applyNumberFormat="1" applyFont="1" applyFill="1" applyBorder="1" applyAlignment="1" applyProtection="1">
      <alignment horizontal="lef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4" fillId="2" borderId="2"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9" fillId="2" borderId="8" xfId="0" applyNumberFormat="1" applyFont="1" applyFill="1" applyBorder="1" applyAlignment="1" applyProtection="1">
      <alignment horizontal="center" vertical="center"/>
    </xf>
    <xf numFmtId="3" fontId="31" fillId="2" borderId="8" xfId="0" applyNumberFormat="1" applyFont="1" applyFill="1" applyBorder="1" applyAlignment="1" applyProtection="1">
      <alignment vertical="center"/>
    </xf>
    <xf numFmtId="3" fontId="9" fillId="2" borderId="8" xfId="0" applyNumberFormat="1" applyFont="1" applyFill="1" applyBorder="1" applyAlignment="1" applyProtection="1">
      <alignment horizontal="right" vertical="center"/>
      <protection locked="0"/>
    </xf>
    <xf numFmtId="1" fontId="14" fillId="2" borderId="8" xfId="0" applyNumberFormat="1" applyFont="1" applyFill="1" applyBorder="1" applyAlignment="1" applyProtection="1">
      <alignment horizontal="center" vertical="center" wrapText="1"/>
    </xf>
    <xf numFmtId="3" fontId="14" fillId="2" borderId="8"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vertical="center"/>
    </xf>
    <xf numFmtId="3" fontId="9" fillId="2" borderId="49" xfId="0" applyNumberFormat="1" applyFont="1" applyFill="1" applyBorder="1" applyAlignment="1" applyProtection="1">
      <alignment vertical="center"/>
    </xf>
    <xf numFmtId="164" fontId="14" fillId="2" borderId="8" xfId="0" applyNumberFormat="1" applyFont="1" applyFill="1" applyBorder="1" applyAlignment="1" applyProtection="1">
      <alignment horizontal="left" vertical="center"/>
    </xf>
    <xf numFmtId="3" fontId="14" fillId="2" borderId="8" xfId="0" applyNumberFormat="1" applyFont="1" applyFill="1" applyBorder="1" applyAlignment="1" applyProtection="1">
      <alignment horizontal="left" vertical="center"/>
    </xf>
    <xf numFmtId="3" fontId="1" fillId="2" borderId="8" xfId="0" applyNumberFormat="1" applyFont="1" applyFill="1" applyBorder="1" applyAlignment="1" applyProtection="1">
      <alignment horizontal="left" vertical="center"/>
    </xf>
    <xf numFmtId="164" fontId="18" fillId="2" borderId="8" xfId="0" applyNumberFormat="1" applyFont="1" applyFill="1" applyBorder="1" applyAlignment="1" applyProtection="1">
      <alignment horizontal="left" vertical="center"/>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14" fillId="2" borderId="45" xfId="0" applyNumberFormat="1" applyFont="1" applyFill="1" applyBorder="1" applyAlignment="1" applyProtection="1">
      <alignment horizontal="center"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9" fillId="2" borderId="5" xfId="0" applyNumberFormat="1" applyFont="1" applyFill="1" applyBorder="1" applyAlignment="1" applyProtection="1">
      <alignment horizontal="center" vertical="center"/>
    </xf>
    <xf numFmtId="3" fontId="31" fillId="2" borderId="9" xfId="0" applyNumberFormat="1" applyFont="1" applyFill="1" applyBorder="1" applyAlignment="1" applyProtection="1">
      <alignment vertical="center"/>
    </xf>
    <xf numFmtId="164" fontId="18" fillId="2" borderId="5" xfId="0" applyNumberFormat="1" applyFont="1" applyFill="1" applyBorder="1" applyAlignment="1" applyProtection="1">
      <alignment horizontal="left" vertical="center"/>
    </xf>
    <xf numFmtId="164" fontId="18" fillId="2" borderId="16" xfId="0" applyNumberFormat="1" applyFont="1" applyFill="1" applyBorder="1" applyAlignment="1" applyProtection="1">
      <alignment horizontal="left" vertical="center"/>
    </xf>
    <xf numFmtId="3" fontId="1" fillId="2" borderId="18" xfId="0" applyNumberFormat="1" applyFont="1" applyFill="1" applyBorder="1" applyAlignment="1" applyProtection="1">
      <alignment horizontal="left" vertical="center"/>
    </xf>
    <xf numFmtId="1" fontId="3" fillId="2" borderId="0" xfId="0" applyNumberFormat="1" applyFont="1" applyFill="1" applyAlignment="1" applyProtection="1">
      <alignment horizontal="left"/>
    </xf>
    <xf numFmtId="3" fontId="1" fillId="2" borderId="0" xfId="0" applyNumberFormat="1" applyFont="1" applyFill="1" applyBorder="1" applyAlignment="1" applyProtection="1">
      <alignment horizontal="left"/>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164" fontId="29" fillId="2" borderId="35" xfId="0" applyNumberFormat="1" applyFont="1" applyFill="1" applyBorder="1" applyAlignment="1" applyProtection="1">
      <alignment horizontal="center" vertical="center"/>
    </xf>
    <xf numFmtId="3" fontId="31" fillId="2" borderId="29" xfId="0" applyNumberFormat="1" applyFont="1" applyFill="1" applyBorder="1" applyAlignment="1" applyProtection="1">
      <alignment vertical="center"/>
    </xf>
    <xf numFmtId="3" fontId="9" fillId="2" borderId="51"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3" fontId="53" fillId="2" borderId="29" xfId="0" applyNumberFormat="1" applyFont="1" applyFill="1" applyBorder="1" applyAlignment="1" applyProtection="1">
      <alignment vertical="center"/>
    </xf>
    <xf numFmtId="1" fontId="29" fillId="2" borderId="19" xfId="0" applyNumberFormat="1" applyFont="1" applyFill="1" applyBorder="1" applyAlignment="1" applyProtection="1">
      <alignment horizontal="left" vertical="center"/>
    </xf>
    <xf numFmtId="3" fontId="29" fillId="2" borderId="14" xfId="0" applyNumberFormat="1" applyFont="1" applyFill="1" applyBorder="1" applyAlignment="1" applyProtection="1">
      <alignment vertical="center"/>
    </xf>
    <xf numFmtId="3" fontId="15" fillId="2" borderId="14" xfId="0" applyNumberFormat="1" applyFont="1" applyFill="1" applyBorder="1" applyAlignment="1" applyProtection="1">
      <alignment horizontal="right" vertical="center"/>
    </xf>
    <xf numFmtId="3" fontId="15" fillId="2" borderId="42" xfId="0" applyNumberFormat="1" applyFont="1" applyFill="1" applyBorder="1" applyAlignment="1" applyProtection="1">
      <alignment horizontal="right" vertical="center"/>
    </xf>
    <xf numFmtId="3" fontId="14" fillId="2" borderId="69" xfId="0" applyNumberFormat="1" applyFont="1" applyFill="1" applyBorder="1" applyAlignment="1" applyProtection="1">
      <alignment horizontal="left" vertical="center"/>
    </xf>
    <xf numFmtId="3" fontId="15" fillId="2" borderId="11" xfId="0" applyNumberFormat="1" applyFont="1" applyFill="1" applyBorder="1" applyAlignment="1" applyProtection="1">
      <alignment horizontal="left" vertical="center"/>
    </xf>
    <xf numFmtId="3" fontId="1" fillId="2" borderId="74" xfId="0" applyNumberFormat="1" applyFont="1" applyFill="1" applyBorder="1" applyAlignment="1" applyProtection="1">
      <alignment horizontal="left" vertical="center"/>
    </xf>
    <xf numFmtId="3" fontId="7" fillId="2" borderId="27" xfId="0" applyNumberFormat="1" applyFont="1" applyFill="1" applyBorder="1" applyAlignment="1" applyProtection="1">
      <alignment horizontal="left" vertical="center"/>
    </xf>
    <xf numFmtId="3" fontId="7" fillId="2" borderId="16" xfId="0" applyNumberFormat="1" applyFont="1" applyFill="1" applyBorder="1" applyAlignment="1" applyProtection="1">
      <alignment vertical="center"/>
    </xf>
    <xf numFmtId="3" fontId="14" fillId="2" borderId="1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horizontal="left" vertical="center"/>
    </xf>
    <xf numFmtId="3" fontId="15" fillId="2" borderId="19" xfId="0" applyNumberFormat="1" applyFont="1" applyFill="1" applyBorder="1" applyAlignment="1" applyProtection="1">
      <alignment horizontal="left" vertical="center"/>
    </xf>
    <xf numFmtId="164" fontId="14" fillId="2" borderId="20" xfId="0" quotePrefix="1" applyNumberFormat="1" applyFont="1" applyFill="1" applyBorder="1" applyAlignment="1" applyProtection="1">
      <alignment horizontal="left" vertical="center"/>
    </xf>
    <xf numFmtId="3" fontId="15" fillId="2" borderId="20" xfId="0" applyNumberFormat="1" applyFont="1" applyFill="1" applyBorder="1" applyAlignment="1" applyProtection="1">
      <alignment horizontal="left" vertical="center"/>
    </xf>
    <xf numFmtId="3" fontId="15" fillId="2" borderId="65" xfId="0" applyNumberFormat="1" applyFont="1" applyFill="1" applyBorder="1" applyAlignment="1" applyProtection="1">
      <alignment vertical="center"/>
    </xf>
    <xf numFmtId="3" fontId="15" fillId="2" borderId="43" xfId="0" applyNumberFormat="1" applyFont="1" applyFill="1" applyBorder="1" applyAlignment="1" applyProtection="1">
      <alignment vertical="center"/>
    </xf>
    <xf numFmtId="3" fontId="15" fillId="2" borderId="44" xfId="0" applyNumberFormat="1" applyFont="1" applyFill="1" applyBorder="1" applyAlignment="1" applyProtection="1">
      <alignment vertical="center"/>
    </xf>
    <xf numFmtId="3" fontId="4" fillId="2" borderId="37" xfId="0" applyNumberFormat="1" applyFont="1" applyFill="1" applyBorder="1" applyAlignment="1" applyProtection="1">
      <alignment horizontal="left" vertical="center"/>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8" xfId="0" applyNumberFormat="1" applyFont="1" applyFill="1" applyBorder="1" applyAlignment="1" applyProtection="1">
      <alignment vertical="center"/>
      <protection locked="0"/>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4" fillId="0" borderId="0" xfId="0" applyNumberFormat="1" applyFont="1" applyFill="1" applyAlignment="1" applyProtection="1">
      <alignment vertical="center"/>
    </xf>
    <xf numFmtId="1" fontId="31" fillId="0" borderId="21" xfId="0" applyNumberFormat="1" applyFont="1" applyFill="1" applyBorder="1" applyAlignment="1" applyProtection="1">
      <alignment horizontal="left" vertical="center"/>
    </xf>
    <xf numFmtId="3" fontId="31" fillId="0" borderId="24" xfId="0" applyNumberFormat="1" applyFont="1" applyFill="1" applyBorder="1" applyAlignment="1" applyProtection="1">
      <alignment vertical="center"/>
    </xf>
    <xf numFmtId="3" fontId="18" fillId="0" borderId="9" xfId="0" applyNumberFormat="1" applyFont="1" applyFill="1" applyBorder="1" applyAlignment="1" applyProtection="1">
      <alignment horizontal="left" vertical="center"/>
    </xf>
    <xf numFmtId="1" fontId="4" fillId="0" borderId="5" xfId="0" applyNumberFormat="1" applyFont="1" applyFill="1" applyBorder="1" applyAlignment="1" applyProtection="1">
      <alignment horizontal="left" vertical="center"/>
      <protection hidden="1"/>
    </xf>
    <xf numFmtId="3" fontId="4" fillId="0" borderId="9" xfId="0" applyNumberFormat="1" applyFont="1" applyFill="1" applyBorder="1" applyAlignment="1" applyProtection="1">
      <alignment vertical="center"/>
      <protection hidden="1"/>
    </xf>
    <xf numFmtId="3" fontId="9" fillId="0" borderId="5" xfId="0" applyNumberFormat="1" applyFont="1" applyFill="1" applyBorder="1" applyAlignment="1" applyProtection="1">
      <alignment vertical="center"/>
      <protection hidden="1"/>
    </xf>
    <xf numFmtId="3" fontId="3" fillId="0" borderId="8" xfId="0" applyNumberFormat="1" applyFont="1" applyFill="1" applyBorder="1" applyAlignment="1" applyProtection="1">
      <alignment vertical="center"/>
      <protection hidden="1"/>
    </xf>
    <xf numFmtId="3" fontId="3" fillId="0" borderId="9" xfId="0" applyNumberFormat="1" applyFont="1" applyFill="1" applyBorder="1" applyAlignment="1" applyProtection="1">
      <alignment vertical="center"/>
      <protection hidden="1"/>
    </xf>
    <xf numFmtId="3" fontId="3" fillId="0" borderId="5" xfId="0" applyNumberFormat="1" applyFont="1" applyFill="1" applyBorder="1" applyAlignment="1" applyProtection="1">
      <alignment vertical="center"/>
      <protection hidden="1"/>
    </xf>
    <xf numFmtId="3" fontId="9" fillId="0" borderId="8" xfId="0" applyNumberFormat="1" applyFont="1" applyFill="1" applyBorder="1" applyAlignment="1" applyProtection="1">
      <alignment vertical="center"/>
      <protection hidden="1"/>
    </xf>
    <xf numFmtId="3" fontId="1" fillId="0" borderId="0" xfId="0" applyNumberFormat="1" applyFont="1" applyFill="1" applyAlignment="1" applyProtection="1">
      <alignment vertical="center"/>
      <protection hidden="1"/>
    </xf>
    <xf numFmtId="3" fontId="9" fillId="0" borderId="9" xfId="0" applyNumberFormat="1" applyFont="1" applyFill="1" applyBorder="1" applyAlignment="1" applyProtection="1">
      <alignment vertical="center"/>
      <protection hidden="1"/>
    </xf>
    <xf numFmtId="3" fontId="15" fillId="0" borderId="9" xfId="0" applyNumberFormat="1" applyFont="1" applyFill="1" applyBorder="1" applyAlignment="1" applyProtection="1">
      <alignment vertical="center" wrapText="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1" fontId="4" fillId="2" borderId="5" xfId="0" applyNumberFormat="1" applyFont="1" applyFill="1" applyBorder="1" applyAlignment="1" applyProtection="1">
      <alignment horizontal="left" vertical="center"/>
      <protection hidden="1"/>
    </xf>
    <xf numFmtId="3" fontId="4" fillId="2" borderId="9" xfId="0" applyNumberFormat="1" applyFont="1" applyFill="1" applyBorder="1" applyAlignment="1" applyProtection="1">
      <alignment vertical="center"/>
      <protection hidden="1"/>
    </xf>
    <xf numFmtId="3" fontId="3" fillId="2" borderId="8" xfId="0" applyNumberFormat="1" applyFont="1" applyFill="1" applyBorder="1" applyAlignment="1" applyProtection="1">
      <alignment vertical="center"/>
      <protection hidden="1"/>
    </xf>
    <xf numFmtId="3" fontId="3" fillId="2" borderId="9" xfId="0" applyNumberFormat="1" applyFont="1" applyFill="1" applyBorder="1" applyAlignment="1" applyProtection="1">
      <alignment vertical="center"/>
      <protection hidden="1"/>
    </xf>
    <xf numFmtId="3" fontId="3" fillId="2" borderId="5" xfId="0" applyNumberFormat="1" applyFont="1" applyFill="1" applyBorder="1" applyAlignment="1" applyProtection="1">
      <alignment vertical="center"/>
      <protection hidden="1"/>
    </xf>
    <xf numFmtId="3" fontId="9" fillId="4" borderId="8" xfId="0" applyNumberFormat="1" applyFont="1" applyFill="1" applyBorder="1" applyAlignment="1" applyProtection="1">
      <alignment vertical="center"/>
      <protection hidden="1"/>
    </xf>
    <xf numFmtId="3" fontId="9" fillId="4" borderId="5" xfId="0" applyNumberFormat="1" applyFont="1" applyFill="1" applyBorder="1" applyAlignment="1" applyProtection="1">
      <alignment vertical="center"/>
      <protection hidden="1"/>
    </xf>
    <xf numFmtId="3" fontId="9" fillId="4" borderId="9" xfId="0" applyNumberFormat="1" applyFont="1" applyFill="1" applyBorder="1" applyAlignment="1" applyProtection="1">
      <alignment vertical="center"/>
      <protection hidden="1"/>
    </xf>
    <xf numFmtId="3" fontId="1" fillId="2" borderId="0" xfId="0" applyNumberFormat="1" applyFont="1" applyFill="1" applyAlignment="1" applyProtection="1">
      <alignment vertical="center"/>
      <protection hidden="1"/>
    </xf>
    <xf numFmtId="1" fontId="7" fillId="2" borderId="5" xfId="0" applyNumberFormat="1" applyFont="1" applyFill="1" applyBorder="1" applyAlignment="1" applyProtection="1">
      <alignment horizontal="left" vertical="center"/>
      <protection hidden="1"/>
    </xf>
    <xf numFmtId="3" fontId="15" fillId="2" borderId="9" xfId="0" applyNumberFormat="1" applyFont="1" applyFill="1" applyBorder="1" applyAlignment="1" applyProtection="1">
      <alignment vertical="center"/>
      <protection hidden="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3"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3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6"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7" fillId="6" borderId="26" xfId="0" applyFont="1" applyFill="1" applyBorder="1" applyAlignment="1" applyProtection="1">
      <alignment horizontal="left" vertical="center" wrapText="1" indent="2"/>
      <protection hidden="1"/>
    </xf>
    <xf numFmtId="0" fontId="3" fillId="6" borderId="26" xfId="0" applyFont="1" applyFill="1" applyBorder="1" applyAlignment="1" applyProtection="1">
      <alignment horizontal="left" vertical="center" wrapText="1" indent="2"/>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5" fillId="6" borderId="46" xfId="0" applyFont="1" applyFill="1" applyBorder="1" applyAlignment="1" applyProtection="1">
      <alignment vertical="center" wrapText="1"/>
      <protection hidden="1"/>
    </xf>
    <xf numFmtId="0" fontId="28"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2"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7" fillId="6" borderId="35" xfId="0" applyFont="1" applyFill="1" applyBorder="1" applyAlignment="1" applyProtection="1">
      <alignment horizontal="center" vertical="center" wrapText="1"/>
      <protection hidden="1"/>
    </xf>
    <xf numFmtId="0" fontId="27" fillId="6" borderId="28" xfId="0" applyFont="1" applyFill="1" applyBorder="1" applyAlignment="1" applyProtection="1">
      <alignment horizontal="center" vertical="center" wrapText="1"/>
      <protection hidden="1"/>
    </xf>
    <xf numFmtId="0" fontId="27"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38" fillId="2" borderId="0" xfId="0" applyFont="1"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3"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9" fillId="2" borderId="0" xfId="0" applyFont="1" applyFill="1" applyAlignment="1" applyProtection="1">
      <alignment vertical="center"/>
      <protection hidden="1"/>
    </xf>
    <xf numFmtId="0" fontId="25" fillId="5" borderId="0" xfId="0" applyFont="1" applyFill="1" applyBorder="1" applyAlignment="1" applyProtection="1">
      <alignment horizontal="center" vertical="center" wrapText="1"/>
      <protection hidden="1"/>
    </xf>
    <xf numFmtId="0" fontId="26" fillId="5" borderId="0" xfId="0" applyFont="1" applyFill="1" applyBorder="1" applyAlignment="1" applyProtection="1">
      <alignment horizontal="right" vertical="center"/>
      <protection hidden="1"/>
    </xf>
    <xf numFmtId="0" fontId="22" fillId="0" borderId="0" xfId="0" applyFont="1" applyFill="1" applyBorder="1" applyProtection="1">
      <protection hidden="1"/>
    </xf>
    <xf numFmtId="0" fontId="20" fillId="2" borderId="12" xfId="0" applyFont="1" applyFill="1" applyBorder="1" applyAlignment="1" applyProtection="1">
      <alignment wrapText="1"/>
      <protection hidden="1"/>
    </xf>
    <xf numFmtId="0" fontId="22" fillId="0" borderId="0" xfId="0" applyFont="1" applyFill="1" applyProtection="1">
      <protection hidden="1"/>
    </xf>
    <xf numFmtId="0" fontId="22" fillId="0" borderId="0" xfId="0" applyFont="1" applyFill="1" applyAlignment="1" applyProtection="1">
      <alignment vertical="center"/>
      <protection hidden="1"/>
    </xf>
    <xf numFmtId="0" fontId="0" fillId="0" borderId="0" xfId="0" applyAlignment="1" applyProtection="1">
      <alignment vertical="center"/>
      <protection hidden="1"/>
    </xf>
    <xf numFmtId="0" fontId="22"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7" fillId="0" borderId="0" xfId="0" applyFont="1" applyFill="1" applyAlignment="1" applyProtection="1">
      <alignment vertical="center"/>
      <protection hidden="1"/>
    </xf>
    <xf numFmtId="3" fontId="9" fillId="8" borderId="8" xfId="0" applyNumberFormat="1" applyFont="1" applyFill="1" applyBorder="1" applyAlignment="1" applyProtection="1">
      <alignment vertical="center"/>
      <protection locked="0"/>
    </xf>
    <xf numFmtId="3" fontId="9" fillId="0" borderId="8" xfId="0" applyNumberFormat="1" applyFont="1" applyFill="1" applyBorder="1" applyAlignment="1" applyProtection="1">
      <alignment vertical="center"/>
      <protection locked="0"/>
    </xf>
    <xf numFmtId="3" fontId="9" fillId="4" borderId="8" xfId="0" applyNumberFormat="1" applyFont="1" applyFill="1" applyBorder="1" applyAlignment="1" applyProtection="1">
      <alignment vertical="center"/>
    </xf>
    <xf numFmtId="3" fontId="50" fillId="0" borderId="14" xfId="0" applyNumberFormat="1" applyFont="1" applyFill="1" applyBorder="1" applyAlignment="1" applyProtection="1">
      <alignment vertical="center"/>
    </xf>
    <xf numFmtId="3" fontId="14" fillId="0" borderId="42" xfId="0" applyNumberFormat="1" applyFont="1" applyFill="1" applyBorder="1" applyAlignment="1" applyProtection="1"/>
    <xf numFmtId="3" fontId="15" fillId="0" borderId="7" xfId="0" applyNumberFormat="1" applyFont="1" applyFill="1" applyBorder="1" applyAlignment="1" applyProtection="1">
      <alignment horizontal="center" vertical="center"/>
    </xf>
    <xf numFmtId="3" fontId="15" fillId="0" borderId="34" xfId="0" applyNumberFormat="1" applyFont="1" applyFill="1" applyBorder="1" applyAlignment="1" applyProtection="1">
      <alignment horizontal="center" vertical="center"/>
    </xf>
    <xf numFmtId="3" fontId="15" fillId="0" borderId="38" xfId="0" applyNumberFormat="1" applyFont="1" applyFill="1" applyBorder="1" applyAlignment="1" applyProtection="1">
      <alignment horizontal="center" vertical="center"/>
    </xf>
    <xf numFmtId="3" fontId="15" fillId="0" borderId="48" xfId="0" applyNumberFormat="1" applyFont="1" applyFill="1" applyBorder="1" applyAlignment="1" applyProtection="1">
      <alignment horizontal="center" vertical="center"/>
    </xf>
    <xf numFmtId="3" fontId="15" fillId="0" borderId="28" xfId="0" applyNumberFormat="1" applyFont="1" applyFill="1" applyBorder="1" applyAlignment="1" applyProtection="1">
      <alignment horizontal="right" vertical="center"/>
    </xf>
    <xf numFmtId="3" fontId="15" fillId="0" borderId="14" xfId="0" applyNumberFormat="1" applyFont="1" applyFill="1" applyBorder="1" applyAlignment="1" applyProtection="1">
      <alignment horizontal="right" vertical="center"/>
    </xf>
    <xf numFmtId="3" fontId="15" fillId="0" borderId="0" xfId="0" applyNumberFormat="1" applyFont="1" applyFill="1" applyBorder="1" applyAlignment="1" applyProtection="1">
      <alignment horizontal="right" vertical="center"/>
    </xf>
    <xf numFmtId="3" fontId="1" fillId="0" borderId="14" xfId="0" applyNumberFormat="1" applyFont="1" applyFill="1" applyBorder="1" applyAlignment="1" applyProtection="1">
      <alignment vertical="center"/>
    </xf>
    <xf numFmtId="3" fontId="1" fillId="0" borderId="45" xfId="0" applyNumberFormat="1" applyFont="1" applyFill="1" applyBorder="1" applyAlignment="1" applyProtection="1">
      <alignment vertical="center"/>
    </xf>
    <xf numFmtId="3" fontId="15" fillId="0" borderId="8" xfId="0" applyNumberFormat="1" applyFont="1" applyFill="1" applyBorder="1" applyAlignment="1" applyProtection="1">
      <alignment horizontal="right" vertical="center"/>
    </xf>
    <xf numFmtId="3" fontId="15" fillId="0" borderId="9" xfId="0" applyNumberFormat="1" applyFont="1" applyFill="1" applyBorder="1" applyAlignment="1" applyProtection="1">
      <alignment horizontal="right" vertical="center"/>
    </xf>
    <xf numFmtId="3" fontId="15" fillId="0" borderId="5" xfId="0" applyNumberFormat="1" applyFont="1" applyFill="1" applyBorder="1" applyAlignment="1" applyProtection="1">
      <alignment horizontal="right" vertical="center"/>
    </xf>
    <xf numFmtId="3" fontId="15" fillId="0" borderId="30" xfId="0" applyNumberFormat="1" applyFont="1" applyFill="1" applyBorder="1" applyAlignment="1" applyProtection="1">
      <alignment horizontal="right" vertical="center"/>
    </xf>
    <xf numFmtId="3" fontId="15" fillId="0" borderId="68" xfId="0" applyNumberFormat="1" applyFont="1" applyFill="1" applyBorder="1" applyAlignment="1" applyProtection="1">
      <alignment horizontal="right" vertical="center"/>
    </xf>
    <xf numFmtId="3" fontId="15" fillId="0" borderId="67" xfId="0" applyNumberFormat="1" applyFont="1" applyFill="1" applyBorder="1" applyAlignment="1" applyProtection="1">
      <alignment horizontal="right" vertical="center"/>
    </xf>
    <xf numFmtId="3" fontId="3" fillId="0" borderId="8" xfId="0" applyNumberFormat="1" applyFont="1" applyFill="1" applyBorder="1" applyAlignment="1" applyProtection="1">
      <alignment horizontal="right" vertical="center"/>
    </xf>
    <xf numFmtId="3" fontId="3" fillId="0" borderId="9" xfId="0" applyNumberFormat="1" applyFont="1" applyFill="1" applyBorder="1" applyAlignment="1" applyProtection="1">
      <alignment horizontal="right" vertical="center"/>
    </xf>
    <xf numFmtId="3" fontId="3" fillId="0" borderId="5" xfId="0" applyNumberFormat="1" applyFont="1" applyFill="1" applyBorder="1" applyAlignment="1" applyProtection="1">
      <alignment horizontal="right" vertical="center"/>
    </xf>
    <xf numFmtId="3" fontId="15" fillId="0" borderId="30" xfId="0" applyNumberFormat="1" applyFont="1" applyFill="1" applyBorder="1" applyAlignment="1" applyProtection="1">
      <alignment vertical="center"/>
    </xf>
    <xf numFmtId="3" fontId="15" fillId="0" borderId="68" xfId="0" applyNumberFormat="1" applyFont="1" applyFill="1" applyBorder="1" applyAlignment="1" applyProtection="1">
      <alignment vertical="center"/>
    </xf>
    <xf numFmtId="3" fontId="15" fillId="0" borderId="67" xfId="0" applyNumberFormat="1" applyFont="1" applyFill="1" applyBorder="1" applyAlignment="1" applyProtection="1">
      <alignment vertical="center"/>
    </xf>
    <xf numFmtId="3" fontId="1" fillId="0" borderId="8" xfId="0" applyNumberFormat="1" applyFont="1" applyFill="1" applyBorder="1" applyAlignment="1" applyProtection="1">
      <alignment horizontal="right" vertical="center"/>
    </xf>
    <xf numFmtId="3" fontId="1" fillId="0" borderId="9" xfId="0" applyNumberFormat="1" applyFont="1" applyFill="1" applyBorder="1" applyAlignment="1" applyProtection="1">
      <alignment horizontal="right" vertical="center"/>
    </xf>
    <xf numFmtId="3" fontId="1" fillId="0" borderId="5" xfId="0" applyNumberFormat="1" applyFont="1" applyFill="1" applyBorder="1" applyAlignment="1" applyProtection="1">
      <alignment horizontal="right" vertical="center"/>
    </xf>
    <xf numFmtId="3" fontId="9" fillId="0" borderId="17" xfId="0" applyNumberFormat="1" applyFont="1" applyFill="1" applyBorder="1" applyAlignment="1" applyProtection="1">
      <alignment vertical="center"/>
      <protection locked="0"/>
    </xf>
    <xf numFmtId="3" fontId="15" fillId="0" borderId="24" xfId="0" applyNumberFormat="1" applyFont="1" applyFill="1" applyBorder="1" applyAlignment="1" applyProtection="1">
      <alignment horizontal="right" vertical="center"/>
    </xf>
    <xf numFmtId="3" fontId="1" fillId="0" borderId="12" xfId="0" applyNumberFormat="1" applyFont="1" applyFill="1" applyBorder="1" applyAlignment="1" applyProtection="1">
      <alignment vertical="center"/>
    </xf>
    <xf numFmtId="3" fontId="15" fillId="0" borderId="56" xfId="0" applyNumberFormat="1" applyFont="1" applyFill="1" applyBorder="1" applyAlignment="1" applyProtection="1">
      <alignment vertical="center"/>
    </xf>
    <xf numFmtId="3" fontId="15" fillId="0" borderId="66" xfId="0" applyNumberFormat="1" applyFont="1" applyFill="1" applyBorder="1" applyAlignment="1" applyProtection="1">
      <alignment vertical="center"/>
    </xf>
    <xf numFmtId="3" fontId="15" fillId="0" borderId="55" xfId="0" applyNumberFormat="1" applyFont="1" applyFill="1" applyBorder="1" applyAlignment="1" applyProtection="1">
      <alignment vertical="center"/>
    </xf>
    <xf numFmtId="3" fontId="15" fillId="0" borderId="48" xfId="0" applyNumberFormat="1" applyFont="1" applyFill="1" applyBorder="1" applyAlignment="1" applyProtection="1">
      <alignment vertical="center"/>
    </xf>
    <xf numFmtId="3" fontId="15" fillId="0" borderId="59" xfId="0" applyNumberFormat="1" applyFont="1" applyFill="1" applyBorder="1" applyAlignment="1" applyProtection="1">
      <alignment vertical="center"/>
    </xf>
    <xf numFmtId="3" fontId="15" fillId="0" borderId="73" xfId="0" applyNumberFormat="1" applyFont="1" applyFill="1" applyBorder="1" applyAlignment="1" applyProtection="1">
      <alignment vertical="center"/>
    </xf>
    <xf numFmtId="3" fontId="15" fillId="0" borderId="63" xfId="0" applyNumberFormat="1" applyFont="1" applyFill="1" applyBorder="1" applyAlignment="1" applyProtection="1">
      <alignment vertical="center"/>
    </xf>
    <xf numFmtId="3" fontId="9" fillId="9" borderId="8" xfId="0" applyNumberFormat="1" applyFont="1" applyFill="1" applyBorder="1" applyAlignment="1" applyProtection="1">
      <alignment vertical="center"/>
      <protection locked="0"/>
    </xf>
    <xf numFmtId="3" fontId="3" fillId="0" borderId="11" xfId="0" applyNumberFormat="1" applyFont="1" applyFill="1" applyBorder="1" applyAlignment="1" applyProtection="1">
      <alignment horizontal="right" vertical="center"/>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5" fillId="0" borderId="20" xfId="0" applyFont="1" applyBorder="1" applyAlignment="1" applyProtection="1">
      <alignment horizontal="justify" vertical="top"/>
    </xf>
    <xf numFmtId="0" fontId="55" fillId="0" borderId="0" xfId="0" applyFont="1" applyBorder="1" applyAlignment="1" applyProtection="1">
      <alignment horizontal="justify" vertical="top"/>
    </xf>
    <xf numFmtId="0" fontId="55" fillId="0" borderId="40" xfId="0" applyFont="1" applyBorder="1" applyAlignment="1" applyProtection="1">
      <alignment horizontal="justify" vertical="top"/>
    </xf>
    <xf numFmtId="0" fontId="44" fillId="0" borderId="19" xfId="0" applyFont="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5" fillId="0" borderId="40" xfId="0" applyFont="1" applyBorder="1" applyAlignment="1" applyProtection="1">
      <alignment horizontal="left" vertical="center" wrapText="1"/>
    </xf>
    <xf numFmtId="0" fontId="20" fillId="0" borderId="19"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42"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41"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3" xfId="0" applyFont="1" applyBorder="1" applyAlignment="1" applyProtection="1">
      <alignment horizontal="center" vertical="center"/>
    </xf>
    <xf numFmtId="0" fontId="20" fillId="0" borderId="19" xfId="0" applyFont="1" applyBorder="1" applyAlignment="1" applyProtection="1">
      <alignment horizontal="center" vertical="center" wrapText="1"/>
    </xf>
    <xf numFmtId="0" fontId="20" fillId="0" borderId="14" xfId="0" applyFont="1" applyBorder="1" applyAlignment="1" applyProtection="1">
      <alignment horizontal="center" vertical="center" wrapText="1"/>
    </xf>
    <xf numFmtId="0" fontId="20" fillId="0" borderId="42"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41"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167" fontId="7" fillId="7" borderId="8"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7" fillId="0" borderId="7"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37" fillId="0" borderId="20"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3" fontId="37" fillId="0" borderId="20" xfId="2" applyNumberFormat="1" applyFont="1" applyFill="1" applyBorder="1" applyAlignment="1" applyProtection="1">
      <alignment horizontal="center" vertical="center"/>
    </xf>
    <xf numFmtId="3" fontId="37" fillId="0" borderId="0" xfId="2" applyNumberFormat="1" applyFont="1" applyFill="1" applyBorder="1" applyAlignment="1" applyProtection="1">
      <alignment horizontal="center" vertical="center"/>
    </xf>
    <xf numFmtId="167" fontId="7" fillId="0" borderId="8" xfId="2" applyNumberFormat="1" applyFont="1" applyFill="1" applyBorder="1" applyAlignment="1">
      <alignment horizontal="center" vertical="center" wrapText="1"/>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51" fillId="2" borderId="9" xfId="0" applyNumberFormat="1" applyFont="1" applyFill="1" applyBorder="1" applyAlignment="1" applyProtection="1">
      <alignment horizontal="center" vertical="center"/>
    </xf>
    <xf numFmtId="3" fontId="51" fillId="2" borderId="18" xfId="0" applyNumberFormat="1" applyFont="1" applyFill="1" applyBorder="1" applyAlignment="1" applyProtection="1">
      <alignment horizontal="center" vertical="center"/>
    </xf>
    <xf numFmtId="3" fontId="29" fillId="2" borderId="0" xfId="0" applyNumberFormat="1" applyFont="1" applyFill="1" applyBorder="1" applyAlignment="1" applyProtection="1">
      <alignment horizontal="left" vertical="center" indent="5"/>
    </xf>
    <xf numFmtId="3" fontId="29" fillId="2" borderId="12" xfId="0" applyNumberFormat="1" applyFont="1" applyFill="1" applyBorder="1" applyAlignment="1" applyProtection="1">
      <alignment horizontal="left" vertical="center" indent="5"/>
    </xf>
    <xf numFmtId="3" fontId="50" fillId="2" borderId="0" xfId="0" applyNumberFormat="1" applyFont="1" applyFill="1" applyBorder="1" applyAlignment="1" applyProtection="1">
      <alignment horizontal="left" vertical="center"/>
    </xf>
    <xf numFmtId="3" fontId="50" fillId="2" borderId="40" xfId="0" applyNumberFormat="1" applyFont="1" applyFill="1" applyBorder="1" applyAlignment="1" applyProtection="1">
      <alignment horizontal="left" vertical="center"/>
    </xf>
    <xf numFmtId="3" fontId="50" fillId="2" borderId="12" xfId="0" applyNumberFormat="1" applyFont="1" applyFill="1" applyBorder="1" applyAlignment="1" applyProtection="1">
      <alignment horizontal="left" vertical="center"/>
    </xf>
    <xf numFmtId="3" fontId="50" fillId="2" borderId="13" xfId="0" applyNumberFormat="1" applyFont="1" applyFill="1" applyBorder="1" applyAlignment="1" applyProtection="1">
      <alignment horizontal="left" vertical="center"/>
    </xf>
    <xf numFmtId="3" fontId="51" fillId="2" borderId="10" xfId="0" applyNumberFormat="1" applyFont="1" applyFill="1" applyBorder="1" applyAlignment="1" applyProtection="1">
      <alignment horizontal="center" vertical="center"/>
    </xf>
    <xf numFmtId="3" fontId="51" fillId="2" borderId="8" xfId="0" applyNumberFormat="1" applyFont="1" applyFill="1" applyBorder="1" applyAlignment="1" applyProtection="1">
      <alignment horizontal="center" vertical="center"/>
    </xf>
    <xf numFmtId="3" fontId="51" fillId="2" borderId="39" xfId="0" applyNumberFormat="1" applyFont="1" applyFill="1" applyBorder="1" applyAlignment="1" applyProtection="1">
      <alignment horizontal="center" vertical="center"/>
    </xf>
    <xf numFmtId="3" fontId="51"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50" fillId="2" borderId="14" xfId="0" applyNumberFormat="1" applyFont="1" applyFill="1" applyBorder="1" applyAlignment="1" applyProtection="1">
      <alignment horizontal="left" vertical="center"/>
    </xf>
    <xf numFmtId="3" fontId="50" fillId="2" borderId="42" xfId="0" applyNumberFormat="1" applyFont="1" applyFill="1" applyBorder="1" applyAlignment="1" applyProtection="1">
      <alignment horizontal="left" vertical="center"/>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9"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8" fillId="0" borderId="55"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63" xfId="0" applyFont="1" applyBorder="1" applyAlignment="1">
      <alignment horizontal="center" vertical="center" wrapText="1"/>
    </xf>
    <xf numFmtId="1" fontId="28"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50" fillId="2" borderId="0" xfId="0" applyNumberFormat="1" applyFont="1" applyFill="1" applyBorder="1" applyAlignment="1" applyProtection="1">
      <alignment horizontal="left" vertical="center" indent="1"/>
    </xf>
    <xf numFmtId="3" fontId="50" fillId="2" borderId="40" xfId="0" applyNumberFormat="1" applyFont="1" applyFill="1" applyBorder="1" applyAlignment="1" applyProtection="1">
      <alignment horizontal="left" vertical="center" indent="1"/>
    </xf>
    <xf numFmtId="3" fontId="50" fillId="2" borderId="12" xfId="0" applyNumberFormat="1" applyFont="1" applyFill="1" applyBorder="1" applyAlignment="1" applyProtection="1">
      <alignment horizontal="left" vertical="center" indent="1"/>
    </xf>
    <xf numFmtId="3" fontId="50" fillId="2" borderId="13" xfId="0" applyNumberFormat="1" applyFont="1" applyFill="1" applyBorder="1" applyAlignment="1" applyProtection="1">
      <alignment horizontal="left" vertical="center" indent="1"/>
    </xf>
    <xf numFmtId="3" fontId="31" fillId="2" borderId="0" xfId="0" applyNumberFormat="1" applyFont="1" applyFill="1" applyBorder="1" applyAlignment="1" applyProtection="1">
      <alignment horizontal="center" vertical="center"/>
    </xf>
    <xf numFmtId="3" fontId="31" fillId="2" borderId="12" xfId="0" applyNumberFormat="1" applyFont="1" applyFill="1" applyBorder="1" applyAlignment="1" applyProtection="1">
      <alignment horizontal="center" vertical="center"/>
    </xf>
    <xf numFmtId="3" fontId="51" fillId="2" borderId="34" xfId="0" applyNumberFormat="1" applyFont="1" applyFill="1" applyBorder="1" applyAlignment="1" applyProtection="1">
      <alignment horizontal="center" vertical="center"/>
    </xf>
    <xf numFmtId="3" fontId="51" fillId="2" borderId="73" xfId="0" applyNumberFormat="1" applyFont="1" applyFill="1" applyBorder="1" applyAlignment="1" applyProtection="1">
      <alignment horizontal="center" vertical="center"/>
    </xf>
    <xf numFmtId="3" fontId="29"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8" fillId="0" borderId="66"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1" fillId="2" borderId="35" xfId="0" applyNumberFormat="1" applyFont="1" applyFill="1" applyBorder="1" applyAlignment="1" applyProtection="1">
      <alignment horizontal="center" vertical="center"/>
    </xf>
    <xf numFmtId="164" fontId="31" fillId="2" borderId="36" xfId="0" applyNumberFormat="1" applyFont="1" applyFill="1" applyBorder="1" applyAlignment="1" applyProtection="1">
      <alignment horizontal="center" vertical="center"/>
    </xf>
    <xf numFmtId="3" fontId="51" fillId="2" borderId="57" xfId="0" applyNumberFormat="1" applyFont="1" applyFill="1" applyBorder="1" applyAlignment="1" applyProtection="1">
      <alignment horizontal="center" vertical="center"/>
    </xf>
    <xf numFmtId="3" fontId="51" fillId="2" borderId="75" xfId="0" applyNumberFormat="1" applyFont="1" applyFill="1" applyBorder="1" applyAlignment="1" applyProtection="1">
      <alignment horizontal="center" vertical="center"/>
    </xf>
    <xf numFmtId="3" fontId="51" fillId="2" borderId="41" xfId="0" applyNumberFormat="1" applyFont="1" applyFill="1" applyBorder="1" applyAlignment="1" applyProtection="1">
      <alignment horizontal="center" vertical="center"/>
    </xf>
    <xf numFmtId="3" fontId="51"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1" fillId="2" borderId="25" xfId="0" applyNumberFormat="1" applyFont="1" applyFill="1" applyBorder="1" applyAlignment="1" applyProtection="1">
      <alignment horizontal="center" vertical="center"/>
    </xf>
    <xf numFmtId="3" fontId="31" fillId="2" borderId="2" xfId="0" applyNumberFormat="1" applyFont="1" applyFill="1" applyBorder="1" applyAlignment="1" applyProtection="1">
      <alignment horizontal="center" vertical="center"/>
    </xf>
    <xf numFmtId="3" fontId="31"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9" fillId="2" borderId="0" xfId="0" applyNumberFormat="1" applyFont="1" applyFill="1" applyBorder="1" applyAlignment="1" applyProtection="1">
      <alignment horizontal="right" vertical="center"/>
    </xf>
    <xf numFmtId="3" fontId="29"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xf>
    <xf numFmtId="3" fontId="14" fillId="2" borderId="18" xfId="0" applyNumberFormat="1" applyFont="1" applyFill="1" applyBorder="1" applyAlignment="1" applyProtection="1">
      <alignment horizontal="center" vertical="center"/>
    </xf>
    <xf numFmtId="3" fontId="14" fillId="2" borderId="12" xfId="0" applyNumberFormat="1" applyFont="1" applyFill="1" applyBorder="1" applyAlignment="1" applyProtection="1">
      <alignment horizontal="left"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6" fillId="0" borderId="66" xfId="0" applyFont="1" applyBorder="1" applyAlignment="1">
      <alignment horizontal="center" vertical="center" wrapText="1"/>
    </xf>
    <xf numFmtId="0" fontId="46" fillId="0" borderId="55" xfId="0" applyFont="1" applyBorder="1" applyAlignment="1">
      <alignment horizontal="center" vertical="center" wrapText="1"/>
    </xf>
    <xf numFmtId="3" fontId="17" fillId="0" borderId="26" xfId="0" applyNumberFormat="1" applyFont="1" applyFill="1" applyBorder="1" applyAlignment="1" applyProtection="1">
      <alignment horizontal="center" vertical="center"/>
      <protection hidden="1"/>
    </xf>
    <xf numFmtId="3" fontId="17" fillId="0" borderId="49" xfId="0" applyNumberFormat="1" applyFont="1" applyFill="1" applyBorder="1" applyAlignment="1" applyProtection="1">
      <alignment horizontal="center" vertical="center"/>
      <protection hidden="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protection hidden="1"/>
    </xf>
    <xf numFmtId="0" fontId="32" fillId="6" borderId="4" xfId="0" applyFont="1" applyFill="1" applyBorder="1" applyAlignment="1" applyProtection="1">
      <alignment horizontal="center" vertical="center"/>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0" fontId="21" fillId="2" borderId="0" xfId="0" applyFont="1" applyFill="1" applyAlignment="1" applyProtection="1">
      <alignment horizontal="center"/>
      <protection hidden="1"/>
    </xf>
    <xf numFmtId="0" fontId="40" fillId="2" borderId="0" xfId="0" applyFont="1" applyFill="1" applyAlignment="1" applyProtection="1">
      <alignment horizontal="left"/>
      <protection hidden="1"/>
    </xf>
    <xf numFmtId="0" fontId="25" fillId="5" borderId="0"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protection hidden="1"/>
    </xf>
    <xf numFmtId="0" fontId="34" fillId="6" borderId="52" xfId="0" applyFont="1" applyFill="1" applyBorder="1" applyAlignment="1" applyProtection="1">
      <alignment horizontal="center" vertical="center" wrapText="1"/>
      <protection hidden="1"/>
    </xf>
    <xf numFmtId="0" fontId="34" fillId="6" borderId="33" xfId="0" applyFont="1" applyFill="1" applyBorder="1" applyAlignment="1" applyProtection="1">
      <alignment horizontal="center" vertical="center" wrapText="1"/>
      <protection hidden="1"/>
    </xf>
    <xf numFmtId="3" fontId="37" fillId="0" borderId="0" xfId="0" applyNumberFormat="1" applyFont="1" applyAlignment="1" applyProtection="1">
      <alignment horizontal="center" vertical="top"/>
      <protection hidden="1"/>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56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6922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9525</xdr:rowOff>
    </xdr:from>
    <xdr:to>
      <xdr:col>1</xdr:col>
      <xdr:colOff>19050</xdr:colOff>
      <xdr:row>3</xdr:row>
      <xdr:rowOff>85725</xdr:rowOff>
    </xdr:to>
    <xdr:pic>
      <xdr:nvPicPr>
        <xdr:cNvPr id="156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76225"/>
          <a:ext cx="8096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075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075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075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075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075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484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4845"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4846"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4847"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484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177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1776"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177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1778"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177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579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579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8191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79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80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80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972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9728"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972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9730"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973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279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279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280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280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280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773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476250</xdr:rowOff>
    </xdr:from>
    <xdr:to>
      <xdr:col>0</xdr:col>
      <xdr:colOff>695325</xdr:colOff>
      <xdr:row>3</xdr:row>
      <xdr:rowOff>47625</xdr:rowOff>
    </xdr:to>
    <xdr:pic>
      <xdr:nvPicPr>
        <xdr:cNvPr id="27736"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66700"/>
          <a:ext cx="6572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773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671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672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438150</xdr:rowOff>
    </xdr:from>
    <xdr:to>
      <xdr:col>0</xdr:col>
      <xdr:colOff>676275</xdr:colOff>
      <xdr:row>3</xdr:row>
      <xdr:rowOff>9525</xdr:rowOff>
    </xdr:to>
    <xdr:pic>
      <xdr:nvPicPr>
        <xdr:cNvPr id="2672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676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578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578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578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578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381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382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382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382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382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xdr:col>
      <xdr:colOff>0</xdr:colOff>
      <xdr:row>3</xdr:row>
      <xdr:rowOff>104775</xdr:rowOff>
    </xdr:to>
    <xdr:pic>
      <xdr:nvPicPr>
        <xdr:cNvPr id="2867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867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65536"/>
  <sheetViews>
    <sheetView showGridLines="0" zoomScale="80" zoomScaleNormal="80" workbookViewId="0">
      <selection activeCell="B6" sqref="B6"/>
    </sheetView>
  </sheetViews>
  <sheetFormatPr baseColWidth="10" defaultColWidth="0" defaultRowHeight="12" zeroHeight="1" x14ac:dyDescent="0.2"/>
  <cols>
    <col min="1" max="1" width="21.7109375" style="41" customWidth="1"/>
    <col min="2" max="2" width="11.42578125" style="41" customWidth="1"/>
    <col min="3" max="3" width="14.140625" style="41" customWidth="1"/>
    <col min="4" max="4" width="14.85546875" style="41" customWidth="1"/>
    <col min="5" max="5" width="15.85546875" style="41" customWidth="1"/>
    <col min="6" max="6" width="11.42578125" style="41" customWidth="1"/>
    <col min="7" max="7" width="80.28515625" style="41" customWidth="1"/>
    <col min="8" max="8" width="1.42578125" style="41" customWidth="1"/>
    <col min="9" max="31" width="11.42578125" style="41" hidden="1" customWidth="1"/>
    <col min="32" max="16384" width="11.42578125" style="42" hidden="1"/>
  </cols>
  <sheetData>
    <row r="1" spans="1:31" s="40" customFormat="1" ht="48.75" customHeight="1" x14ac:dyDescent="0.2">
      <c r="A1" s="868" t="s">
        <v>585</v>
      </c>
      <c r="B1" s="869"/>
      <c r="C1" s="869"/>
      <c r="D1" s="869"/>
      <c r="E1" s="869"/>
      <c r="F1" s="869"/>
      <c r="G1" s="870"/>
      <c r="H1" s="39"/>
      <c r="I1" s="39"/>
      <c r="J1" s="39"/>
      <c r="K1" s="39"/>
      <c r="L1" s="39"/>
      <c r="M1" s="39"/>
      <c r="N1" s="39"/>
      <c r="O1" s="39"/>
      <c r="P1" s="39"/>
      <c r="Q1" s="39"/>
      <c r="R1" s="39"/>
      <c r="S1" s="39"/>
      <c r="T1" s="39"/>
      <c r="U1" s="39"/>
      <c r="V1" s="39"/>
      <c r="W1" s="39"/>
      <c r="X1" s="39"/>
      <c r="Y1" s="39"/>
      <c r="Z1" s="39"/>
      <c r="AA1" s="39"/>
      <c r="AB1" s="39"/>
      <c r="AC1" s="39"/>
      <c r="AD1" s="39"/>
      <c r="AE1" s="39"/>
    </row>
    <row r="2" spans="1:31" ht="29.25" customHeight="1" thickBot="1" x14ac:dyDescent="0.25">
      <c r="A2" s="179"/>
      <c r="B2" s="177"/>
      <c r="C2" s="177"/>
      <c r="D2" s="177"/>
      <c r="E2" s="177"/>
      <c r="F2" s="177"/>
      <c r="G2" s="874"/>
    </row>
    <row r="3" spans="1:31" ht="36" customHeight="1" thickBot="1" x14ac:dyDescent="0.25">
      <c r="A3" s="288" t="s">
        <v>0</v>
      </c>
      <c r="B3" s="871" t="s">
        <v>607</v>
      </c>
      <c r="C3" s="872"/>
      <c r="D3" s="873"/>
      <c r="E3" s="287" t="s">
        <v>411</v>
      </c>
      <c r="F3" s="316">
        <v>2014</v>
      </c>
      <c r="G3" s="874"/>
    </row>
    <row r="4" spans="1:31" ht="27" customHeight="1" thickBot="1" x14ac:dyDescent="0.25">
      <c r="A4" s="179"/>
      <c r="B4" s="177"/>
      <c r="C4" s="177"/>
      <c r="D4" s="177"/>
      <c r="E4" s="177"/>
      <c r="F4" s="177"/>
      <c r="G4" s="874"/>
    </row>
    <row r="5" spans="1:31" ht="33.75" customHeight="1" thickBot="1" x14ac:dyDescent="0.3">
      <c r="A5" s="289" t="s">
        <v>573</v>
      </c>
      <c r="B5" s="871" t="s">
        <v>610</v>
      </c>
      <c r="C5" s="872"/>
      <c r="D5" s="872"/>
      <c r="E5" s="872"/>
      <c r="F5" s="873"/>
      <c r="G5" s="178"/>
    </row>
    <row r="6" spans="1:31" x14ac:dyDescent="0.2">
      <c r="A6" s="179"/>
      <c r="B6" s="177"/>
      <c r="C6" s="177"/>
      <c r="D6" s="177"/>
      <c r="E6" s="177"/>
      <c r="F6" s="177"/>
      <c r="G6" s="178"/>
    </row>
    <row r="7" spans="1:31" ht="27" customHeight="1" thickBot="1" x14ac:dyDescent="0.25">
      <c r="A7" s="284"/>
      <c r="B7" s="285"/>
      <c r="C7" s="285"/>
      <c r="D7" s="285"/>
      <c r="E7" s="285"/>
      <c r="F7" s="285"/>
      <c r="G7" s="286"/>
    </row>
    <row r="8" spans="1:31" ht="7.5" customHeight="1" thickBot="1" x14ac:dyDescent="0.25">
      <c r="A8" s="893"/>
      <c r="B8" s="894"/>
      <c r="C8" s="894"/>
      <c r="D8" s="894"/>
      <c r="E8" s="894"/>
      <c r="F8" s="894"/>
      <c r="G8" s="895"/>
    </row>
    <row r="9" spans="1:31" ht="6.75" customHeight="1" x14ac:dyDescent="0.2">
      <c r="A9" s="875" t="s">
        <v>2</v>
      </c>
      <c r="B9" s="876"/>
      <c r="C9" s="876"/>
      <c r="D9" s="876"/>
      <c r="E9" s="876"/>
      <c r="F9" s="876"/>
      <c r="G9" s="877"/>
    </row>
    <row r="10" spans="1:31" x14ac:dyDescent="0.2">
      <c r="A10" s="878"/>
      <c r="B10" s="879"/>
      <c r="C10" s="879"/>
      <c r="D10" s="879"/>
      <c r="E10" s="879"/>
      <c r="F10" s="879"/>
      <c r="G10" s="880"/>
    </row>
    <row r="11" spans="1:31" ht="12.75" thickBot="1" x14ac:dyDescent="0.25">
      <c r="A11" s="881"/>
      <c r="B11" s="882"/>
      <c r="C11" s="882"/>
      <c r="D11" s="882"/>
      <c r="E11" s="882"/>
      <c r="F11" s="882"/>
      <c r="G11" s="883"/>
    </row>
    <row r="12" spans="1:31" x14ac:dyDescent="0.2">
      <c r="A12" s="884" t="s">
        <v>538</v>
      </c>
      <c r="B12" s="885"/>
      <c r="C12" s="885"/>
      <c r="D12" s="885"/>
      <c r="E12" s="885"/>
      <c r="F12" s="885"/>
      <c r="G12" s="886"/>
    </row>
    <row r="13" spans="1:31" ht="26.25" customHeight="1" x14ac:dyDescent="0.2">
      <c r="A13" s="887"/>
      <c r="B13" s="888"/>
      <c r="C13" s="888"/>
      <c r="D13" s="888"/>
      <c r="E13" s="888"/>
      <c r="F13" s="888"/>
      <c r="G13" s="889"/>
    </row>
    <row r="14" spans="1:31" ht="12.75" thickBot="1" x14ac:dyDescent="0.25">
      <c r="A14" s="890"/>
      <c r="B14" s="891"/>
      <c r="C14" s="891"/>
      <c r="D14" s="891"/>
      <c r="E14" s="891"/>
      <c r="F14" s="891"/>
      <c r="G14" s="892"/>
    </row>
    <row r="15" spans="1:31" ht="26.25" customHeight="1" x14ac:dyDescent="0.2">
      <c r="A15" s="899" t="s">
        <v>3</v>
      </c>
      <c r="B15" s="900"/>
      <c r="C15" s="900"/>
      <c r="D15" s="900"/>
      <c r="E15" s="900"/>
      <c r="F15" s="900"/>
      <c r="G15" s="901"/>
    </row>
    <row r="16" spans="1:31" x14ac:dyDescent="0.2">
      <c r="A16" s="176"/>
      <c r="B16" s="177"/>
      <c r="C16" s="177"/>
      <c r="D16" s="177"/>
      <c r="E16" s="177"/>
      <c r="F16" s="177"/>
      <c r="G16" s="178"/>
    </row>
    <row r="17" spans="1:7" ht="12" customHeight="1" x14ac:dyDescent="0.2">
      <c r="A17" s="896" t="s">
        <v>523</v>
      </c>
      <c r="B17" s="897"/>
      <c r="C17" s="897"/>
      <c r="D17" s="897"/>
      <c r="E17" s="897"/>
      <c r="F17" s="897"/>
      <c r="G17" s="898"/>
    </row>
    <row r="18" spans="1:7" ht="12" customHeight="1" x14ac:dyDescent="0.2">
      <c r="A18" s="896"/>
      <c r="B18" s="897"/>
      <c r="C18" s="897"/>
      <c r="D18" s="897"/>
      <c r="E18" s="897"/>
      <c r="F18" s="897"/>
      <c r="G18" s="898"/>
    </row>
    <row r="19" spans="1:7" ht="12" customHeight="1" x14ac:dyDescent="0.2">
      <c r="A19" s="896"/>
      <c r="B19" s="897"/>
      <c r="C19" s="897"/>
      <c r="D19" s="897"/>
      <c r="E19" s="897"/>
      <c r="F19" s="897"/>
      <c r="G19" s="898"/>
    </row>
    <row r="20" spans="1:7" ht="12" customHeight="1" x14ac:dyDescent="0.2">
      <c r="A20" s="176"/>
      <c r="B20" s="177"/>
      <c r="C20" s="177"/>
      <c r="D20" s="177"/>
      <c r="E20" s="177"/>
      <c r="F20" s="177"/>
      <c r="G20" s="178"/>
    </row>
    <row r="21" spans="1:7" ht="12" customHeight="1" x14ac:dyDescent="0.2">
      <c r="A21" s="858" t="s">
        <v>524</v>
      </c>
      <c r="B21" s="859"/>
      <c r="C21" s="859"/>
      <c r="D21" s="859"/>
      <c r="E21" s="859"/>
      <c r="F21" s="859"/>
      <c r="G21" s="860"/>
    </row>
    <row r="22" spans="1:7" ht="12.75" customHeight="1" x14ac:dyDescent="0.2">
      <c r="A22" s="179"/>
      <c r="B22" s="177"/>
      <c r="C22" s="177"/>
      <c r="D22" s="177"/>
      <c r="E22" s="177"/>
      <c r="F22" s="177"/>
      <c r="G22" s="178"/>
    </row>
    <row r="23" spans="1:7" x14ac:dyDescent="0.2">
      <c r="A23" s="865" t="s">
        <v>4</v>
      </c>
      <c r="B23" s="866"/>
      <c r="C23" s="866"/>
      <c r="D23" s="866"/>
      <c r="E23" s="866"/>
      <c r="F23" s="866"/>
      <c r="G23" s="867"/>
    </row>
    <row r="24" spans="1:7" ht="15.75" customHeight="1" x14ac:dyDescent="0.2">
      <c r="A24" s="179"/>
      <c r="B24" s="177"/>
      <c r="C24" s="177"/>
      <c r="D24" s="177"/>
      <c r="E24" s="177"/>
      <c r="F24" s="177"/>
      <c r="G24" s="178"/>
    </row>
    <row r="25" spans="1:7" x14ac:dyDescent="0.2">
      <c r="A25" s="865" t="s">
        <v>525</v>
      </c>
      <c r="B25" s="866"/>
      <c r="C25" s="866"/>
      <c r="D25" s="866"/>
      <c r="E25" s="866"/>
      <c r="F25" s="866"/>
      <c r="G25" s="867"/>
    </row>
    <row r="26" spans="1:7" x14ac:dyDescent="0.2">
      <c r="A26" s="176"/>
      <c r="B26" s="177"/>
      <c r="C26" s="177"/>
      <c r="D26" s="177"/>
      <c r="E26" s="177"/>
      <c r="F26" s="177"/>
      <c r="G26" s="178"/>
    </row>
    <row r="27" spans="1:7" ht="6" customHeight="1" x14ac:dyDescent="0.2">
      <c r="A27" s="179"/>
      <c r="B27" s="177"/>
      <c r="C27" s="177"/>
      <c r="D27" s="177"/>
      <c r="E27" s="177"/>
      <c r="F27" s="177"/>
      <c r="G27" s="178"/>
    </row>
    <row r="28" spans="1:7" x14ac:dyDescent="0.2">
      <c r="A28" s="858" t="s">
        <v>526</v>
      </c>
      <c r="B28" s="859"/>
      <c r="C28" s="859"/>
      <c r="D28" s="859"/>
      <c r="E28" s="859"/>
      <c r="F28" s="859"/>
      <c r="G28" s="860"/>
    </row>
    <row r="29" spans="1:7" x14ac:dyDescent="0.2">
      <c r="A29" s="176"/>
      <c r="B29" s="177"/>
      <c r="C29" s="177"/>
      <c r="D29" s="177"/>
      <c r="E29" s="177"/>
      <c r="F29" s="177"/>
      <c r="G29" s="178"/>
    </row>
    <row r="30" spans="1:7" ht="6" customHeight="1" x14ac:dyDescent="0.2">
      <c r="A30" s="179"/>
      <c r="B30" s="177"/>
      <c r="C30" s="177"/>
      <c r="D30" s="177"/>
      <c r="E30" s="177"/>
      <c r="F30" s="177"/>
      <c r="G30" s="178"/>
    </row>
    <row r="31" spans="1:7" x14ac:dyDescent="0.2">
      <c r="A31" s="858" t="s">
        <v>527</v>
      </c>
      <c r="B31" s="859"/>
      <c r="C31" s="859"/>
      <c r="D31" s="859"/>
      <c r="E31" s="859"/>
      <c r="F31" s="859"/>
      <c r="G31" s="860"/>
    </row>
    <row r="32" spans="1:7" x14ac:dyDescent="0.2">
      <c r="A32" s="858"/>
      <c r="B32" s="859"/>
      <c r="C32" s="859"/>
      <c r="D32" s="859"/>
      <c r="E32" s="859"/>
      <c r="F32" s="859"/>
      <c r="G32" s="860"/>
    </row>
    <row r="33" spans="1:256" ht="8.25" customHeight="1" thickBot="1" x14ac:dyDescent="0.25">
      <c r="A33" s="180"/>
      <c r="B33" s="181"/>
      <c r="C33" s="181"/>
      <c r="D33" s="181"/>
      <c r="E33" s="181"/>
      <c r="F33" s="181"/>
      <c r="G33" s="182"/>
    </row>
    <row r="34" spans="1:256" ht="7.5" customHeight="1" thickBot="1" x14ac:dyDescent="0.25"/>
    <row r="35" spans="1:256" x14ac:dyDescent="0.2">
      <c r="A35" s="183" t="s">
        <v>522</v>
      </c>
      <c r="B35" s="184"/>
      <c r="C35" s="184"/>
      <c r="D35" s="184"/>
      <c r="E35" s="184"/>
      <c r="F35" s="184"/>
      <c r="G35" s="185"/>
    </row>
    <row r="36" spans="1:256" ht="6" customHeight="1" x14ac:dyDescent="0.2">
      <c r="A36" s="179"/>
      <c r="B36" s="177"/>
      <c r="C36" s="177"/>
      <c r="D36" s="177"/>
      <c r="E36" s="177"/>
      <c r="F36" s="177"/>
      <c r="G36" s="178"/>
    </row>
    <row r="37" spans="1:256" x14ac:dyDescent="0.2">
      <c r="A37" s="179" t="s">
        <v>529</v>
      </c>
      <c r="B37" s="177"/>
      <c r="C37" s="177"/>
      <c r="D37" s="177"/>
      <c r="E37" s="177"/>
      <c r="F37" s="177"/>
      <c r="G37" s="178"/>
    </row>
    <row r="38" spans="1:256" x14ac:dyDescent="0.2">
      <c r="A38" s="179" t="s">
        <v>528</v>
      </c>
      <c r="B38" s="177"/>
      <c r="C38" s="177"/>
      <c r="D38" s="177"/>
      <c r="E38" s="177"/>
      <c r="F38" s="177"/>
      <c r="G38" s="178"/>
    </row>
    <row r="39" spans="1:256" ht="8.25" customHeight="1" x14ac:dyDescent="0.2">
      <c r="A39" s="179" t="s">
        <v>5</v>
      </c>
      <c r="B39" s="177"/>
      <c r="C39" s="177"/>
      <c r="D39" s="177"/>
      <c r="E39" s="177"/>
      <c r="F39" s="177"/>
      <c r="G39" s="178"/>
    </row>
    <row r="40" spans="1:256" x14ac:dyDescent="0.2">
      <c r="A40" s="179"/>
      <c r="B40" s="177"/>
      <c r="C40" s="177"/>
      <c r="D40" s="177"/>
      <c r="E40" s="177"/>
      <c r="F40" s="177"/>
      <c r="G40" s="178"/>
    </row>
    <row r="41" spans="1:256" x14ac:dyDescent="0.2">
      <c r="A41" s="187" t="s">
        <v>6</v>
      </c>
      <c r="B41" s="177"/>
      <c r="C41" s="177"/>
      <c r="D41" s="177"/>
      <c r="E41" s="177"/>
      <c r="F41" s="177"/>
      <c r="G41" s="178"/>
    </row>
    <row r="42" spans="1:256" x14ac:dyDescent="0.2">
      <c r="A42" s="179" t="s">
        <v>530</v>
      </c>
      <c r="B42" s="177"/>
      <c r="C42" s="177"/>
      <c r="D42" s="177"/>
      <c r="E42" s="177"/>
      <c r="F42" s="177"/>
      <c r="G42" s="178"/>
    </row>
    <row r="43" spans="1:256" ht="12.75" thickBot="1" x14ac:dyDescent="0.25">
      <c r="A43" s="180"/>
      <c r="B43" s="181"/>
      <c r="C43" s="181"/>
      <c r="D43" s="181"/>
      <c r="E43" s="181"/>
      <c r="F43" s="181"/>
      <c r="G43" s="182"/>
    </row>
    <row r="44" spans="1:256" x14ac:dyDescent="0.2">
      <c r="A44" s="222"/>
      <c r="B44" s="177"/>
      <c r="C44" s="177"/>
      <c r="D44" s="177"/>
      <c r="E44" s="177"/>
      <c r="F44" s="177"/>
      <c r="G44" s="177"/>
    </row>
    <row r="45" spans="1:256" s="275" customFormat="1" ht="16.5" thickBot="1" x14ac:dyDescent="0.3">
      <c r="A45" s="861" t="s">
        <v>531</v>
      </c>
      <c r="B45" s="861"/>
      <c r="C45" s="861"/>
      <c r="D45" s="861"/>
      <c r="E45" s="861"/>
      <c r="F45" s="861"/>
      <c r="G45" s="861"/>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row>
    <row r="46" spans="1:256" ht="15.75" x14ac:dyDescent="0.25">
      <c r="A46" s="223" t="s">
        <v>30</v>
      </c>
      <c r="B46" s="224"/>
      <c r="C46" s="184"/>
      <c r="D46" s="184"/>
      <c r="E46" s="184"/>
      <c r="F46" s="184"/>
      <c r="G46" s="185"/>
      <c r="H46" s="179"/>
      <c r="I46" s="177"/>
      <c r="J46" s="177"/>
      <c r="K46" s="177"/>
      <c r="L46" s="177"/>
      <c r="M46" s="177"/>
      <c r="N46" s="178"/>
      <c r="O46" s="179"/>
      <c r="P46" s="177"/>
      <c r="Q46" s="177"/>
      <c r="R46" s="177"/>
      <c r="S46" s="177"/>
      <c r="T46" s="177"/>
      <c r="U46" s="178"/>
      <c r="V46" s="179"/>
      <c r="W46" s="177"/>
      <c r="X46" s="177"/>
      <c r="Y46" s="177"/>
      <c r="Z46" s="177"/>
      <c r="AA46" s="177"/>
      <c r="AB46" s="178"/>
      <c r="AC46" s="179"/>
      <c r="AD46" s="177"/>
      <c r="AE46" s="177"/>
      <c r="AF46" s="177"/>
      <c r="AG46" s="177"/>
      <c r="AH46" s="177"/>
      <c r="AI46" s="178"/>
      <c r="AJ46" s="179"/>
      <c r="AK46" s="177"/>
      <c r="AL46" s="177"/>
      <c r="AM46" s="177"/>
      <c r="AN46" s="177"/>
      <c r="AO46" s="177"/>
      <c r="AP46" s="178"/>
      <c r="AQ46" s="179"/>
      <c r="AR46" s="177"/>
      <c r="AS46" s="177"/>
      <c r="AT46" s="177"/>
      <c r="AU46" s="177"/>
      <c r="AV46" s="177"/>
      <c r="AW46" s="178"/>
      <c r="AX46" s="179"/>
      <c r="AY46" s="177"/>
      <c r="AZ46" s="177"/>
      <c r="BA46" s="177"/>
      <c r="BB46" s="177"/>
      <c r="BC46" s="177"/>
      <c r="BD46" s="178"/>
      <c r="BE46" s="179"/>
      <c r="BF46" s="177"/>
      <c r="BG46" s="177"/>
      <c r="BH46" s="177"/>
      <c r="BI46" s="177"/>
      <c r="BJ46" s="177"/>
      <c r="BK46" s="178"/>
      <c r="BL46" s="179"/>
      <c r="BM46" s="177"/>
      <c r="BN46" s="177"/>
      <c r="BO46" s="177"/>
      <c r="BP46" s="177"/>
      <c r="BQ46" s="177"/>
      <c r="BR46" s="178"/>
      <c r="BS46" s="179"/>
      <c r="BT46" s="177"/>
      <c r="BU46" s="177"/>
      <c r="BV46" s="177"/>
      <c r="BW46" s="177"/>
      <c r="BX46" s="177"/>
      <c r="BY46" s="178"/>
      <c r="BZ46" s="179"/>
      <c r="CA46" s="177"/>
      <c r="CB46" s="177"/>
      <c r="CC46" s="177"/>
      <c r="CD46" s="177"/>
      <c r="CE46" s="177"/>
      <c r="CF46" s="178"/>
      <c r="CG46" s="179"/>
      <c r="CH46" s="177"/>
      <c r="CI46" s="177"/>
      <c r="CJ46" s="177"/>
      <c r="CK46" s="177"/>
      <c r="CL46" s="177"/>
      <c r="CM46" s="178"/>
      <c r="CN46" s="179"/>
      <c r="CO46" s="177"/>
      <c r="CP46" s="177"/>
      <c r="CQ46" s="177"/>
      <c r="CR46" s="177"/>
      <c r="CS46" s="177"/>
      <c r="CT46" s="178"/>
      <c r="CU46" s="179"/>
      <c r="CV46" s="177"/>
      <c r="CW46" s="177"/>
      <c r="CX46" s="177"/>
      <c r="CY46" s="177"/>
      <c r="CZ46" s="177"/>
      <c r="DA46" s="178"/>
      <c r="DB46" s="179"/>
      <c r="DC46" s="177"/>
      <c r="DD46" s="177"/>
      <c r="DE46" s="177"/>
      <c r="DF46" s="177"/>
      <c r="DG46" s="177"/>
      <c r="DH46" s="178"/>
      <c r="DI46" s="179"/>
      <c r="DJ46" s="177"/>
      <c r="DK46" s="177"/>
      <c r="DL46" s="177"/>
      <c r="DM46" s="177"/>
      <c r="DN46" s="177"/>
      <c r="DO46" s="178"/>
      <c r="DP46" s="179"/>
      <c r="DQ46" s="177"/>
      <c r="DR46" s="177"/>
      <c r="DS46" s="177"/>
      <c r="DT46" s="177"/>
      <c r="DU46" s="177"/>
      <c r="DV46" s="178"/>
      <c r="DW46" s="179"/>
      <c r="DX46" s="177"/>
      <c r="DY46" s="177"/>
      <c r="DZ46" s="177"/>
      <c r="EA46" s="177"/>
      <c r="EB46" s="177"/>
      <c r="EC46" s="178"/>
      <c r="ED46" s="179"/>
      <c r="EE46" s="177"/>
      <c r="EF46" s="177"/>
      <c r="EG46" s="177"/>
      <c r="EH46" s="177"/>
      <c r="EI46" s="177"/>
      <c r="EJ46" s="178"/>
      <c r="EK46" s="179"/>
      <c r="EL46" s="177"/>
      <c r="EM46" s="177"/>
      <c r="EN46" s="177"/>
      <c r="EO46" s="177"/>
      <c r="EP46" s="177"/>
      <c r="EQ46" s="178"/>
      <c r="ER46" s="179"/>
      <c r="ES46" s="177"/>
      <c r="ET46" s="177"/>
      <c r="EU46" s="177"/>
      <c r="EV46" s="177"/>
      <c r="EW46" s="177"/>
      <c r="EX46" s="178"/>
      <c r="EY46" s="179"/>
      <c r="EZ46" s="177"/>
      <c r="FA46" s="177"/>
      <c r="FB46" s="177"/>
      <c r="FC46" s="177"/>
      <c r="FD46" s="177"/>
      <c r="FE46" s="178"/>
      <c r="FF46" s="179"/>
      <c r="FG46" s="177"/>
      <c r="FH46" s="177"/>
      <c r="FI46" s="177"/>
      <c r="FJ46" s="177"/>
      <c r="FK46" s="177"/>
      <c r="FL46" s="178"/>
      <c r="FM46" s="179"/>
      <c r="FN46" s="177"/>
      <c r="FO46" s="177"/>
      <c r="FP46" s="177"/>
      <c r="FQ46" s="177"/>
      <c r="FR46" s="177"/>
      <c r="FS46" s="178"/>
      <c r="FT46" s="179"/>
      <c r="FU46" s="177"/>
      <c r="FV46" s="177"/>
      <c r="FW46" s="177"/>
      <c r="FX46" s="177"/>
      <c r="FY46" s="177"/>
      <c r="FZ46" s="178"/>
      <c r="GA46" s="179"/>
      <c r="GB46" s="177"/>
      <c r="GC46" s="177"/>
      <c r="GD46" s="177"/>
      <c r="GE46" s="177"/>
      <c r="GF46" s="177"/>
      <c r="GG46" s="178"/>
      <c r="GH46" s="179"/>
      <c r="GI46" s="177"/>
      <c r="GJ46" s="177"/>
      <c r="GK46" s="177"/>
      <c r="GL46" s="177"/>
      <c r="GM46" s="177"/>
      <c r="GN46" s="178"/>
      <c r="GO46" s="179"/>
      <c r="GP46" s="177"/>
      <c r="GQ46" s="177"/>
      <c r="GR46" s="177"/>
      <c r="GS46" s="177"/>
      <c r="GT46" s="177"/>
      <c r="GU46" s="178"/>
      <c r="GV46" s="179"/>
      <c r="GW46" s="177"/>
      <c r="GX46" s="177"/>
      <c r="GY46" s="177"/>
      <c r="GZ46" s="177"/>
      <c r="HA46" s="177"/>
      <c r="HB46" s="178"/>
      <c r="HC46" s="179"/>
      <c r="HD46" s="177"/>
      <c r="HE46" s="177"/>
      <c r="HF46" s="177"/>
      <c r="HG46" s="177"/>
      <c r="HH46" s="177"/>
      <c r="HI46" s="178"/>
      <c r="HJ46" s="179"/>
      <c r="HK46" s="177"/>
      <c r="HL46" s="177"/>
      <c r="HM46" s="177"/>
      <c r="HN46" s="177"/>
      <c r="HO46" s="177"/>
      <c r="HP46" s="178"/>
      <c r="HQ46" s="179"/>
      <c r="HR46" s="177"/>
      <c r="HS46" s="177"/>
      <c r="HT46" s="177"/>
      <c r="HU46" s="177"/>
      <c r="HV46" s="177"/>
      <c r="HW46" s="178"/>
      <c r="HX46" s="179"/>
      <c r="HY46" s="177"/>
      <c r="HZ46" s="177"/>
      <c r="IA46" s="177"/>
      <c r="IB46" s="177"/>
      <c r="IC46" s="177"/>
      <c r="ID46" s="178"/>
      <c r="IE46" s="179"/>
      <c r="IF46" s="177"/>
      <c r="IG46" s="177"/>
      <c r="IH46" s="177"/>
      <c r="II46" s="177"/>
      <c r="IJ46" s="177"/>
      <c r="IK46" s="178"/>
      <c r="IL46" s="179"/>
      <c r="IM46" s="177"/>
      <c r="IN46" s="177"/>
      <c r="IO46" s="177"/>
      <c r="IP46" s="177"/>
      <c r="IQ46" s="177"/>
      <c r="IR46" s="178"/>
      <c r="IS46" s="179"/>
      <c r="IT46" s="177"/>
      <c r="IU46" s="177"/>
      <c r="IV46" s="177"/>
    </row>
    <row r="47" spans="1:256" s="43" customFormat="1" ht="15" customHeight="1" x14ac:dyDescent="0.2">
      <c r="A47" s="269" t="s">
        <v>532</v>
      </c>
      <c r="B47" s="177"/>
      <c r="C47" s="177"/>
      <c r="D47" s="177"/>
      <c r="E47" s="177"/>
      <c r="F47" s="177"/>
      <c r="G47" s="178"/>
      <c r="H47" s="179"/>
      <c r="I47" s="177"/>
      <c r="J47" s="177"/>
      <c r="K47" s="177"/>
      <c r="L47" s="177"/>
      <c r="M47" s="177"/>
      <c r="N47" s="178"/>
      <c r="O47" s="179"/>
      <c r="P47" s="177"/>
      <c r="Q47" s="177"/>
      <c r="R47" s="177"/>
      <c r="S47" s="177"/>
      <c r="T47" s="177"/>
      <c r="U47" s="178"/>
      <c r="V47" s="179"/>
      <c r="W47" s="177"/>
      <c r="X47" s="177"/>
      <c r="Y47" s="177"/>
      <c r="Z47" s="177"/>
      <c r="AA47" s="177"/>
      <c r="AB47" s="178"/>
      <c r="AC47" s="179"/>
      <c r="AD47" s="177"/>
      <c r="AE47" s="177"/>
      <c r="AF47" s="177"/>
      <c r="AG47" s="177"/>
      <c r="AH47" s="177"/>
      <c r="AI47" s="178"/>
      <c r="AJ47" s="179"/>
      <c r="AK47" s="177"/>
      <c r="AL47" s="177"/>
      <c r="AM47" s="177"/>
      <c r="AN47" s="177"/>
      <c r="AO47" s="177"/>
      <c r="AP47" s="178"/>
      <c r="AQ47" s="179"/>
      <c r="AR47" s="177"/>
      <c r="AS47" s="177"/>
      <c r="AT47" s="177"/>
      <c r="AU47" s="177"/>
      <c r="AV47" s="177"/>
      <c r="AW47" s="178"/>
      <c r="AX47" s="179"/>
      <c r="AY47" s="177"/>
      <c r="AZ47" s="177"/>
      <c r="BA47" s="177"/>
      <c r="BB47" s="177"/>
      <c r="BC47" s="177"/>
      <c r="BD47" s="178"/>
      <c r="BE47" s="179"/>
      <c r="BF47" s="177"/>
      <c r="BG47" s="177"/>
      <c r="BH47" s="177"/>
      <c r="BI47" s="177"/>
      <c r="BJ47" s="177"/>
      <c r="BK47" s="178"/>
      <c r="BL47" s="179"/>
      <c r="BM47" s="177"/>
      <c r="BN47" s="177"/>
      <c r="BO47" s="177"/>
      <c r="BP47" s="177"/>
      <c r="BQ47" s="177"/>
      <c r="BR47" s="178"/>
      <c r="BS47" s="179"/>
      <c r="BT47" s="177"/>
      <c r="BU47" s="177"/>
      <c r="BV47" s="177"/>
      <c r="BW47" s="177"/>
      <c r="BX47" s="177"/>
      <c r="BY47" s="178"/>
      <c r="BZ47" s="179"/>
      <c r="CA47" s="177"/>
      <c r="CB47" s="177"/>
      <c r="CC47" s="177"/>
      <c r="CD47" s="177"/>
      <c r="CE47" s="177"/>
      <c r="CF47" s="178"/>
      <c r="CG47" s="179"/>
      <c r="CH47" s="177"/>
      <c r="CI47" s="177"/>
      <c r="CJ47" s="177"/>
      <c r="CK47" s="177"/>
      <c r="CL47" s="177"/>
      <c r="CM47" s="178"/>
      <c r="CN47" s="179"/>
      <c r="CO47" s="177"/>
      <c r="CP47" s="177"/>
      <c r="CQ47" s="177"/>
      <c r="CR47" s="177"/>
      <c r="CS47" s="177"/>
      <c r="CT47" s="178"/>
      <c r="CU47" s="179"/>
      <c r="CV47" s="177"/>
      <c r="CW47" s="177"/>
      <c r="CX47" s="177"/>
      <c r="CY47" s="177"/>
      <c r="CZ47" s="177"/>
      <c r="DA47" s="178"/>
      <c r="DB47" s="179"/>
      <c r="DC47" s="177"/>
      <c r="DD47" s="177"/>
      <c r="DE47" s="177"/>
      <c r="DF47" s="177"/>
      <c r="DG47" s="177"/>
      <c r="DH47" s="178"/>
      <c r="DI47" s="179"/>
      <c r="DJ47" s="177"/>
      <c r="DK47" s="177"/>
      <c r="DL47" s="177"/>
      <c r="DM47" s="177"/>
      <c r="DN47" s="177"/>
      <c r="DO47" s="178"/>
      <c r="DP47" s="179"/>
      <c r="DQ47" s="177"/>
      <c r="DR47" s="177"/>
      <c r="DS47" s="177"/>
      <c r="DT47" s="177"/>
      <c r="DU47" s="177"/>
      <c r="DV47" s="178"/>
      <c r="DW47" s="179"/>
      <c r="DX47" s="177"/>
      <c r="DY47" s="177"/>
      <c r="DZ47" s="177"/>
      <c r="EA47" s="177"/>
      <c r="EB47" s="177"/>
      <c r="EC47" s="178"/>
      <c r="ED47" s="179"/>
      <c r="EE47" s="177"/>
      <c r="EF47" s="177"/>
      <c r="EG47" s="177"/>
      <c r="EH47" s="177"/>
      <c r="EI47" s="177"/>
      <c r="EJ47" s="178"/>
      <c r="EK47" s="179"/>
      <c r="EL47" s="177"/>
      <c r="EM47" s="177"/>
      <c r="EN47" s="177"/>
      <c r="EO47" s="177"/>
      <c r="EP47" s="177"/>
      <c r="EQ47" s="178"/>
      <c r="ER47" s="179"/>
      <c r="ES47" s="177"/>
      <c r="ET47" s="177"/>
      <c r="EU47" s="177"/>
      <c r="EV47" s="177"/>
      <c r="EW47" s="177"/>
      <c r="EX47" s="178"/>
      <c r="EY47" s="179"/>
      <c r="EZ47" s="177"/>
      <c r="FA47" s="177"/>
      <c r="FB47" s="177"/>
      <c r="FC47" s="177"/>
      <c r="FD47" s="177"/>
      <c r="FE47" s="178"/>
      <c r="FF47" s="179"/>
      <c r="FG47" s="177"/>
      <c r="FH47" s="177"/>
      <c r="FI47" s="177"/>
      <c r="FJ47" s="177"/>
      <c r="FK47" s="177"/>
      <c r="FL47" s="178"/>
      <c r="FM47" s="179"/>
      <c r="FN47" s="177"/>
      <c r="FO47" s="177"/>
      <c r="FP47" s="177"/>
      <c r="FQ47" s="177"/>
      <c r="FR47" s="177"/>
      <c r="FS47" s="178"/>
      <c r="FT47" s="179"/>
      <c r="FU47" s="177"/>
      <c r="FV47" s="177"/>
      <c r="FW47" s="177"/>
      <c r="FX47" s="177"/>
      <c r="FY47" s="177"/>
      <c r="FZ47" s="178"/>
      <c r="GA47" s="179"/>
      <c r="GB47" s="177"/>
      <c r="GC47" s="177"/>
      <c r="GD47" s="177"/>
      <c r="GE47" s="177"/>
      <c r="GF47" s="177"/>
      <c r="GG47" s="178"/>
      <c r="GH47" s="179"/>
      <c r="GI47" s="177"/>
      <c r="GJ47" s="177"/>
      <c r="GK47" s="177"/>
      <c r="GL47" s="177"/>
      <c r="GM47" s="177"/>
      <c r="GN47" s="178"/>
      <c r="GO47" s="179"/>
      <c r="GP47" s="177"/>
      <c r="GQ47" s="177"/>
      <c r="GR47" s="177"/>
      <c r="GS47" s="177"/>
      <c r="GT47" s="177"/>
      <c r="GU47" s="178"/>
      <c r="GV47" s="179"/>
      <c r="GW47" s="177"/>
      <c r="GX47" s="177"/>
      <c r="GY47" s="177"/>
      <c r="GZ47" s="177"/>
      <c r="HA47" s="177"/>
      <c r="HB47" s="178"/>
      <c r="HC47" s="179"/>
      <c r="HD47" s="177"/>
      <c r="HE47" s="177"/>
      <c r="HF47" s="177"/>
      <c r="HG47" s="177"/>
      <c r="HH47" s="177"/>
      <c r="HI47" s="178"/>
      <c r="HJ47" s="179"/>
      <c r="HK47" s="177"/>
      <c r="HL47" s="177"/>
      <c r="HM47" s="177"/>
      <c r="HN47" s="177"/>
      <c r="HO47" s="177"/>
      <c r="HP47" s="178"/>
      <c r="HQ47" s="179"/>
      <c r="HR47" s="177"/>
      <c r="HS47" s="177"/>
      <c r="HT47" s="177"/>
      <c r="HU47" s="177"/>
      <c r="HV47" s="177"/>
      <c r="HW47" s="178"/>
      <c r="HX47" s="179"/>
      <c r="HY47" s="177"/>
      <c r="HZ47" s="177"/>
      <c r="IA47" s="177"/>
      <c r="IB47" s="177"/>
      <c r="IC47" s="177"/>
      <c r="ID47" s="178"/>
      <c r="IE47" s="179"/>
      <c r="IF47" s="177"/>
      <c r="IG47" s="177"/>
      <c r="IH47" s="177"/>
      <c r="II47" s="177"/>
      <c r="IJ47" s="177"/>
      <c r="IK47" s="178"/>
      <c r="IL47" s="179"/>
      <c r="IM47" s="177"/>
      <c r="IN47" s="177"/>
      <c r="IO47" s="177"/>
      <c r="IP47" s="177"/>
      <c r="IQ47" s="177"/>
      <c r="IR47" s="178"/>
      <c r="IS47" s="179"/>
      <c r="IT47" s="177"/>
      <c r="IU47" s="177"/>
      <c r="IV47" s="177"/>
    </row>
    <row r="48" spans="1:256" s="43" customFormat="1" ht="15" customHeight="1" x14ac:dyDescent="0.2">
      <c r="A48" s="269" t="s">
        <v>491</v>
      </c>
      <c r="B48" s="177"/>
      <c r="C48" s="177"/>
      <c r="D48" s="177"/>
      <c r="E48" s="177"/>
      <c r="F48" s="177"/>
      <c r="G48" s="178"/>
      <c r="H48" s="179"/>
      <c r="I48" s="177"/>
      <c r="J48" s="177"/>
      <c r="K48" s="177"/>
      <c r="L48" s="177"/>
      <c r="M48" s="177"/>
      <c r="N48" s="178"/>
      <c r="O48" s="179"/>
      <c r="P48" s="177"/>
      <c r="Q48" s="177"/>
      <c r="R48" s="177"/>
      <c r="S48" s="177"/>
      <c r="T48" s="177"/>
      <c r="U48" s="178"/>
      <c r="V48" s="179"/>
      <c r="W48" s="177"/>
      <c r="X48" s="177"/>
      <c r="Y48" s="177"/>
      <c r="Z48" s="177"/>
      <c r="AA48" s="177"/>
      <c r="AB48" s="178"/>
      <c r="AC48" s="179"/>
      <c r="AD48" s="177"/>
      <c r="AE48" s="177"/>
      <c r="AF48" s="177"/>
      <c r="AG48" s="177"/>
      <c r="AH48" s="177"/>
      <c r="AI48" s="178"/>
      <c r="AJ48" s="179"/>
      <c r="AK48" s="177"/>
      <c r="AL48" s="177"/>
      <c r="AM48" s="177"/>
      <c r="AN48" s="177"/>
      <c r="AO48" s="177"/>
      <c r="AP48" s="178"/>
      <c r="AQ48" s="179"/>
      <c r="AR48" s="177"/>
      <c r="AS48" s="177"/>
      <c r="AT48" s="177"/>
      <c r="AU48" s="177"/>
      <c r="AV48" s="177"/>
      <c r="AW48" s="178"/>
      <c r="AX48" s="179"/>
      <c r="AY48" s="177"/>
      <c r="AZ48" s="177"/>
      <c r="BA48" s="177"/>
      <c r="BB48" s="177"/>
      <c r="BC48" s="177"/>
      <c r="BD48" s="178"/>
      <c r="BE48" s="179"/>
      <c r="BF48" s="177"/>
      <c r="BG48" s="177"/>
      <c r="BH48" s="177"/>
      <c r="BI48" s="177"/>
      <c r="BJ48" s="177"/>
      <c r="BK48" s="178"/>
      <c r="BL48" s="179"/>
      <c r="BM48" s="177"/>
      <c r="BN48" s="177"/>
      <c r="BO48" s="177"/>
      <c r="BP48" s="177"/>
      <c r="BQ48" s="177"/>
      <c r="BR48" s="178"/>
      <c r="BS48" s="179"/>
      <c r="BT48" s="177"/>
      <c r="BU48" s="177"/>
      <c r="BV48" s="177"/>
      <c r="BW48" s="177"/>
      <c r="BX48" s="177"/>
      <c r="BY48" s="178"/>
      <c r="BZ48" s="179"/>
      <c r="CA48" s="177"/>
      <c r="CB48" s="177"/>
      <c r="CC48" s="177"/>
      <c r="CD48" s="177"/>
      <c r="CE48" s="177"/>
      <c r="CF48" s="178"/>
      <c r="CG48" s="179"/>
      <c r="CH48" s="177"/>
      <c r="CI48" s="177"/>
      <c r="CJ48" s="177"/>
      <c r="CK48" s="177"/>
      <c r="CL48" s="177"/>
      <c r="CM48" s="178"/>
      <c r="CN48" s="179"/>
      <c r="CO48" s="177"/>
      <c r="CP48" s="177"/>
      <c r="CQ48" s="177"/>
      <c r="CR48" s="177"/>
      <c r="CS48" s="177"/>
      <c r="CT48" s="178"/>
      <c r="CU48" s="179"/>
      <c r="CV48" s="177"/>
      <c r="CW48" s="177"/>
      <c r="CX48" s="177"/>
      <c r="CY48" s="177"/>
      <c r="CZ48" s="177"/>
      <c r="DA48" s="178"/>
      <c r="DB48" s="179"/>
      <c r="DC48" s="177"/>
      <c r="DD48" s="177"/>
      <c r="DE48" s="177"/>
      <c r="DF48" s="177"/>
      <c r="DG48" s="177"/>
      <c r="DH48" s="178"/>
      <c r="DI48" s="179"/>
      <c r="DJ48" s="177"/>
      <c r="DK48" s="177"/>
      <c r="DL48" s="177"/>
      <c r="DM48" s="177"/>
      <c r="DN48" s="177"/>
      <c r="DO48" s="178"/>
      <c r="DP48" s="179"/>
      <c r="DQ48" s="177"/>
      <c r="DR48" s="177"/>
      <c r="DS48" s="177"/>
      <c r="DT48" s="177"/>
      <c r="DU48" s="177"/>
      <c r="DV48" s="178"/>
      <c r="DW48" s="179"/>
      <c r="DX48" s="177"/>
      <c r="DY48" s="177"/>
      <c r="DZ48" s="177"/>
      <c r="EA48" s="177"/>
      <c r="EB48" s="177"/>
      <c r="EC48" s="178"/>
      <c r="ED48" s="179"/>
      <c r="EE48" s="177"/>
      <c r="EF48" s="177"/>
      <c r="EG48" s="177"/>
      <c r="EH48" s="177"/>
      <c r="EI48" s="177"/>
      <c r="EJ48" s="178"/>
      <c r="EK48" s="179"/>
      <c r="EL48" s="177"/>
      <c r="EM48" s="177"/>
      <c r="EN48" s="177"/>
      <c r="EO48" s="177"/>
      <c r="EP48" s="177"/>
      <c r="EQ48" s="178"/>
      <c r="ER48" s="179"/>
      <c r="ES48" s="177"/>
      <c r="ET48" s="177"/>
      <c r="EU48" s="177"/>
      <c r="EV48" s="177"/>
      <c r="EW48" s="177"/>
      <c r="EX48" s="178"/>
      <c r="EY48" s="179"/>
      <c r="EZ48" s="177"/>
      <c r="FA48" s="177"/>
      <c r="FB48" s="177"/>
      <c r="FC48" s="177"/>
      <c r="FD48" s="177"/>
      <c r="FE48" s="178"/>
      <c r="FF48" s="179"/>
      <c r="FG48" s="177"/>
      <c r="FH48" s="177"/>
      <c r="FI48" s="177"/>
      <c r="FJ48" s="177"/>
      <c r="FK48" s="177"/>
      <c r="FL48" s="178"/>
      <c r="FM48" s="179"/>
      <c r="FN48" s="177"/>
      <c r="FO48" s="177"/>
      <c r="FP48" s="177"/>
      <c r="FQ48" s="177"/>
      <c r="FR48" s="177"/>
      <c r="FS48" s="178"/>
      <c r="FT48" s="179"/>
      <c r="FU48" s="177"/>
      <c r="FV48" s="177"/>
      <c r="FW48" s="177"/>
      <c r="FX48" s="177"/>
      <c r="FY48" s="177"/>
      <c r="FZ48" s="178"/>
      <c r="GA48" s="179"/>
      <c r="GB48" s="177"/>
      <c r="GC48" s="177"/>
      <c r="GD48" s="177"/>
      <c r="GE48" s="177"/>
      <c r="GF48" s="177"/>
      <c r="GG48" s="178"/>
      <c r="GH48" s="179"/>
      <c r="GI48" s="177"/>
      <c r="GJ48" s="177"/>
      <c r="GK48" s="177"/>
      <c r="GL48" s="177"/>
      <c r="GM48" s="177"/>
      <c r="GN48" s="178"/>
      <c r="GO48" s="179"/>
      <c r="GP48" s="177"/>
      <c r="GQ48" s="177"/>
      <c r="GR48" s="177"/>
      <c r="GS48" s="177"/>
      <c r="GT48" s="177"/>
      <c r="GU48" s="178"/>
      <c r="GV48" s="179"/>
      <c r="GW48" s="177"/>
      <c r="GX48" s="177"/>
      <c r="GY48" s="177"/>
      <c r="GZ48" s="177"/>
      <c r="HA48" s="177"/>
      <c r="HB48" s="178"/>
      <c r="HC48" s="179"/>
      <c r="HD48" s="177"/>
      <c r="HE48" s="177"/>
      <c r="HF48" s="177"/>
      <c r="HG48" s="177"/>
      <c r="HH48" s="177"/>
      <c r="HI48" s="178"/>
      <c r="HJ48" s="179"/>
      <c r="HK48" s="177"/>
      <c r="HL48" s="177"/>
      <c r="HM48" s="177"/>
      <c r="HN48" s="177"/>
      <c r="HO48" s="177"/>
      <c r="HP48" s="178"/>
      <c r="HQ48" s="179"/>
      <c r="HR48" s="177"/>
      <c r="HS48" s="177"/>
      <c r="HT48" s="177"/>
      <c r="HU48" s="177"/>
      <c r="HV48" s="177"/>
      <c r="HW48" s="178"/>
      <c r="HX48" s="179"/>
      <c r="HY48" s="177"/>
      <c r="HZ48" s="177"/>
      <c r="IA48" s="177"/>
      <c r="IB48" s="177"/>
      <c r="IC48" s="177"/>
      <c r="ID48" s="178"/>
      <c r="IE48" s="179"/>
      <c r="IF48" s="177"/>
      <c r="IG48" s="177"/>
      <c r="IH48" s="177"/>
      <c r="II48" s="177"/>
      <c r="IJ48" s="177"/>
      <c r="IK48" s="178"/>
      <c r="IL48" s="179"/>
      <c r="IM48" s="177"/>
      <c r="IN48" s="177"/>
      <c r="IO48" s="177"/>
      <c r="IP48" s="177"/>
      <c r="IQ48" s="177"/>
      <c r="IR48" s="178"/>
      <c r="IS48" s="179"/>
      <c r="IT48" s="177"/>
      <c r="IU48" s="177"/>
      <c r="IV48" s="177"/>
    </row>
    <row r="49" spans="1:256" s="43" customFormat="1" ht="15" customHeight="1" x14ac:dyDescent="0.2">
      <c r="A49" s="855" t="s">
        <v>492</v>
      </c>
      <c r="B49" s="856"/>
      <c r="C49" s="856"/>
      <c r="D49" s="856"/>
      <c r="E49" s="856"/>
      <c r="F49" s="856"/>
      <c r="G49" s="857"/>
      <c r="H49" s="179"/>
      <c r="I49" s="177"/>
      <c r="J49" s="177"/>
      <c r="K49" s="177"/>
      <c r="L49" s="177"/>
      <c r="M49" s="177"/>
      <c r="N49" s="178"/>
      <c r="O49" s="179"/>
      <c r="P49" s="177"/>
      <c r="Q49" s="177"/>
      <c r="R49" s="177"/>
      <c r="S49" s="177"/>
      <c r="T49" s="177"/>
      <c r="U49" s="178"/>
      <c r="V49" s="179"/>
      <c r="W49" s="177"/>
      <c r="X49" s="177"/>
      <c r="Y49" s="177"/>
      <c r="Z49" s="177"/>
      <c r="AA49" s="177"/>
      <c r="AB49" s="178"/>
      <c r="AC49" s="179"/>
      <c r="AD49" s="177"/>
      <c r="AE49" s="177"/>
      <c r="AF49" s="177"/>
      <c r="AG49" s="177"/>
      <c r="AH49" s="177"/>
      <c r="AI49" s="178"/>
      <c r="AJ49" s="179"/>
      <c r="AK49" s="177"/>
      <c r="AL49" s="177"/>
      <c r="AM49" s="177"/>
      <c r="AN49" s="177"/>
      <c r="AO49" s="177"/>
      <c r="AP49" s="178"/>
      <c r="AQ49" s="179"/>
      <c r="AR49" s="177"/>
      <c r="AS49" s="177"/>
      <c r="AT49" s="177"/>
      <c r="AU49" s="177"/>
      <c r="AV49" s="177"/>
      <c r="AW49" s="178"/>
      <c r="AX49" s="179"/>
      <c r="AY49" s="177"/>
      <c r="AZ49" s="177"/>
      <c r="BA49" s="177"/>
      <c r="BB49" s="177"/>
      <c r="BC49" s="177"/>
      <c r="BD49" s="178"/>
      <c r="BE49" s="179"/>
      <c r="BF49" s="177"/>
      <c r="BG49" s="177"/>
      <c r="BH49" s="177"/>
      <c r="BI49" s="177"/>
      <c r="BJ49" s="177"/>
      <c r="BK49" s="178"/>
      <c r="BL49" s="179"/>
      <c r="BM49" s="177"/>
      <c r="BN49" s="177"/>
      <c r="BO49" s="177"/>
      <c r="BP49" s="177"/>
      <c r="BQ49" s="177"/>
      <c r="BR49" s="178"/>
      <c r="BS49" s="179"/>
      <c r="BT49" s="177"/>
      <c r="BU49" s="177"/>
      <c r="BV49" s="177"/>
      <c r="BW49" s="177"/>
      <c r="BX49" s="177"/>
      <c r="BY49" s="178"/>
      <c r="BZ49" s="179"/>
      <c r="CA49" s="177"/>
      <c r="CB49" s="177"/>
      <c r="CC49" s="177"/>
      <c r="CD49" s="177"/>
      <c r="CE49" s="177"/>
      <c r="CF49" s="178"/>
      <c r="CG49" s="179"/>
      <c r="CH49" s="177"/>
      <c r="CI49" s="177"/>
      <c r="CJ49" s="177"/>
      <c r="CK49" s="177"/>
      <c r="CL49" s="177"/>
      <c r="CM49" s="178"/>
      <c r="CN49" s="179"/>
      <c r="CO49" s="177"/>
      <c r="CP49" s="177"/>
      <c r="CQ49" s="177"/>
      <c r="CR49" s="177"/>
      <c r="CS49" s="177"/>
      <c r="CT49" s="178"/>
      <c r="CU49" s="179"/>
      <c r="CV49" s="177"/>
      <c r="CW49" s="177"/>
      <c r="CX49" s="177"/>
      <c r="CY49" s="177"/>
      <c r="CZ49" s="177"/>
      <c r="DA49" s="178"/>
      <c r="DB49" s="179"/>
      <c r="DC49" s="177"/>
      <c r="DD49" s="177"/>
      <c r="DE49" s="177"/>
      <c r="DF49" s="177"/>
      <c r="DG49" s="177"/>
      <c r="DH49" s="178"/>
      <c r="DI49" s="179"/>
      <c r="DJ49" s="177"/>
      <c r="DK49" s="177"/>
      <c r="DL49" s="177"/>
      <c r="DM49" s="177"/>
      <c r="DN49" s="177"/>
      <c r="DO49" s="178"/>
      <c r="DP49" s="179"/>
      <c r="DQ49" s="177"/>
      <c r="DR49" s="177"/>
      <c r="DS49" s="177"/>
      <c r="DT49" s="177"/>
      <c r="DU49" s="177"/>
      <c r="DV49" s="178"/>
      <c r="DW49" s="179"/>
      <c r="DX49" s="177"/>
      <c r="DY49" s="177"/>
      <c r="DZ49" s="177"/>
      <c r="EA49" s="177"/>
      <c r="EB49" s="177"/>
      <c r="EC49" s="178"/>
      <c r="ED49" s="179"/>
      <c r="EE49" s="177"/>
      <c r="EF49" s="177"/>
      <c r="EG49" s="177"/>
      <c r="EH49" s="177"/>
      <c r="EI49" s="177"/>
      <c r="EJ49" s="178"/>
      <c r="EK49" s="179"/>
      <c r="EL49" s="177"/>
      <c r="EM49" s="177"/>
      <c r="EN49" s="177"/>
      <c r="EO49" s="177"/>
      <c r="EP49" s="177"/>
      <c r="EQ49" s="178"/>
      <c r="ER49" s="179"/>
      <c r="ES49" s="177"/>
      <c r="ET49" s="177"/>
      <c r="EU49" s="177"/>
      <c r="EV49" s="177"/>
      <c r="EW49" s="177"/>
      <c r="EX49" s="178"/>
      <c r="EY49" s="179"/>
      <c r="EZ49" s="177"/>
      <c r="FA49" s="177"/>
      <c r="FB49" s="177"/>
      <c r="FC49" s="177"/>
      <c r="FD49" s="177"/>
      <c r="FE49" s="178"/>
      <c r="FF49" s="179"/>
      <c r="FG49" s="177"/>
      <c r="FH49" s="177"/>
      <c r="FI49" s="177"/>
      <c r="FJ49" s="177"/>
      <c r="FK49" s="177"/>
      <c r="FL49" s="178"/>
      <c r="FM49" s="179"/>
      <c r="FN49" s="177"/>
      <c r="FO49" s="177"/>
      <c r="FP49" s="177"/>
      <c r="FQ49" s="177"/>
      <c r="FR49" s="177"/>
      <c r="FS49" s="178"/>
      <c r="FT49" s="179"/>
      <c r="FU49" s="177"/>
      <c r="FV49" s="177"/>
      <c r="FW49" s="177"/>
      <c r="FX49" s="177"/>
      <c r="FY49" s="177"/>
      <c r="FZ49" s="178"/>
      <c r="GA49" s="179"/>
      <c r="GB49" s="177"/>
      <c r="GC49" s="177"/>
      <c r="GD49" s="177"/>
      <c r="GE49" s="177"/>
      <c r="GF49" s="177"/>
      <c r="GG49" s="178"/>
      <c r="GH49" s="179"/>
      <c r="GI49" s="177"/>
      <c r="GJ49" s="177"/>
      <c r="GK49" s="177"/>
      <c r="GL49" s="177"/>
      <c r="GM49" s="177"/>
      <c r="GN49" s="178"/>
      <c r="GO49" s="179"/>
      <c r="GP49" s="177"/>
      <c r="GQ49" s="177"/>
      <c r="GR49" s="177"/>
      <c r="GS49" s="177"/>
      <c r="GT49" s="177"/>
      <c r="GU49" s="178"/>
      <c r="GV49" s="179"/>
      <c r="GW49" s="177"/>
      <c r="GX49" s="177"/>
      <c r="GY49" s="177"/>
      <c r="GZ49" s="177"/>
      <c r="HA49" s="177"/>
      <c r="HB49" s="178"/>
      <c r="HC49" s="179"/>
      <c r="HD49" s="177"/>
      <c r="HE49" s="177"/>
      <c r="HF49" s="177"/>
      <c r="HG49" s="177"/>
      <c r="HH49" s="177"/>
      <c r="HI49" s="178"/>
      <c r="HJ49" s="179"/>
      <c r="HK49" s="177"/>
      <c r="HL49" s="177"/>
      <c r="HM49" s="177"/>
      <c r="HN49" s="177"/>
      <c r="HO49" s="177"/>
      <c r="HP49" s="178"/>
      <c r="HQ49" s="179"/>
      <c r="HR49" s="177"/>
      <c r="HS49" s="177"/>
      <c r="HT49" s="177"/>
      <c r="HU49" s="177"/>
      <c r="HV49" s="177"/>
      <c r="HW49" s="178"/>
      <c r="HX49" s="179"/>
      <c r="HY49" s="177"/>
      <c r="HZ49" s="177"/>
      <c r="IA49" s="177"/>
      <c r="IB49" s="177"/>
      <c r="IC49" s="177"/>
      <c r="ID49" s="178"/>
      <c r="IE49" s="179"/>
      <c r="IF49" s="177"/>
      <c r="IG49" s="177"/>
      <c r="IH49" s="177"/>
      <c r="II49" s="177"/>
      <c r="IJ49" s="177"/>
      <c r="IK49" s="178"/>
      <c r="IL49" s="179"/>
      <c r="IM49" s="177"/>
      <c r="IN49" s="177"/>
      <c r="IO49" s="177"/>
      <c r="IP49" s="177"/>
      <c r="IQ49" s="177"/>
      <c r="IR49" s="178"/>
      <c r="IS49" s="179"/>
      <c r="IT49" s="177"/>
      <c r="IU49" s="177"/>
      <c r="IV49" s="177"/>
    </row>
    <row r="50" spans="1:256" s="43" customFormat="1" ht="15" customHeight="1" x14ac:dyDescent="0.2">
      <c r="A50" s="855"/>
      <c r="B50" s="856"/>
      <c r="C50" s="856"/>
      <c r="D50" s="856"/>
      <c r="E50" s="856"/>
      <c r="F50" s="856"/>
      <c r="G50" s="857"/>
      <c r="H50" s="179"/>
      <c r="I50" s="177"/>
      <c r="J50" s="177"/>
      <c r="K50" s="177"/>
      <c r="L50" s="177"/>
      <c r="M50" s="177"/>
      <c r="N50" s="178"/>
      <c r="O50" s="179"/>
      <c r="P50" s="177"/>
      <c r="Q50" s="177"/>
      <c r="R50" s="177"/>
      <c r="S50" s="177"/>
      <c r="T50" s="177"/>
      <c r="U50" s="178"/>
      <c r="V50" s="179"/>
      <c r="W50" s="177"/>
      <c r="X50" s="177"/>
      <c r="Y50" s="177"/>
      <c r="Z50" s="177"/>
      <c r="AA50" s="177"/>
      <c r="AB50" s="178"/>
      <c r="AC50" s="179"/>
      <c r="AD50" s="177"/>
      <c r="AE50" s="177"/>
      <c r="AF50" s="177"/>
      <c r="AG50" s="177"/>
      <c r="AH50" s="177"/>
      <c r="AI50" s="178"/>
      <c r="AJ50" s="179"/>
      <c r="AK50" s="177"/>
      <c r="AL50" s="177"/>
      <c r="AM50" s="177"/>
      <c r="AN50" s="177"/>
      <c r="AO50" s="177"/>
      <c r="AP50" s="178"/>
      <c r="AQ50" s="179"/>
      <c r="AR50" s="177"/>
      <c r="AS50" s="177"/>
      <c r="AT50" s="177"/>
      <c r="AU50" s="177"/>
      <c r="AV50" s="177"/>
      <c r="AW50" s="178"/>
      <c r="AX50" s="179"/>
      <c r="AY50" s="177"/>
      <c r="AZ50" s="177"/>
      <c r="BA50" s="177"/>
      <c r="BB50" s="177"/>
      <c r="BC50" s="177"/>
      <c r="BD50" s="178"/>
      <c r="BE50" s="179"/>
      <c r="BF50" s="177"/>
      <c r="BG50" s="177"/>
      <c r="BH50" s="177"/>
      <c r="BI50" s="177"/>
      <c r="BJ50" s="177"/>
      <c r="BK50" s="178"/>
      <c r="BL50" s="179"/>
      <c r="BM50" s="177"/>
      <c r="BN50" s="177"/>
      <c r="BO50" s="177"/>
      <c r="BP50" s="177"/>
      <c r="BQ50" s="177"/>
      <c r="BR50" s="178"/>
      <c r="BS50" s="179"/>
      <c r="BT50" s="177"/>
      <c r="BU50" s="177"/>
      <c r="BV50" s="177"/>
      <c r="BW50" s="177"/>
      <c r="BX50" s="177"/>
      <c r="BY50" s="178"/>
      <c r="BZ50" s="179"/>
      <c r="CA50" s="177"/>
      <c r="CB50" s="177"/>
      <c r="CC50" s="177"/>
      <c r="CD50" s="177"/>
      <c r="CE50" s="177"/>
      <c r="CF50" s="178"/>
      <c r="CG50" s="179"/>
      <c r="CH50" s="177"/>
      <c r="CI50" s="177"/>
      <c r="CJ50" s="177"/>
      <c r="CK50" s="177"/>
      <c r="CL50" s="177"/>
      <c r="CM50" s="178"/>
      <c r="CN50" s="179"/>
      <c r="CO50" s="177"/>
      <c r="CP50" s="177"/>
      <c r="CQ50" s="177"/>
      <c r="CR50" s="177"/>
      <c r="CS50" s="177"/>
      <c r="CT50" s="178"/>
      <c r="CU50" s="179"/>
      <c r="CV50" s="177"/>
      <c r="CW50" s="177"/>
      <c r="CX50" s="177"/>
      <c r="CY50" s="177"/>
      <c r="CZ50" s="177"/>
      <c r="DA50" s="178"/>
      <c r="DB50" s="179"/>
      <c r="DC50" s="177"/>
      <c r="DD50" s="177"/>
      <c r="DE50" s="177"/>
      <c r="DF50" s="177"/>
      <c r="DG50" s="177"/>
      <c r="DH50" s="178"/>
      <c r="DI50" s="179"/>
      <c r="DJ50" s="177"/>
      <c r="DK50" s="177"/>
      <c r="DL50" s="177"/>
      <c r="DM50" s="177"/>
      <c r="DN50" s="177"/>
      <c r="DO50" s="178"/>
      <c r="DP50" s="179"/>
      <c r="DQ50" s="177"/>
      <c r="DR50" s="177"/>
      <c r="DS50" s="177"/>
      <c r="DT50" s="177"/>
      <c r="DU50" s="177"/>
      <c r="DV50" s="178"/>
      <c r="DW50" s="179"/>
      <c r="DX50" s="177"/>
      <c r="DY50" s="177"/>
      <c r="DZ50" s="177"/>
      <c r="EA50" s="177"/>
      <c r="EB50" s="177"/>
      <c r="EC50" s="178"/>
      <c r="ED50" s="179"/>
      <c r="EE50" s="177"/>
      <c r="EF50" s="177"/>
      <c r="EG50" s="177"/>
      <c r="EH50" s="177"/>
      <c r="EI50" s="177"/>
      <c r="EJ50" s="178"/>
      <c r="EK50" s="179"/>
      <c r="EL50" s="177"/>
      <c r="EM50" s="177"/>
      <c r="EN50" s="177"/>
      <c r="EO50" s="177"/>
      <c r="EP50" s="177"/>
      <c r="EQ50" s="178"/>
      <c r="ER50" s="179"/>
      <c r="ES50" s="177"/>
      <c r="ET50" s="177"/>
      <c r="EU50" s="177"/>
      <c r="EV50" s="177"/>
      <c r="EW50" s="177"/>
      <c r="EX50" s="178"/>
      <c r="EY50" s="179"/>
      <c r="EZ50" s="177"/>
      <c r="FA50" s="177"/>
      <c r="FB50" s="177"/>
      <c r="FC50" s="177"/>
      <c r="FD50" s="177"/>
      <c r="FE50" s="178"/>
      <c r="FF50" s="179"/>
      <c r="FG50" s="177"/>
      <c r="FH50" s="177"/>
      <c r="FI50" s="177"/>
      <c r="FJ50" s="177"/>
      <c r="FK50" s="177"/>
      <c r="FL50" s="178"/>
      <c r="FM50" s="179"/>
      <c r="FN50" s="177"/>
      <c r="FO50" s="177"/>
      <c r="FP50" s="177"/>
      <c r="FQ50" s="177"/>
      <c r="FR50" s="177"/>
      <c r="FS50" s="178"/>
      <c r="FT50" s="179"/>
      <c r="FU50" s="177"/>
      <c r="FV50" s="177"/>
      <c r="FW50" s="177"/>
      <c r="FX50" s="177"/>
      <c r="FY50" s="177"/>
      <c r="FZ50" s="178"/>
      <c r="GA50" s="179"/>
      <c r="GB50" s="177"/>
      <c r="GC50" s="177"/>
      <c r="GD50" s="177"/>
      <c r="GE50" s="177"/>
      <c r="GF50" s="177"/>
      <c r="GG50" s="178"/>
      <c r="GH50" s="179"/>
      <c r="GI50" s="177"/>
      <c r="GJ50" s="177"/>
      <c r="GK50" s="177"/>
      <c r="GL50" s="177"/>
      <c r="GM50" s="177"/>
      <c r="GN50" s="178"/>
      <c r="GO50" s="179"/>
      <c r="GP50" s="177"/>
      <c r="GQ50" s="177"/>
      <c r="GR50" s="177"/>
      <c r="GS50" s="177"/>
      <c r="GT50" s="177"/>
      <c r="GU50" s="178"/>
      <c r="GV50" s="179"/>
      <c r="GW50" s="177"/>
      <c r="GX50" s="177"/>
      <c r="GY50" s="177"/>
      <c r="GZ50" s="177"/>
      <c r="HA50" s="177"/>
      <c r="HB50" s="178"/>
      <c r="HC50" s="179"/>
      <c r="HD50" s="177"/>
      <c r="HE50" s="177"/>
      <c r="HF50" s="177"/>
      <c r="HG50" s="177"/>
      <c r="HH50" s="177"/>
      <c r="HI50" s="178"/>
      <c r="HJ50" s="179"/>
      <c r="HK50" s="177"/>
      <c r="HL50" s="177"/>
      <c r="HM50" s="177"/>
      <c r="HN50" s="177"/>
      <c r="HO50" s="177"/>
      <c r="HP50" s="178"/>
      <c r="HQ50" s="179"/>
      <c r="HR50" s="177"/>
      <c r="HS50" s="177"/>
      <c r="HT50" s="177"/>
      <c r="HU50" s="177"/>
      <c r="HV50" s="177"/>
      <c r="HW50" s="178"/>
      <c r="HX50" s="179"/>
      <c r="HY50" s="177"/>
      <c r="HZ50" s="177"/>
      <c r="IA50" s="177"/>
      <c r="IB50" s="177"/>
      <c r="IC50" s="177"/>
      <c r="ID50" s="178"/>
      <c r="IE50" s="179"/>
      <c r="IF50" s="177"/>
      <c r="IG50" s="177"/>
      <c r="IH50" s="177"/>
      <c r="II50" s="177"/>
      <c r="IJ50" s="177"/>
      <c r="IK50" s="178"/>
      <c r="IL50" s="179"/>
      <c r="IM50" s="177"/>
      <c r="IN50" s="177"/>
      <c r="IO50" s="177"/>
      <c r="IP50" s="177"/>
      <c r="IQ50" s="177"/>
      <c r="IR50" s="178"/>
      <c r="IS50" s="179"/>
      <c r="IT50" s="177"/>
      <c r="IU50" s="177"/>
      <c r="IV50" s="177"/>
    </row>
    <row r="51" spans="1:256" s="43" customFormat="1" ht="15" customHeight="1" x14ac:dyDescent="0.2">
      <c r="A51" s="179"/>
      <c r="B51" s="177"/>
      <c r="C51" s="177"/>
      <c r="D51" s="177"/>
      <c r="E51" s="177"/>
      <c r="F51" s="177"/>
      <c r="G51" s="178"/>
      <c r="H51" s="179"/>
      <c r="I51" s="177"/>
      <c r="J51" s="177"/>
      <c r="K51" s="177"/>
      <c r="L51" s="177"/>
      <c r="M51" s="177"/>
      <c r="N51" s="178"/>
      <c r="O51" s="179"/>
      <c r="P51" s="177"/>
      <c r="Q51" s="177"/>
      <c r="R51" s="177"/>
      <c r="S51" s="177"/>
      <c r="T51" s="177"/>
      <c r="U51" s="178"/>
      <c r="V51" s="179"/>
      <c r="W51" s="177"/>
      <c r="X51" s="177"/>
      <c r="Y51" s="177"/>
      <c r="Z51" s="177"/>
      <c r="AA51" s="177"/>
      <c r="AB51" s="178"/>
      <c r="AC51" s="179"/>
      <c r="AD51" s="177"/>
      <c r="AE51" s="177"/>
      <c r="AF51" s="177"/>
      <c r="AG51" s="177"/>
      <c r="AH51" s="177"/>
      <c r="AI51" s="178"/>
      <c r="AJ51" s="179"/>
      <c r="AK51" s="177"/>
      <c r="AL51" s="177"/>
      <c r="AM51" s="177"/>
      <c r="AN51" s="177"/>
      <c r="AO51" s="177"/>
      <c r="AP51" s="178"/>
      <c r="AQ51" s="179"/>
      <c r="AR51" s="177"/>
      <c r="AS51" s="177"/>
      <c r="AT51" s="177"/>
      <c r="AU51" s="177"/>
      <c r="AV51" s="177"/>
      <c r="AW51" s="178"/>
      <c r="AX51" s="179"/>
      <c r="AY51" s="177"/>
      <c r="AZ51" s="177"/>
      <c r="BA51" s="177"/>
      <c r="BB51" s="177"/>
      <c r="BC51" s="177"/>
      <c r="BD51" s="178"/>
      <c r="BE51" s="179"/>
      <c r="BF51" s="177"/>
      <c r="BG51" s="177"/>
      <c r="BH51" s="177"/>
      <c r="BI51" s="177"/>
      <c r="BJ51" s="177"/>
      <c r="BK51" s="178"/>
      <c r="BL51" s="179"/>
      <c r="BM51" s="177"/>
      <c r="BN51" s="177"/>
      <c r="BO51" s="177"/>
      <c r="BP51" s="177"/>
      <c r="BQ51" s="177"/>
      <c r="BR51" s="178"/>
      <c r="BS51" s="179"/>
      <c r="BT51" s="177"/>
      <c r="BU51" s="177"/>
      <c r="BV51" s="177"/>
      <c r="BW51" s="177"/>
      <c r="BX51" s="177"/>
      <c r="BY51" s="178"/>
      <c r="BZ51" s="179"/>
      <c r="CA51" s="177"/>
      <c r="CB51" s="177"/>
      <c r="CC51" s="177"/>
      <c r="CD51" s="177"/>
      <c r="CE51" s="177"/>
      <c r="CF51" s="178"/>
      <c r="CG51" s="179"/>
      <c r="CH51" s="177"/>
      <c r="CI51" s="177"/>
      <c r="CJ51" s="177"/>
      <c r="CK51" s="177"/>
      <c r="CL51" s="177"/>
      <c r="CM51" s="178"/>
      <c r="CN51" s="179"/>
      <c r="CO51" s="177"/>
      <c r="CP51" s="177"/>
      <c r="CQ51" s="177"/>
      <c r="CR51" s="177"/>
      <c r="CS51" s="177"/>
      <c r="CT51" s="178"/>
      <c r="CU51" s="179"/>
      <c r="CV51" s="177"/>
      <c r="CW51" s="177"/>
      <c r="CX51" s="177"/>
      <c r="CY51" s="177"/>
      <c r="CZ51" s="177"/>
      <c r="DA51" s="178"/>
      <c r="DB51" s="179"/>
      <c r="DC51" s="177"/>
      <c r="DD51" s="177"/>
      <c r="DE51" s="177"/>
      <c r="DF51" s="177"/>
      <c r="DG51" s="177"/>
      <c r="DH51" s="178"/>
      <c r="DI51" s="179"/>
      <c r="DJ51" s="177"/>
      <c r="DK51" s="177"/>
      <c r="DL51" s="177"/>
      <c r="DM51" s="177"/>
      <c r="DN51" s="177"/>
      <c r="DO51" s="178"/>
      <c r="DP51" s="179"/>
      <c r="DQ51" s="177"/>
      <c r="DR51" s="177"/>
      <c r="DS51" s="177"/>
      <c r="DT51" s="177"/>
      <c r="DU51" s="177"/>
      <c r="DV51" s="178"/>
      <c r="DW51" s="179"/>
      <c r="DX51" s="177"/>
      <c r="DY51" s="177"/>
      <c r="DZ51" s="177"/>
      <c r="EA51" s="177"/>
      <c r="EB51" s="177"/>
      <c r="EC51" s="178"/>
      <c r="ED51" s="179"/>
      <c r="EE51" s="177"/>
      <c r="EF51" s="177"/>
      <c r="EG51" s="177"/>
      <c r="EH51" s="177"/>
      <c r="EI51" s="177"/>
      <c r="EJ51" s="178"/>
      <c r="EK51" s="179"/>
      <c r="EL51" s="177"/>
      <c r="EM51" s="177"/>
      <c r="EN51" s="177"/>
      <c r="EO51" s="177"/>
      <c r="EP51" s="177"/>
      <c r="EQ51" s="178"/>
      <c r="ER51" s="179"/>
      <c r="ES51" s="177"/>
      <c r="ET51" s="177"/>
      <c r="EU51" s="177"/>
      <c r="EV51" s="177"/>
      <c r="EW51" s="177"/>
      <c r="EX51" s="178"/>
      <c r="EY51" s="179"/>
      <c r="EZ51" s="177"/>
      <c r="FA51" s="177"/>
      <c r="FB51" s="177"/>
      <c r="FC51" s="177"/>
      <c r="FD51" s="177"/>
      <c r="FE51" s="178"/>
      <c r="FF51" s="179"/>
      <c r="FG51" s="177"/>
      <c r="FH51" s="177"/>
      <c r="FI51" s="177"/>
      <c r="FJ51" s="177"/>
      <c r="FK51" s="177"/>
      <c r="FL51" s="178"/>
      <c r="FM51" s="179"/>
      <c r="FN51" s="177"/>
      <c r="FO51" s="177"/>
      <c r="FP51" s="177"/>
      <c r="FQ51" s="177"/>
      <c r="FR51" s="177"/>
      <c r="FS51" s="178"/>
      <c r="FT51" s="179"/>
      <c r="FU51" s="177"/>
      <c r="FV51" s="177"/>
      <c r="FW51" s="177"/>
      <c r="FX51" s="177"/>
      <c r="FY51" s="177"/>
      <c r="FZ51" s="178"/>
      <c r="GA51" s="179"/>
      <c r="GB51" s="177"/>
      <c r="GC51" s="177"/>
      <c r="GD51" s="177"/>
      <c r="GE51" s="177"/>
      <c r="GF51" s="177"/>
      <c r="GG51" s="178"/>
      <c r="GH51" s="179"/>
      <c r="GI51" s="177"/>
      <c r="GJ51" s="177"/>
      <c r="GK51" s="177"/>
      <c r="GL51" s="177"/>
      <c r="GM51" s="177"/>
      <c r="GN51" s="178"/>
      <c r="GO51" s="179"/>
      <c r="GP51" s="177"/>
      <c r="GQ51" s="177"/>
      <c r="GR51" s="177"/>
      <c r="GS51" s="177"/>
      <c r="GT51" s="177"/>
      <c r="GU51" s="178"/>
      <c r="GV51" s="179"/>
      <c r="GW51" s="177"/>
      <c r="GX51" s="177"/>
      <c r="GY51" s="177"/>
      <c r="GZ51" s="177"/>
      <c r="HA51" s="177"/>
      <c r="HB51" s="178"/>
      <c r="HC51" s="179"/>
      <c r="HD51" s="177"/>
      <c r="HE51" s="177"/>
      <c r="HF51" s="177"/>
      <c r="HG51" s="177"/>
      <c r="HH51" s="177"/>
      <c r="HI51" s="178"/>
      <c r="HJ51" s="179"/>
      <c r="HK51" s="177"/>
      <c r="HL51" s="177"/>
      <c r="HM51" s="177"/>
      <c r="HN51" s="177"/>
      <c r="HO51" s="177"/>
      <c r="HP51" s="178"/>
      <c r="HQ51" s="179"/>
      <c r="HR51" s="177"/>
      <c r="HS51" s="177"/>
      <c r="HT51" s="177"/>
      <c r="HU51" s="177"/>
      <c r="HV51" s="177"/>
      <c r="HW51" s="178"/>
      <c r="HX51" s="179"/>
      <c r="HY51" s="177"/>
      <c r="HZ51" s="177"/>
      <c r="IA51" s="177"/>
      <c r="IB51" s="177"/>
      <c r="IC51" s="177"/>
      <c r="ID51" s="178"/>
      <c r="IE51" s="179"/>
      <c r="IF51" s="177"/>
      <c r="IG51" s="177"/>
      <c r="IH51" s="177"/>
      <c r="II51" s="177"/>
      <c r="IJ51" s="177"/>
      <c r="IK51" s="178"/>
      <c r="IL51" s="179"/>
      <c r="IM51" s="177"/>
      <c r="IN51" s="177"/>
      <c r="IO51" s="177"/>
      <c r="IP51" s="177"/>
      <c r="IQ51" s="177"/>
      <c r="IR51" s="178"/>
      <c r="IS51" s="179"/>
      <c r="IT51" s="177"/>
      <c r="IU51" s="177"/>
      <c r="IV51" s="177"/>
    </row>
    <row r="52" spans="1:256" s="43" customFormat="1" ht="15" customHeight="1" x14ac:dyDescent="0.25">
      <c r="A52" s="225" t="s">
        <v>31</v>
      </c>
      <c r="B52" s="177"/>
      <c r="C52" s="177"/>
      <c r="D52" s="177"/>
      <c r="E52" s="177"/>
      <c r="F52" s="177"/>
      <c r="G52" s="178"/>
      <c r="H52" s="179"/>
      <c r="I52" s="177"/>
      <c r="J52" s="177"/>
      <c r="K52" s="177"/>
      <c r="L52" s="177"/>
      <c r="M52" s="177"/>
      <c r="N52" s="178"/>
      <c r="O52" s="179"/>
      <c r="P52" s="177"/>
      <c r="Q52" s="177"/>
      <c r="R52" s="177"/>
      <c r="S52" s="177"/>
      <c r="T52" s="177"/>
      <c r="U52" s="178"/>
      <c r="V52" s="179"/>
      <c r="W52" s="177"/>
      <c r="X52" s="177"/>
      <c r="Y52" s="177"/>
      <c r="Z52" s="177"/>
      <c r="AA52" s="177"/>
      <c r="AB52" s="178"/>
      <c r="AC52" s="179"/>
      <c r="AD52" s="177"/>
      <c r="AE52" s="177"/>
      <c r="AF52" s="177"/>
      <c r="AG52" s="177"/>
      <c r="AH52" s="177"/>
      <c r="AI52" s="178"/>
      <c r="AJ52" s="179"/>
      <c r="AK52" s="177"/>
      <c r="AL52" s="177"/>
      <c r="AM52" s="177"/>
      <c r="AN52" s="177"/>
      <c r="AO52" s="177"/>
      <c r="AP52" s="178"/>
      <c r="AQ52" s="179"/>
      <c r="AR52" s="177"/>
      <c r="AS52" s="177"/>
      <c r="AT52" s="177"/>
      <c r="AU52" s="177"/>
      <c r="AV52" s="177"/>
      <c r="AW52" s="178"/>
      <c r="AX52" s="179"/>
      <c r="AY52" s="177"/>
      <c r="AZ52" s="177"/>
      <c r="BA52" s="177"/>
      <c r="BB52" s="177"/>
      <c r="BC52" s="177"/>
      <c r="BD52" s="178"/>
      <c r="BE52" s="179"/>
      <c r="BF52" s="177"/>
      <c r="BG52" s="177"/>
      <c r="BH52" s="177"/>
      <c r="BI52" s="177"/>
      <c r="BJ52" s="177"/>
      <c r="BK52" s="178"/>
      <c r="BL52" s="179"/>
      <c r="BM52" s="177"/>
      <c r="BN52" s="177"/>
      <c r="BO52" s="177"/>
      <c r="BP52" s="177"/>
      <c r="BQ52" s="177"/>
      <c r="BR52" s="178"/>
      <c r="BS52" s="179"/>
      <c r="BT52" s="177"/>
      <c r="BU52" s="177"/>
      <c r="BV52" s="177"/>
      <c r="BW52" s="177"/>
      <c r="BX52" s="177"/>
      <c r="BY52" s="178"/>
      <c r="BZ52" s="179"/>
      <c r="CA52" s="177"/>
      <c r="CB52" s="177"/>
      <c r="CC52" s="177"/>
      <c r="CD52" s="177"/>
      <c r="CE52" s="177"/>
      <c r="CF52" s="178"/>
      <c r="CG52" s="179"/>
      <c r="CH52" s="177"/>
      <c r="CI52" s="177"/>
      <c r="CJ52" s="177"/>
      <c r="CK52" s="177"/>
      <c r="CL52" s="177"/>
      <c r="CM52" s="178"/>
      <c r="CN52" s="179"/>
      <c r="CO52" s="177"/>
      <c r="CP52" s="177"/>
      <c r="CQ52" s="177"/>
      <c r="CR52" s="177"/>
      <c r="CS52" s="177"/>
      <c r="CT52" s="178"/>
      <c r="CU52" s="179"/>
      <c r="CV52" s="177"/>
      <c r="CW52" s="177"/>
      <c r="CX52" s="177"/>
      <c r="CY52" s="177"/>
      <c r="CZ52" s="177"/>
      <c r="DA52" s="178"/>
      <c r="DB52" s="179"/>
      <c r="DC52" s="177"/>
      <c r="DD52" s="177"/>
      <c r="DE52" s="177"/>
      <c r="DF52" s="177"/>
      <c r="DG52" s="177"/>
      <c r="DH52" s="178"/>
      <c r="DI52" s="179"/>
      <c r="DJ52" s="177"/>
      <c r="DK52" s="177"/>
      <c r="DL52" s="177"/>
      <c r="DM52" s="177"/>
      <c r="DN52" s="177"/>
      <c r="DO52" s="178"/>
      <c r="DP52" s="179"/>
      <c r="DQ52" s="177"/>
      <c r="DR52" s="177"/>
      <c r="DS52" s="177"/>
      <c r="DT52" s="177"/>
      <c r="DU52" s="177"/>
      <c r="DV52" s="178"/>
      <c r="DW52" s="179"/>
      <c r="DX52" s="177"/>
      <c r="DY52" s="177"/>
      <c r="DZ52" s="177"/>
      <c r="EA52" s="177"/>
      <c r="EB52" s="177"/>
      <c r="EC52" s="178"/>
      <c r="ED52" s="179"/>
      <c r="EE52" s="177"/>
      <c r="EF52" s="177"/>
      <c r="EG52" s="177"/>
      <c r="EH52" s="177"/>
      <c r="EI52" s="177"/>
      <c r="EJ52" s="178"/>
      <c r="EK52" s="179"/>
      <c r="EL52" s="177"/>
      <c r="EM52" s="177"/>
      <c r="EN52" s="177"/>
      <c r="EO52" s="177"/>
      <c r="EP52" s="177"/>
      <c r="EQ52" s="178"/>
      <c r="ER52" s="179"/>
      <c r="ES52" s="177"/>
      <c r="ET52" s="177"/>
      <c r="EU52" s="177"/>
      <c r="EV52" s="177"/>
      <c r="EW52" s="177"/>
      <c r="EX52" s="178"/>
      <c r="EY52" s="179"/>
      <c r="EZ52" s="177"/>
      <c r="FA52" s="177"/>
      <c r="FB52" s="177"/>
      <c r="FC52" s="177"/>
      <c r="FD52" s="177"/>
      <c r="FE52" s="178"/>
      <c r="FF52" s="179"/>
      <c r="FG52" s="177"/>
      <c r="FH52" s="177"/>
      <c r="FI52" s="177"/>
      <c r="FJ52" s="177"/>
      <c r="FK52" s="177"/>
      <c r="FL52" s="178"/>
      <c r="FM52" s="179"/>
      <c r="FN52" s="177"/>
      <c r="FO52" s="177"/>
      <c r="FP52" s="177"/>
      <c r="FQ52" s="177"/>
      <c r="FR52" s="177"/>
      <c r="FS52" s="178"/>
      <c r="FT52" s="179"/>
      <c r="FU52" s="177"/>
      <c r="FV52" s="177"/>
      <c r="FW52" s="177"/>
      <c r="FX52" s="177"/>
      <c r="FY52" s="177"/>
      <c r="FZ52" s="178"/>
      <c r="GA52" s="179"/>
      <c r="GB52" s="177"/>
      <c r="GC52" s="177"/>
      <c r="GD52" s="177"/>
      <c r="GE52" s="177"/>
      <c r="GF52" s="177"/>
      <c r="GG52" s="178"/>
      <c r="GH52" s="179"/>
      <c r="GI52" s="177"/>
      <c r="GJ52" s="177"/>
      <c r="GK52" s="177"/>
      <c r="GL52" s="177"/>
      <c r="GM52" s="177"/>
      <c r="GN52" s="178"/>
      <c r="GO52" s="179"/>
      <c r="GP52" s="177"/>
      <c r="GQ52" s="177"/>
      <c r="GR52" s="177"/>
      <c r="GS52" s="177"/>
      <c r="GT52" s="177"/>
      <c r="GU52" s="178"/>
      <c r="GV52" s="179"/>
      <c r="GW52" s="177"/>
      <c r="GX52" s="177"/>
      <c r="GY52" s="177"/>
      <c r="GZ52" s="177"/>
      <c r="HA52" s="177"/>
      <c r="HB52" s="178"/>
      <c r="HC52" s="179"/>
      <c r="HD52" s="177"/>
      <c r="HE52" s="177"/>
      <c r="HF52" s="177"/>
      <c r="HG52" s="177"/>
      <c r="HH52" s="177"/>
      <c r="HI52" s="178"/>
      <c r="HJ52" s="179"/>
      <c r="HK52" s="177"/>
      <c r="HL52" s="177"/>
      <c r="HM52" s="177"/>
      <c r="HN52" s="177"/>
      <c r="HO52" s="177"/>
      <c r="HP52" s="178"/>
      <c r="HQ52" s="179"/>
      <c r="HR52" s="177"/>
      <c r="HS52" s="177"/>
      <c r="HT52" s="177"/>
      <c r="HU52" s="177"/>
      <c r="HV52" s="177"/>
      <c r="HW52" s="178"/>
      <c r="HX52" s="179"/>
      <c r="HY52" s="177"/>
      <c r="HZ52" s="177"/>
      <c r="IA52" s="177"/>
      <c r="IB52" s="177"/>
      <c r="IC52" s="177"/>
      <c r="ID52" s="178"/>
      <c r="IE52" s="179"/>
      <c r="IF52" s="177"/>
      <c r="IG52" s="177"/>
      <c r="IH52" s="177"/>
      <c r="II52" s="177"/>
      <c r="IJ52" s="177"/>
      <c r="IK52" s="178"/>
      <c r="IL52" s="179"/>
      <c r="IM52" s="177"/>
      <c r="IN52" s="177"/>
      <c r="IO52" s="177"/>
      <c r="IP52" s="177"/>
      <c r="IQ52" s="177"/>
      <c r="IR52" s="178"/>
      <c r="IS52" s="179"/>
      <c r="IT52" s="177"/>
      <c r="IU52" s="177"/>
      <c r="IV52" s="177"/>
    </row>
    <row r="53" spans="1:256" x14ac:dyDescent="0.2">
      <c r="A53" s="179"/>
      <c r="B53" s="177"/>
      <c r="C53" s="177"/>
      <c r="D53" s="177"/>
      <c r="E53" s="177"/>
      <c r="F53" s="177"/>
      <c r="G53" s="178"/>
      <c r="H53" s="179"/>
      <c r="I53" s="177"/>
      <c r="J53" s="177"/>
      <c r="K53" s="177"/>
      <c r="L53" s="177"/>
      <c r="M53" s="177"/>
      <c r="N53" s="178"/>
      <c r="O53" s="179"/>
      <c r="P53" s="177"/>
      <c r="Q53" s="177"/>
      <c r="R53" s="177"/>
      <c r="S53" s="177"/>
      <c r="T53" s="177"/>
      <c r="U53" s="178"/>
      <c r="V53" s="179"/>
      <c r="W53" s="177"/>
      <c r="X53" s="177"/>
      <c r="Y53" s="177"/>
      <c r="Z53" s="177"/>
      <c r="AA53" s="177"/>
      <c r="AB53" s="178"/>
      <c r="AC53" s="179"/>
      <c r="AD53" s="177"/>
      <c r="AE53" s="177"/>
      <c r="AF53" s="177"/>
      <c r="AG53" s="177"/>
      <c r="AH53" s="177"/>
      <c r="AI53" s="178"/>
      <c r="AJ53" s="179"/>
      <c r="AK53" s="177"/>
      <c r="AL53" s="177"/>
      <c r="AM53" s="177"/>
      <c r="AN53" s="177"/>
      <c r="AO53" s="177"/>
      <c r="AP53" s="178"/>
      <c r="AQ53" s="179"/>
      <c r="AR53" s="177"/>
      <c r="AS53" s="177"/>
      <c r="AT53" s="177"/>
      <c r="AU53" s="177"/>
      <c r="AV53" s="177"/>
      <c r="AW53" s="178"/>
      <c r="AX53" s="179"/>
      <c r="AY53" s="177"/>
      <c r="AZ53" s="177"/>
      <c r="BA53" s="177"/>
      <c r="BB53" s="177"/>
      <c r="BC53" s="177"/>
      <c r="BD53" s="178"/>
      <c r="BE53" s="179"/>
      <c r="BF53" s="177"/>
      <c r="BG53" s="177"/>
      <c r="BH53" s="177"/>
      <c r="BI53" s="177"/>
      <c r="BJ53" s="177"/>
      <c r="BK53" s="178"/>
      <c r="BL53" s="179"/>
      <c r="BM53" s="177"/>
      <c r="BN53" s="177"/>
      <c r="BO53" s="177"/>
      <c r="BP53" s="177"/>
      <c r="BQ53" s="177"/>
      <c r="BR53" s="178"/>
      <c r="BS53" s="179"/>
      <c r="BT53" s="177"/>
      <c r="BU53" s="177"/>
      <c r="BV53" s="177"/>
      <c r="BW53" s="177"/>
      <c r="BX53" s="177"/>
      <c r="BY53" s="178"/>
      <c r="BZ53" s="179"/>
      <c r="CA53" s="177"/>
      <c r="CB53" s="177"/>
      <c r="CC53" s="177"/>
      <c r="CD53" s="177"/>
      <c r="CE53" s="177"/>
      <c r="CF53" s="178"/>
      <c r="CG53" s="179"/>
      <c r="CH53" s="177"/>
      <c r="CI53" s="177"/>
      <c r="CJ53" s="177"/>
      <c r="CK53" s="177"/>
      <c r="CL53" s="177"/>
      <c r="CM53" s="178"/>
      <c r="CN53" s="179"/>
      <c r="CO53" s="177"/>
      <c r="CP53" s="177"/>
      <c r="CQ53" s="177"/>
      <c r="CR53" s="177"/>
      <c r="CS53" s="177"/>
      <c r="CT53" s="178"/>
      <c r="CU53" s="179"/>
      <c r="CV53" s="177"/>
      <c r="CW53" s="177"/>
      <c r="CX53" s="177"/>
      <c r="CY53" s="177"/>
      <c r="CZ53" s="177"/>
      <c r="DA53" s="178"/>
      <c r="DB53" s="179"/>
      <c r="DC53" s="177"/>
      <c r="DD53" s="177"/>
      <c r="DE53" s="177"/>
      <c r="DF53" s="177"/>
      <c r="DG53" s="177"/>
      <c r="DH53" s="178"/>
      <c r="DI53" s="179"/>
      <c r="DJ53" s="177"/>
      <c r="DK53" s="177"/>
      <c r="DL53" s="177"/>
      <c r="DM53" s="177"/>
      <c r="DN53" s="177"/>
      <c r="DO53" s="178"/>
      <c r="DP53" s="179"/>
      <c r="DQ53" s="177"/>
      <c r="DR53" s="177"/>
      <c r="DS53" s="177"/>
      <c r="DT53" s="177"/>
      <c r="DU53" s="177"/>
      <c r="DV53" s="178"/>
      <c r="DW53" s="179"/>
      <c r="DX53" s="177"/>
      <c r="DY53" s="177"/>
      <c r="DZ53" s="177"/>
      <c r="EA53" s="177"/>
      <c r="EB53" s="177"/>
      <c r="EC53" s="178"/>
      <c r="ED53" s="179"/>
      <c r="EE53" s="177"/>
      <c r="EF53" s="177"/>
      <c r="EG53" s="177"/>
      <c r="EH53" s="177"/>
      <c r="EI53" s="177"/>
      <c r="EJ53" s="178"/>
      <c r="EK53" s="179"/>
      <c r="EL53" s="177"/>
      <c r="EM53" s="177"/>
      <c r="EN53" s="177"/>
      <c r="EO53" s="177"/>
      <c r="EP53" s="177"/>
      <c r="EQ53" s="178"/>
      <c r="ER53" s="179"/>
      <c r="ES53" s="177"/>
      <c r="ET53" s="177"/>
      <c r="EU53" s="177"/>
      <c r="EV53" s="177"/>
      <c r="EW53" s="177"/>
      <c r="EX53" s="178"/>
      <c r="EY53" s="179"/>
      <c r="EZ53" s="177"/>
      <c r="FA53" s="177"/>
      <c r="FB53" s="177"/>
      <c r="FC53" s="177"/>
      <c r="FD53" s="177"/>
      <c r="FE53" s="178"/>
      <c r="FF53" s="179"/>
      <c r="FG53" s="177"/>
      <c r="FH53" s="177"/>
      <c r="FI53" s="177"/>
      <c r="FJ53" s="177"/>
      <c r="FK53" s="177"/>
      <c r="FL53" s="178"/>
      <c r="FM53" s="179"/>
      <c r="FN53" s="177"/>
      <c r="FO53" s="177"/>
      <c r="FP53" s="177"/>
      <c r="FQ53" s="177"/>
      <c r="FR53" s="177"/>
      <c r="FS53" s="178"/>
      <c r="FT53" s="179"/>
      <c r="FU53" s="177"/>
      <c r="FV53" s="177"/>
      <c r="FW53" s="177"/>
      <c r="FX53" s="177"/>
      <c r="FY53" s="177"/>
      <c r="FZ53" s="178"/>
      <c r="GA53" s="179"/>
      <c r="GB53" s="177"/>
      <c r="GC53" s="177"/>
      <c r="GD53" s="177"/>
      <c r="GE53" s="177"/>
      <c r="GF53" s="177"/>
      <c r="GG53" s="178"/>
      <c r="GH53" s="179"/>
      <c r="GI53" s="177"/>
      <c r="GJ53" s="177"/>
      <c r="GK53" s="177"/>
      <c r="GL53" s="177"/>
      <c r="GM53" s="177"/>
      <c r="GN53" s="178"/>
      <c r="GO53" s="179"/>
      <c r="GP53" s="177"/>
      <c r="GQ53" s="177"/>
      <c r="GR53" s="177"/>
      <c r="GS53" s="177"/>
      <c r="GT53" s="177"/>
      <c r="GU53" s="178"/>
      <c r="GV53" s="179"/>
      <c r="GW53" s="177"/>
      <c r="GX53" s="177"/>
      <c r="GY53" s="177"/>
      <c r="GZ53" s="177"/>
      <c r="HA53" s="177"/>
      <c r="HB53" s="178"/>
      <c r="HC53" s="179"/>
      <c r="HD53" s="177"/>
      <c r="HE53" s="177"/>
      <c r="HF53" s="177"/>
      <c r="HG53" s="177"/>
      <c r="HH53" s="177"/>
      <c r="HI53" s="178"/>
      <c r="HJ53" s="179"/>
      <c r="HK53" s="177"/>
      <c r="HL53" s="177"/>
      <c r="HM53" s="177"/>
      <c r="HN53" s="177"/>
      <c r="HO53" s="177"/>
      <c r="HP53" s="178"/>
      <c r="HQ53" s="179"/>
      <c r="HR53" s="177"/>
      <c r="HS53" s="177"/>
      <c r="HT53" s="177"/>
      <c r="HU53" s="177"/>
      <c r="HV53" s="177"/>
      <c r="HW53" s="178"/>
      <c r="HX53" s="179"/>
      <c r="HY53" s="177"/>
      <c r="HZ53" s="177"/>
      <c r="IA53" s="177"/>
      <c r="IB53" s="177"/>
      <c r="IC53" s="177"/>
      <c r="ID53" s="178"/>
      <c r="IE53" s="179"/>
      <c r="IF53" s="177"/>
      <c r="IG53" s="177"/>
      <c r="IH53" s="177"/>
      <c r="II53" s="177"/>
      <c r="IJ53" s="177"/>
      <c r="IK53" s="178"/>
      <c r="IL53" s="179"/>
      <c r="IM53" s="177"/>
      <c r="IN53" s="177"/>
      <c r="IO53" s="177"/>
      <c r="IP53" s="177"/>
      <c r="IQ53" s="177"/>
      <c r="IR53" s="178"/>
      <c r="IS53" s="179"/>
      <c r="IT53" s="177"/>
      <c r="IU53" s="177"/>
      <c r="IV53" s="177"/>
    </row>
    <row r="54" spans="1:256" ht="12.75" x14ac:dyDescent="0.2">
      <c r="A54" s="269" t="s">
        <v>533</v>
      </c>
      <c r="B54" s="177"/>
      <c r="C54" s="177"/>
      <c r="D54" s="177"/>
      <c r="E54" s="177"/>
      <c r="F54" s="177"/>
      <c r="G54" s="178"/>
      <c r="H54" s="186"/>
      <c r="I54" s="177"/>
      <c r="J54" s="177"/>
      <c r="K54" s="177"/>
      <c r="L54" s="177"/>
      <c r="M54" s="177"/>
      <c r="N54" s="178"/>
      <c r="O54" s="186"/>
      <c r="P54" s="177"/>
      <c r="Q54" s="177"/>
      <c r="R54" s="177"/>
      <c r="S54" s="177"/>
      <c r="T54" s="177"/>
      <c r="U54" s="178"/>
      <c r="V54" s="186"/>
      <c r="W54" s="177"/>
      <c r="X54" s="177"/>
      <c r="Y54" s="177"/>
      <c r="Z54" s="177"/>
      <c r="AA54" s="177"/>
      <c r="AB54" s="178"/>
      <c r="AC54" s="186"/>
      <c r="AD54" s="177"/>
      <c r="AE54" s="177"/>
      <c r="AF54" s="177"/>
      <c r="AG54" s="177"/>
      <c r="AH54" s="177"/>
      <c r="AI54" s="178"/>
      <c r="AJ54" s="186"/>
      <c r="AK54" s="177"/>
      <c r="AL54" s="177"/>
      <c r="AM54" s="177"/>
      <c r="AN54" s="177"/>
      <c r="AO54" s="177"/>
      <c r="AP54" s="178"/>
      <c r="AQ54" s="186"/>
      <c r="AR54" s="177"/>
      <c r="AS54" s="177"/>
      <c r="AT54" s="177"/>
      <c r="AU54" s="177"/>
      <c r="AV54" s="177"/>
      <c r="AW54" s="178"/>
      <c r="AX54" s="186"/>
      <c r="AY54" s="177"/>
      <c r="AZ54" s="177"/>
      <c r="BA54" s="177"/>
      <c r="BB54" s="177"/>
      <c r="BC54" s="177"/>
      <c r="BD54" s="178"/>
      <c r="BE54" s="186"/>
      <c r="BF54" s="177"/>
      <c r="BG54" s="177"/>
      <c r="BH54" s="177"/>
      <c r="BI54" s="177"/>
      <c r="BJ54" s="177"/>
      <c r="BK54" s="178"/>
      <c r="BL54" s="186"/>
      <c r="BM54" s="177"/>
      <c r="BN54" s="177"/>
      <c r="BO54" s="177"/>
      <c r="BP54" s="177"/>
      <c r="BQ54" s="177"/>
      <c r="BR54" s="178"/>
      <c r="BS54" s="186"/>
      <c r="BT54" s="177"/>
      <c r="BU54" s="177"/>
      <c r="BV54" s="177"/>
      <c r="BW54" s="177"/>
      <c r="BX54" s="177"/>
      <c r="BY54" s="178"/>
      <c r="BZ54" s="186"/>
      <c r="CA54" s="177"/>
      <c r="CB54" s="177"/>
      <c r="CC54" s="177"/>
      <c r="CD54" s="177"/>
      <c r="CE54" s="177"/>
      <c r="CF54" s="178"/>
      <c r="CG54" s="186"/>
      <c r="CH54" s="177"/>
      <c r="CI54" s="177"/>
      <c r="CJ54" s="177"/>
      <c r="CK54" s="177"/>
      <c r="CL54" s="177"/>
      <c r="CM54" s="178"/>
      <c r="CN54" s="186"/>
      <c r="CO54" s="177"/>
      <c r="CP54" s="177"/>
      <c r="CQ54" s="177"/>
      <c r="CR54" s="177"/>
      <c r="CS54" s="177"/>
      <c r="CT54" s="178"/>
      <c r="CU54" s="186"/>
      <c r="CV54" s="177"/>
      <c r="CW54" s="177"/>
      <c r="CX54" s="177"/>
      <c r="CY54" s="177"/>
      <c r="CZ54" s="177"/>
      <c r="DA54" s="178"/>
      <c r="DB54" s="186"/>
      <c r="DC54" s="177"/>
      <c r="DD54" s="177"/>
      <c r="DE54" s="177"/>
      <c r="DF54" s="177"/>
      <c r="DG54" s="177"/>
      <c r="DH54" s="178"/>
      <c r="DI54" s="186"/>
      <c r="DJ54" s="177"/>
      <c r="DK54" s="177"/>
      <c r="DL54" s="177"/>
      <c r="DM54" s="177"/>
      <c r="DN54" s="177"/>
      <c r="DO54" s="178"/>
      <c r="DP54" s="186"/>
      <c r="DQ54" s="177"/>
      <c r="DR54" s="177"/>
      <c r="DS54" s="177"/>
      <c r="DT54" s="177"/>
      <c r="DU54" s="177"/>
      <c r="DV54" s="178"/>
      <c r="DW54" s="186"/>
      <c r="DX54" s="177"/>
      <c r="DY54" s="177"/>
      <c r="DZ54" s="177"/>
      <c r="EA54" s="177"/>
      <c r="EB54" s="177"/>
      <c r="EC54" s="178"/>
      <c r="ED54" s="186"/>
      <c r="EE54" s="177"/>
      <c r="EF54" s="177"/>
      <c r="EG54" s="177"/>
      <c r="EH54" s="177"/>
      <c r="EI54" s="177"/>
      <c r="EJ54" s="178"/>
      <c r="EK54" s="186"/>
      <c r="EL54" s="177"/>
      <c r="EM54" s="177"/>
      <c r="EN54" s="177"/>
      <c r="EO54" s="177"/>
      <c r="EP54" s="177"/>
      <c r="EQ54" s="178"/>
      <c r="ER54" s="186"/>
      <c r="ES54" s="177"/>
      <c r="ET54" s="177"/>
      <c r="EU54" s="177"/>
      <c r="EV54" s="177"/>
      <c r="EW54" s="177"/>
      <c r="EX54" s="178"/>
      <c r="EY54" s="186"/>
      <c r="EZ54" s="177"/>
      <c r="FA54" s="177"/>
      <c r="FB54" s="177"/>
      <c r="FC54" s="177"/>
      <c r="FD54" s="177"/>
      <c r="FE54" s="178"/>
      <c r="FF54" s="186"/>
      <c r="FG54" s="177"/>
      <c r="FH54" s="177"/>
      <c r="FI54" s="177"/>
      <c r="FJ54" s="177"/>
      <c r="FK54" s="177"/>
      <c r="FL54" s="178"/>
      <c r="FM54" s="186"/>
      <c r="FN54" s="177"/>
      <c r="FO54" s="177"/>
      <c r="FP54" s="177"/>
      <c r="FQ54" s="177"/>
      <c r="FR54" s="177"/>
      <c r="FS54" s="178"/>
      <c r="FT54" s="186"/>
      <c r="FU54" s="177"/>
      <c r="FV54" s="177"/>
      <c r="FW54" s="177"/>
      <c r="FX54" s="177"/>
      <c r="FY54" s="177"/>
      <c r="FZ54" s="178"/>
      <c r="GA54" s="186"/>
      <c r="GB54" s="177"/>
      <c r="GC54" s="177"/>
      <c r="GD54" s="177"/>
      <c r="GE54" s="177"/>
      <c r="GF54" s="177"/>
      <c r="GG54" s="178"/>
      <c r="GH54" s="186"/>
      <c r="GI54" s="177"/>
      <c r="GJ54" s="177"/>
      <c r="GK54" s="177"/>
      <c r="GL54" s="177"/>
      <c r="GM54" s="177"/>
      <c r="GN54" s="178"/>
      <c r="GO54" s="186"/>
      <c r="GP54" s="177"/>
      <c r="GQ54" s="177"/>
      <c r="GR54" s="177"/>
      <c r="GS54" s="177"/>
      <c r="GT54" s="177"/>
      <c r="GU54" s="178"/>
      <c r="GV54" s="186"/>
      <c r="GW54" s="177"/>
      <c r="GX54" s="177"/>
      <c r="GY54" s="177"/>
      <c r="GZ54" s="177"/>
      <c r="HA54" s="177"/>
      <c r="HB54" s="178"/>
      <c r="HC54" s="186"/>
      <c r="HD54" s="177"/>
      <c r="HE54" s="177"/>
      <c r="HF54" s="177"/>
      <c r="HG54" s="177"/>
      <c r="HH54" s="177"/>
      <c r="HI54" s="178"/>
      <c r="HJ54" s="186"/>
      <c r="HK54" s="177"/>
      <c r="HL54" s="177"/>
      <c r="HM54" s="177"/>
      <c r="HN54" s="177"/>
      <c r="HO54" s="177"/>
      <c r="HP54" s="178"/>
      <c r="HQ54" s="186"/>
      <c r="HR54" s="177"/>
      <c r="HS54" s="177"/>
      <c r="HT54" s="177"/>
      <c r="HU54" s="177"/>
      <c r="HV54" s="177"/>
      <c r="HW54" s="178"/>
      <c r="HX54" s="186"/>
      <c r="HY54" s="177"/>
      <c r="HZ54" s="177"/>
      <c r="IA54" s="177"/>
      <c r="IB54" s="177"/>
      <c r="IC54" s="177"/>
      <c r="ID54" s="178"/>
      <c r="IE54" s="186"/>
      <c r="IF54" s="177"/>
      <c r="IG54" s="177"/>
      <c r="IH54" s="177"/>
      <c r="II54" s="177"/>
      <c r="IJ54" s="177"/>
      <c r="IK54" s="178"/>
      <c r="IL54" s="186"/>
      <c r="IM54" s="177"/>
      <c r="IN54" s="177"/>
      <c r="IO54" s="177"/>
      <c r="IP54" s="177"/>
      <c r="IQ54" s="177"/>
      <c r="IR54" s="178"/>
      <c r="IS54" s="186"/>
      <c r="IT54" s="177"/>
      <c r="IU54" s="177"/>
      <c r="IV54" s="177"/>
    </row>
    <row r="55" spans="1:256" ht="12.75" x14ac:dyDescent="0.2">
      <c r="A55" s="270" t="s">
        <v>534</v>
      </c>
      <c r="B55" s="177"/>
      <c r="C55" s="177"/>
      <c r="D55" s="177"/>
      <c r="E55" s="177"/>
      <c r="F55" s="177"/>
      <c r="G55" s="178"/>
      <c r="H55" s="187"/>
      <c r="I55" s="177"/>
      <c r="J55" s="177"/>
      <c r="K55" s="177"/>
      <c r="L55" s="177"/>
      <c r="M55" s="177"/>
      <c r="N55" s="178"/>
      <c r="O55" s="187"/>
      <c r="P55" s="177"/>
      <c r="Q55" s="177"/>
      <c r="R55" s="177"/>
      <c r="S55" s="177"/>
      <c r="T55" s="177"/>
      <c r="U55" s="178"/>
      <c r="V55" s="187"/>
      <c r="W55" s="177"/>
      <c r="X55" s="177"/>
      <c r="Y55" s="177"/>
      <c r="Z55" s="177"/>
      <c r="AA55" s="177"/>
      <c r="AB55" s="178"/>
      <c r="AC55" s="187"/>
      <c r="AD55" s="177"/>
      <c r="AE55" s="177"/>
      <c r="AF55" s="177"/>
      <c r="AG55" s="177"/>
      <c r="AH55" s="177"/>
      <c r="AI55" s="178"/>
      <c r="AJ55" s="187"/>
      <c r="AK55" s="177"/>
      <c r="AL55" s="177"/>
      <c r="AM55" s="177"/>
      <c r="AN55" s="177"/>
      <c r="AO55" s="177"/>
      <c r="AP55" s="178"/>
      <c r="AQ55" s="187"/>
      <c r="AR55" s="177"/>
      <c r="AS55" s="177"/>
      <c r="AT55" s="177"/>
      <c r="AU55" s="177"/>
      <c r="AV55" s="177"/>
      <c r="AW55" s="178"/>
      <c r="AX55" s="187"/>
      <c r="AY55" s="177"/>
      <c r="AZ55" s="177"/>
      <c r="BA55" s="177"/>
      <c r="BB55" s="177"/>
      <c r="BC55" s="177"/>
      <c r="BD55" s="178"/>
      <c r="BE55" s="187"/>
      <c r="BF55" s="177"/>
      <c r="BG55" s="177"/>
      <c r="BH55" s="177"/>
      <c r="BI55" s="177"/>
      <c r="BJ55" s="177"/>
      <c r="BK55" s="178"/>
      <c r="BL55" s="187"/>
      <c r="BM55" s="177"/>
      <c r="BN55" s="177"/>
      <c r="BO55" s="177"/>
      <c r="BP55" s="177"/>
      <c r="BQ55" s="177"/>
      <c r="BR55" s="178"/>
      <c r="BS55" s="187"/>
      <c r="BT55" s="177"/>
      <c r="BU55" s="177"/>
      <c r="BV55" s="177"/>
      <c r="BW55" s="177"/>
      <c r="BX55" s="177"/>
      <c r="BY55" s="178"/>
      <c r="BZ55" s="187"/>
      <c r="CA55" s="177"/>
      <c r="CB55" s="177"/>
      <c r="CC55" s="177"/>
      <c r="CD55" s="177"/>
      <c r="CE55" s="177"/>
      <c r="CF55" s="178"/>
      <c r="CG55" s="187"/>
      <c r="CH55" s="177"/>
      <c r="CI55" s="177"/>
      <c r="CJ55" s="177"/>
      <c r="CK55" s="177"/>
      <c r="CL55" s="177"/>
      <c r="CM55" s="178"/>
      <c r="CN55" s="187"/>
      <c r="CO55" s="177"/>
      <c r="CP55" s="177"/>
      <c r="CQ55" s="177"/>
      <c r="CR55" s="177"/>
      <c r="CS55" s="177"/>
      <c r="CT55" s="178"/>
      <c r="CU55" s="187"/>
      <c r="CV55" s="177"/>
      <c r="CW55" s="177"/>
      <c r="CX55" s="177"/>
      <c r="CY55" s="177"/>
      <c r="CZ55" s="177"/>
      <c r="DA55" s="178"/>
      <c r="DB55" s="187"/>
      <c r="DC55" s="177"/>
      <c r="DD55" s="177"/>
      <c r="DE55" s="177"/>
      <c r="DF55" s="177"/>
      <c r="DG55" s="177"/>
      <c r="DH55" s="178"/>
      <c r="DI55" s="187"/>
      <c r="DJ55" s="177"/>
      <c r="DK55" s="177"/>
      <c r="DL55" s="177"/>
      <c r="DM55" s="177"/>
      <c r="DN55" s="177"/>
      <c r="DO55" s="178"/>
      <c r="DP55" s="187"/>
      <c r="DQ55" s="177"/>
      <c r="DR55" s="177"/>
      <c r="DS55" s="177"/>
      <c r="DT55" s="177"/>
      <c r="DU55" s="177"/>
      <c r="DV55" s="178"/>
      <c r="DW55" s="187"/>
      <c r="DX55" s="177"/>
      <c r="DY55" s="177"/>
      <c r="DZ55" s="177"/>
      <c r="EA55" s="177"/>
      <c r="EB55" s="177"/>
      <c r="EC55" s="178"/>
      <c r="ED55" s="187"/>
      <c r="EE55" s="177"/>
      <c r="EF55" s="177"/>
      <c r="EG55" s="177"/>
      <c r="EH55" s="177"/>
      <c r="EI55" s="177"/>
      <c r="EJ55" s="178"/>
      <c r="EK55" s="187"/>
      <c r="EL55" s="177"/>
      <c r="EM55" s="177"/>
      <c r="EN55" s="177"/>
      <c r="EO55" s="177"/>
      <c r="EP55" s="177"/>
      <c r="EQ55" s="178"/>
      <c r="ER55" s="187"/>
      <c r="ES55" s="177"/>
      <c r="ET55" s="177"/>
      <c r="EU55" s="177"/>
      <c r="EV55" s="177"/>
      <c r="EW55" s="177"/>
      <c r="EX55" s="178"/>
      <c r="EY55" s="187"/>
      <c r="EZ55" s="177"/>
      <c r="FA55" s="177"/>
      <c r="FB55" s="177"/>
      <c r="FC55" s="177"/>
      <c r="FD55" s="177"/>
      <c r="FE55" s="178"/>
      <c r="FF55" s="187"/>
      <c r="FG55" s="177"/>
      <c r="FH55" s="177"/>
      <c r="FI55" s="177"/>
      <c r="FJ55" s="177"/>
      <c r="FK55" s="177"/>
      <c r="FL55" s="178"/>
      <c r="FM55" s="187"/>
      <c r="FN55" s="177"/>
      <c r="FO55" s="177"/>
      <c r="FP55" s="177"/>
      <c r="FQ55" s="177"/>
      <c r="FR55" s="177"/>
      <c r="FS55" s="178"/>
      <c r="FT55" s="187"/>
      <c r="FU55" s="177"/>
      <c r="FV55" s="177"/>
      <c r="FW55" s="177"/>
      <c r="FX55" s="177"/>
      <c r="FY55" s="177"/>
      <c r="FZ55" s="178"/>
      <c r="GA55" s="187"/>
      <c r="GB55" s="177"/>
      <c r="GC55" s="177"/>
      <c r="GD55" s="177"/>
      <c r="GE55" s="177"/>
      <c r="GF55" s="177"/>
      <c r="GG55" s="178"/>
      <c r="GH55" s="187"/>
      <c r="GI55" s="177"/>
      <c r="GJ55" s="177"/>
      <c r="GK55" s="177"/>
      <c r="GL55" s="177"/>
      <c r="GM55" s="177"/>
      <c r="GN55" s="178"/>
      <c r="GO55" s="187"/>
      <c r="GP55" s="177"/>
      <c r="GQ55" s="177"/>
      <c r="GR55" s="177"/>
      <c r="GS55" s="177"/>
      <c r="GT55" s="177"/>
      <c r="GU55" s="178"/>
      <c r="GV55" s="187"/>
      <c r="GW55" s="177"/>
      <c r="GX55" s="177"/>
      <c r="GY55" s="177"/>
      <c r="GZ55" s="177"/>
      <c r="HA55" s="177"/>
      <c r="HB55" s="178"/>
      <c r="HC55" s="187"/>
      <c r="HD55" s="177"/>
      <c r="HE55" s="177"/>
      <c r="HF55" s="177"/>
      <c r="HG55" s="177"/>
      <c r="HH55" s="177"/>
      <c r="HI55" s="178"/>
      <c r="HJ55" s="187"/>
      <c r="HK55" s="177"/>
      <c r="HL55" s="177"/>
      <c r="HM55" s="177"/>
      <c r="HN55" s="177"/>
      <c r="HO55" s="177"/>
      <c r="HP55" s="178"/>
      <c r="HQ55" s="187"/>
      <c r="HR55" s="177"/>
      <c r="HS55" s="177"/>
      <c r="HT55" s="177"/>
      <c r="HU55" s="177"/>
      <c r="HV55" s="177"/>
      <c r="HW55" s="178"/>
      <c r="HX55" s="187"/>
      <c r="HY55" s="177"/>
      <c r="HZ55" s="177"/>
      <c r="IA55" s="177"/>
      <c r="IB55" s="177"/>
      <c r="IC55" s="177"/>
      <c r="ID55" s="178"/>
      <c r="IE55" s="187"/>
      <c r="IF55" s="177"/>
      <c r="IG55" s="177"/>
      <c r="IH55" s="177"/>
      <c r="II55" s="177"/>
      <c r="IJ55" s="177"/>
      <c r="IK55" s="178"/>
      <c r="IL55" s="187"/>
      <c r="IM55" s="177"/>
      <c r="IN55" s="177"/>
      <c r="IO55" s="177"/>
      <c r="IP55" s="177"/>
      <c r="IQ55" s="177"/>
      <c r="IR55" s="178"/>
      <c r="IS55" s="187"/>
      <c r="IT55" s="177"/>
      <c r="IU55" s="177"/>
      <c r="IV55" s="177"/>
    </row>
    <row r="56" spans="1:256" ht="12.75" x14ac:dyDescent="0.2">
      <c r="A56" s="269" t="s">
        <v>535</v>
      </c>
      <c r="B56" s="177"/>
      <c r="C56" s="177"/>
      <c r="D56" s="177"/>
      <c r="E56" s="177"/>
      <c r="F56" s="177"/>
      <c r="G56" s="178"/>
      <c r="H56" s="179"/>
      <c r="I56" s="177"/>
      <c r="J56" s="177"/>
      <c r="K56" s="177"/>
      <c r="L56" s="177"/>
      <c r="M56" s="177"/>
      <c r="N56" s="178"/>
      <c r="O56" s="179"/>
      <c r="P56" s="177"/>
      <c r="Q56" s="177"/>
      <c r="R56" s="177"/>
      <c r="S56" s="177"/>
      <c r="T56" s="177"/>
      <c r="U56" s="178"/>
      <c r="V56" s="179"/>
      <c r="W56" s="177"/>
      <c r="X56" s="177"/>
      <c r="Y56" s="177"/>
      <c r="Z56" s="177"/>
      <c r="AA56" s="177"/>
      <c r="AB56" s="178"/>
      <c r="AC56" s="179"/>
      <c r="AD56" s="177"/>
      <c r="AE56" s="177"/>
      <c r="AF56" s="177"/>
      <c r="AG56" s="177"/>
      <c r="AH56" s="177"/>
      <c r="AI56" s="178"/>
      <c r="AJ56" s="179"/>
      <c r="AK56" s="177"/>
      <c r="AL56" s="177"/>
      <c r="AM56" s="177"/>
      <c r="AN56" s="177"/>
      <c r="AO56" s="177"/>
      <c r="AP56" s="178"/>
      <c r="AQ56" s="179"/>
      <c r="AR56" s="177"/>
      <c r="AS56" s="177"/>
      <c r="AT56" s="177"/>
      <c r="AU56" s="177"/>
      <c r="AV56" s="177"/>
      <c r="AW56" s="178"/>
      <c r="AX56" s="179"/>
      <c r="AY56" s="177"/>
      <c r="AZ56" s="177"/>
      <c r="BA56" s="177"/>
      <c r="BB56" s="177"/>
      <c r="BC56" s="177"/>
      <c r="BD56" s="178"/>
      <c r="BE56" s="179"/>
      <c r="BF56" s="177"/>
      <c r="BG56" s="177"/>
      <c r="BH56" s="177"/>
      <c r="BI56" s="177"/>
      <c r="BJ56" s="177"/>
      <c r="BK56" s="178"/>
      <c r="BL56" s="179"/>
      <c r="BM56" s="177"/>
      <c r="BN56" s="177"/>
      <c r="BO56" s="177"/>
      <c r="BP56" s="177"/>
      <c r="BQ56" s="177"/>
      <c r="BR56" s="178"/>
      <c r="BS56" s="179"/>
      <c r="BT56" s="177"/>
      <c r="BU56" s="177"/>
      <c r="BV56" s="177"/>
      <c r="BW56" s="177"/>
      <c r="BX56" s="177"/>
      <c r="BY56" s="178"/>
      <c r="BZ56" s="179"/>
      <c r="CA56" s="177"/>
      <c r="CB56" s="177"/>
      <c r="CC56" s="177"/>
      <c r="CD56" s="177"/>
      <c r="CE56" s="177"/>
      <c r="CF56" s="178"/>
      <c r="CG56" s="179"/>
      <c r="CH56" s="177"/>
      <c r="CI56" s="177"/>
      <c r="CJ56" s="177"/>
      <c r="CK56" s="177"/>
      <c r="CL56" s="177"/>
      <c r="CM56" s="178"/>
      <c r="CN56" s="179"/>
      <c r="CO56" s="177"/>
      <c r="CP56" s="177"/>
      <c r="CQ56" s="177"/>
      <c r="CR56" s="177"/>
      <c r="CS56" s="177"/>
      <c r="CT56" s="178"/>
      <c r="CU56" s="179"/>
      <c r="CV56" s="177"/>
      <c r="CW56" s="177"/>
      <c r="CX56" s="177"/>
      <c r="CY56" s="177"/>
      <c r="CZ56" s="177"/>
      <c r="DA56" s="178"/>
      <c r="DB56" s="179"/>
      <c r="DC56" s="177"/>
      <c r="DD56" s="177"/>
      <c r="DE56" s="177"/>
      <c r="DF56" s="177"/>
      <c r="DG56" s="177"/>
      <c r="DH56" s="178"/>
      <c r="DI56" s="179"/>
      <c r="DJ56" s="177"/>
      <c r="DK56" s="177"/>
      <c r="DL56" s="177"/>
      <c r="DM56" s="177"/>
      <c r="DN56" s="177"/>
      <c r="DO56" s="178"/>
      <c r="DP56" s="179"/>
      <c r="DQ56" s="177"/>
      <c r="DR56" s="177"/>
      <c r="DS56" s="177"/>
      <c r="DT56" s="177"/>
      <c r="DU56" s="177"/>
      <c r="DV56" s="178"/>
      <c r="DW56" s="179"/>
      <c r="DX56" s="177"/>
      <c r="DY56" s="177"/>
      <c r="DZ56" s="177"/>
      <c r="EA56" s="177"/>
      <c r="EB56" s="177"/>
      <c r="EC56" s="178"/>
      <c r="ED56" s="179"/>
      <c r="EE56" s="177"/>
      <c r="EF56" s="177"/>
      <c r="EG56" s="177"/>
      <c r="EH56" s="177"/>
      <c r="EI56" s="177"/>
      <c r="EJ56" s="178"/>
      <c r="EK56" s="179"/>
      <c r="EL56" s="177"/>
      <c r="EM56" s="177"/>
      <c r="EN56" s="177"/>
      <c r="EO56" s="177"/>
      <c r="EP56" s="177"/>
      <c r="EQ56" s="178"/>
      <c r="ER56" s="179"/>
      <c r="ES56" s="177"/>
      <c r="ET56" s="177"/>
      <c r="EU56" s="177"/>
      <c r="EV56" s="177"/>
      <c r="EW56" s="177"/>
      <c r="EX56" s="178"/>
      <c r="EY56" s="179"/>
      <c r="EZ56" s="177"/>
      <c r="FA56" s="177"/>
      <c r="FB56" s="177"/>
      <c r="FC56" s="177"/>
      <c r="FD56" s="177"/>
      <c r="FE56" s="178"/>
      <c r="FF56" s="179"/>
      <c r="FG56" s="177"/>
      <c r="FH56" s="177"/>
      <c r="FI56" s="177"/>
      <c r="FJ56" s="177"/>
      <c r="FK56" s="177"/>
      <c r="FL56" s="178"/>
      <c r="FM56" s="179"/>
      <c r="FN56" s="177"/>
      <c r="FO56" s="177"/>
      <c r="FP56" s="177"/>
      <c r="FQ56" s="177"/>
      <c r="FR56" s="177"/>
      <c r="FS56" s="178"/>
      <c r="FT56" s="179"/>
      <c r="FU56" s="177"/>
      <c r="FV56" s="177"/>
      <c r="FW56" s="177"/>
      <c r="FX56" s="177"/>
      <c r="FY56" s="177"/>
      <c r="FZ56" s="178"/>
      <c r="GA56" s="179"/>
      <c r="GB56" s="177"/>
      <c r="GC56" s="177"/>
      <c r="GD56" s="177"/>
      <c r="GE56" s="177"/>
      <c r="GF56" s="177"/>
      <c r="GG56" s="178"/>
      <c r="GH56" s="179"/>
      <c r="GI56" s="177"/>
      <c r="GJ56" s="177"/>
      <c r="GK56" s="177"/>
      <c r="GL56" s="177"/>
      <c r="GM56" s="177"/>
      <c r="GN56" s="178"/>
      <c r="GO56" s="179"/>
      <c r="GP56" s="177"/>
      <c r="GQ56" s="177"/>
      <c r="GR56" s="177"/>
      <c r="GS56" s="177"/>
      <c r="GT56" s="177"/>
      <c r="GU56" s="178"/>
      <c r="GV56" s="179"/>
      <c r="GW56" s="177"/>
      <c r="GX56" s="177"/>
      <c r="GY56" s="177"/>
      <c r="GZ56" s="177"/>
      <c r="HA56" s="177"/>
      <c r="HB56" s="178"/>
      <c r="HC56" s="179"/>
      <c r="HD56" s="177"/>
      <c r="HE56" s="177"/>
      <c r="HF56" s="177"/>
      <c r="HG56" s="177"/>
      <c r="HH56" s="177"/>
      <c r="HI56" s="178"/>
      <c r="HJ56" s="179"/>
      <c r="HK56" s="177"/>
      <c r="HL56" s="177"/>
      <c r="HM56" s="177"/>
      <c r="HN56" s="177"/>
      <c r="HO56" s="177"/>
      <c r="HP56" s="178"/>
      <c r="HQ56" s="179"/>
      <c r="HR56" s="177"/>
      <c r="HS56" s="177"/>
      <c r="HT56" s="177"/>
      <c r="HU56" s="177"/>
      <c r="HV56" s="177"/>
      <c r="HW56" s="178"/>
      <c r="HX56" s="179"/>
      <c r="HY56" s="177"/>
      <c r="HZ56" s="177"/>
      <c r="IA56" s="177"/>
      <c r="IB56" s="177"/>
      <c r="IC56" s="177"/>
      <c r="ID56" s="178"/>
      <c r="IE56" s="179"/>
      <c r="IF56" s="177"/>
      <c r="IG56" s="177"/>
      <c r="IH56" s="177"/>
      <c r="II56" s="177"/>
      <c r="IJ56" s="177"/>
      <c r="IK56" s="178"/>
      <c r="IL56" s="179"/>
      <c r="IM56" s="177"/>
      <c r="IN56" s="177"/>
      <c r="IO56" s="177"/>
      <c r="IP56" s="177"/>
      <c r="IQ56" s="177"/>
      <c r="IR56" s="178"/>
      <c r="IS56" s="179"/>
      <c r="IT56" s="177"/>
      <c r="IU56" s="177"/>
      <c r="IV56" s="177"/>
    </row>
    <row r="57" spans="1:256" x14ac:dyDescent="0.2">
      <c r="A57" s="179"/>
      <c r="B57" s="177"/>
      <c r="C57" s="177"/>
      <c r="D57" s="177"/>
      <c r="E57" s="177"/>
      <c r="F57" s="177"/>
      <c r="G57" s="178"/>
      <c r="H57" s="179"/>
      <c r="I57" s="177"/>
      <c r="J57" s="177"/>
      <c r="K57" s="177"/>
      <c r="L57" s="177"/>
      <c r="M57" s="177"/>
      <c r="N57" s="178"/>
      <c r="O57" s="179"/>
      <c r="P57" s="177"/>
      <c r="Q57" s="177"/>
      <c r="R57" s="177"/>
      <c r="S57" s="177"/>
      <c r="T57" s="177"/>
      <c r="U57" s="178"/>
      <c r="V57" s="179"/>
      <c r="W57" s="177"/>
      <c r="X57" s="177"/>
      <c r="Y57" s="177"/>
      <c r="Z57" s="177"/>
      <c r="AA57" s="177"/>
      <c r="AB57" s="178"/>
      <c r="AC57" s="179"/>
      <c r="AD57" s="177"/>
      <c r="AE57" s="177"/>
      <c r="AF57" s="177"/>
      <c r="AG57" s="177"/>
      <c r="AH57" s="177"/>
      <c r="AI57" s="178"/>
      <c r="AJ57" s="179"/>
      <c r="AK57" s="177"/>
      <c r="AL57" s="177"/>
      <c r="AM57" s="177"/>
      <c r="AN57" s="177"/>
      <c r="AO57" s="177"/>
      <c r="AP57" s="178"/>
      <c r="AQ57" s="179"/>
      <c r="AR57" s="177"/>
      <c r="AS57" s="177"/>
      <c r="AT57" s="177"/>
      <c r="AU57" s="177"/>
      <c r="AV57" s="177"/>
      <c r="AW57" s="178"/>
      <c r="AX57" s="179"/>
      <c r="AY57" s="177"/>
      <c r="AZ57" s="177"/>
      <c r="BA57" s="177"/>
      <c r="BB57" s="177"/>
      <c r="BC57" s="177"/>
      <c r="BD57" s="178"/>
      <c r="BE57" s="179"/>
      <c r="BF57" s="177"/>
      <c r="BG57" s="177"/>
      <c r="BH57" s="177"/>
      <c r="BI57" s="177"/>
      <c r="BJ57" s="177"/>
      <c r="BK57" s="178"/>
      <c r="BL57" s="179"/>
      <c r="BM57" s="177"/>
      <c r="BN57" s="177"/>
      <c r="BO57" s="177"/>
      <c r="BP57" s="177"/>
      <c r="BQ57" s="177"/>
      <c r="BR57" s="178"/>
      <c r="BS57" s="179"/>
      <c r="BT57" s="177"/>
      <c r="BU57" s="177"/>
      <c r="BV57" s="177"/>
      <c r="BW57" s="177"/>
      <c r="BX57" s="177"/>
      <c r="BY57" s="178"/>
      <c r="BZ57" s="179"/>
      <c r="CA57" s="177"/>
      <c r="CB57" s="177"/>
      <c r="CC57" s="177"/>
      <c r="CD57" s="177"/>
      <c r="CE57" s="177"/>
      <c r="CF57" s="178"/>
      <c r="CG57" s="179"/>
      <c r="CH57" s="177"/>
      <c r="CI57" s="177"/>
      <c r="CJ57" s="177"/>
      <c r="CK57" s="177"/>
      <c r="CL57" s="177"/>
      <c r="CM57" s="178"/>
      <c r="CN57" s="179"/>
      <c r="CO57" s="177"/>
      <c r="CP57" s="177"/>
      <c r="CQ57" s="177"/>
      <c r="CR57" s="177"/>
      <c r="CS57" s="177"/>
      <c r="CT57" s="178"/>
      <c r="CU57" s="179"/>
      <c r="CV57" s="177"/>
      <c r="CW57" s="177"/>
      <c r="CX57" s="177"/>
      <c r="CY57" s="177"/>
      <c r="CZ57" s="177"/>
      <c r="DA57" s="178"/>
      <c r="DB57" s="179"/>
      <c r="DC57" s="177"/>
      <c r="DD57" s="177"/>
      <c r="DE57" s="177"/>
      <c r="DF57" s="177"/>
      <c r="DG57" s="177"/>
      <c r="DH57" s="178"/>
      <c r="DI57" s="179"/>
      <c r="DJ57" s="177"/>
      <c r="DK57" s="177"/>
      <c r="DL57" s="177"/>
      <c r="DM57" s="177"/>
      <c r="DN57" s="177"/>
      <c r="DO57" s="178"/>
      <c r="DP57" s="179"/>
      <c r="DQ57" s="177"/>
      <c r="DR57" s="177"/>
      <c r="DS57" s="177"/>
      <c r="DT57" s="177"/>
      <c r="DU57" s="177"/>
      <c r="DV57" s="178"/>
      <c r="DW57" s="179"/>
      <c r="DX57" s="177"/>
      <c r="DY57" s="177"/>
      <c r="DZ57" s="177"/>
      <c r="EA57" s="177"/>
      <c r="EB57" s="177"/>
      <c r="EC57" s="178"/>
      <c r="ED57" s="179"/>
      <c r="EE57" s="177"/>
      <c r="EF57" s="177"/>
      <c r="EG57" s="177"/>
      <c r="EH57" s="177"/>
      <c r="EI57" s="177"/>
      <c r="EJ57" s="178"/>
      <c r="EK57" s="179"/>
      <c r="EL57" s="177"/>
      <c r="EM57" s="177"/>
      <c r="EN57" s="177"/>
      <c r="EO57" s="177"/>
      <c r="EP57" s="177"/>
      <c r="EQ57" s="178"/>
      <c r="ER57" s="179"/>
      <c r="ES57" s="177"/>
      <c r="ET57" s="177"/>
      <c r="EU57" s="177"/>
      <c r="EV57" s="177"/>
      <c r="EW57" s="177"/>
      <c r="EX57" s="178"/>
      <c r="EY57" s="179"/>
      <c r="EZ57" s="177"/>
      <c r="FA57" s="177"/>
      <c r="FB57" s="177"/>
      <c r="FC57" s="177"/>
      <c r="FD57" s="177"/>
      <c r="FE57" s="178"/>
      <c r="FF57" s="179"/>
      <c r="FG57" s="177"/>
      <c r="FH57" s="177"/>
      <c r="FI57" s="177"/>
      <c r="FJ57" s="177"/>
      <c r="FK57" s="177"/>
      <c r="FL57" s="178"/>
      <c r="FM57" s="179"/>
      <c r="FN57" s="177"/>
      <c r="FO57" s="177"/>
      <c r="FP57" s="177"/>
      <c r="FQ57" s="177"/>
      <c r="FR57" s="177"/>
      <c r="FS57" s="178"/>
      <c r="FT57" s="179"/>
      <c r="FU57" s="177"/>
      <c r="FV57" s="177"/>
      <c r="FW57" s="177"/>
      <c r="FX57" s="177"/>
      <c r="FY57" s="177"/>
      <c r="FZ57" s="178"/>
      <c r="GA57" s="179"/>
      <c r="GB57" s="177"/>
      <c r="GC57" s="177"/>
      <c r="GD57" s="177"/>
      <c r="GE57" s="177"/>
      <c r="GF57" s="177"/>
      <c r="GG57" s="178"/>
      <c r="GH57" s="179"/>
      <c r="GI57" s="177"/>
      <c r="GJ57" s="177"/>
      <c r="GK57" s="177"/>
      <c r="GL57" s="177"/>
      <c r="GM57" s="177"/>
      <c r="GN57" s="178"/>
      <c r="GO57" s="179"/>
      <c r="GP57" s="177"/>
      <c r="GQ57" s="177"/>
      <c r="GR57" s="177"/>
      <c r="GS57" s="177"/>
      <c r="GT57" s="177"/>
      <c r="GU57" s="178"/>
      <c r="GV57" s="179"/>
      <c r="GW57" s="177"/>
      <c r="GX57" s="177"/>
      <c r="GY57" s="177"/>
      <c r="GZ57" s="177"/>
      <c r="HA57" s="177"/>
      <c r="HB57" s="178"/>
      <c r="HC57" s="179"/>
      <c r="HD57" s="177"/>
      <c r="HE57" s="177"/>
      <c r="HF57" s="177"/>
      <c r="HG57" s="177"/>
      <c r="HH57" s="177"/>
      <c r="HI57" s="178"/>
      <c r="HJ57" s="179"/>
      <c r="HK57" s="177"/>
      <c r="HL57" s="177"/>
      <c r="HM57" s="177"/>
      <c r="HN57" s="177"/>
      <c r="HO57" s="177"/>
      <c r="HP57" s="178"/>
      <c r="HQ57" s="179"/>
      <c r="HR57" s="177"/>
      <c r="HS57" s="177"/>
      <c r="HT57" s="177"/>
      <c r="HU57" s="177"/>
      <c r="HV57" s="177"/>
      <c r="HW57" s="178"/>
      <c r="HX57" s="179"/>
      <c r="HY57" s="177"/>
      <c r="HZ57" s="177"/>
      <c r="IA57" s="177"/>
      <c r="IB57" s="177"/>
      <c r="IC57" s="177"/>
      <c r="ID57" s="178"/>
      <c r="IE57" s="179"/>
      <c r="IF57" s="177"/>
      <c r="IG57" s="177"/>
      <c r="IH57" s="177"/>
      <c r="II57" s="177"/>
      <c r="IJ57" s="177"/>
      <c r="IK57" s="178"/>
      <c r="IL57" s="179"/>
      <c r="IM57" s="177"/>
      <c r="IN57" s="177"/>
      <c r="IO57" s="177"/>
      <c r="IP57" s="177"/>
      <c r="IQ57" s="177"/>
      <c r="IR57" s="178"/>
      <c r="IS57" s="179"/>
      <c r="IT57" s="177"/>
      <c r="IU57" s="177"/>
      <c r="IV57" s="177"/>
    </row>
    <row r="58" spans="1:256" ht="15.75" x14ac:dyDescent="0.25">
      <c r="A58" s="225" t="s">
        <v>45</v>
      </c>
      <c r="B58" s="177"/>
      <c r="C58" s="177"/>
      <c r="D58" s="177"/>
      <c r="E58" s="177"/>
      <c r="F58" s="177"/>
      <c r="G58" s="178"/>
      <c r="H58" s="179"/>
      <c r="I58" s="177"/>
      <c r="J58" s="177"/>
      <c r="K58" s="177"/>
      <c r="L58" s="177"/>
      <c r="M58" s="177"/>
      <c r="N58" s="178"/>
      <c r="O58" s="179"/>
      <c r="P58" s="177"/>
      <c r="Q58" s="177"/>
      <c r="R58" s="177"/>
      <c r="S58" s="177"/>
      <c r="T58" s="177"/>
      <c r="U58" s="178"/>
      <c r="V58" s="179"/>
      <c r="W58" s="177"/>
      <c r="X58" s="177"/>
      <c r="Y58" s="177"/>
      <c r="Z58" s="177"/>
      <c r="AA58" s="177"/>
      <c r="AB58" s="178"/>
      <c r="AC58" s="179"/>
      <c r="AD58" s="177"/>
      <c r="AE58" s="177"/>
      <c r="AF58" s="177"/>
      <c r="AG58" s="177"/>
      <c r="AH58" s="177"/>
      <c r="AI58" s="178"/>
      <c r="AJ58" s="179"/>
      <c r="AK58" s="177"/>
      <c r="AL58" s="177"/>
      <c r="AM58" s="177"/>
      <c r="AN58" s="177"/>
      <c r="AO58" s="177"/>
      <c r="AP58" s="178"/>
      <c r="AQ58" s="179"/>
      <c r="AR58" s="177"/>
      <c r="AS58" s="177"/>
      <c r="AT58" s="177"/>
      <c r="AU58" s="177"/>
      <c r="AV58" s="177"/>
      <c r="AW58" s="178"/>
      <c r="AX58" s="179"/>
      <c r="AY58" s="177"/>
      <c r="AZ58" s="177"/>
      <c r="BA58" s="177"/>
      <c r="BB58" s="177"/>
      <c r="BC58" s="177"/>
      <c r="BD58" s="178"/>
      <c r="BE58" s="179"/>
      <c r="BF58" s="177"/>
      <c r="BG58" s="177"/>
      <c r="BH58" s="177"/>
      <c r="BI58" s="177"/>
      <c r="BJ58" s="177"/>
      <c r="BK58" s="178"/>
      <c r="BL58" s="179"/>
      <c r="BM58" s="177"/>
      <c r="BN58" s="177"/>
      <c r="BO58" s="177"/>
      <c r="BP58" s="177"/>
      <c r="BQ58" s="177"/>
      <c r="BR58" s="178"/>
      <c r="BS58" s="179"/>
      <c r="BT58" s="177"/>
      <c r="BU58" s="177"/>
      <c r="BV58" s="177"/>
      <c r="BW58" s="177"/>
      <c r="BX58" s="177"/>
      <c r="BY58" s="178"/>
      <c r="BZ58" s="179"/>
      <c r="CA58" s="177"/>
      <c r="CB58" s="177"/>
      <c r="CC58" s="177"/>
      <c r="CD58" s="177"/>
      <c r="CE58" s="177"/>
      <c r="CF58" s="178"/>
      <c r="CG58" s="179"/>
      <c r="CH58" s="177"/>
      <c r="CI58" s="177"/>
      <c r="CJ58" s="177"/>
      <c r="CK58" s="177"/>
      <c r="CL58" s="177"/>
      <c r="CM58" s="178"/>
      <c r="CN58" s="179"/>
      <c r="CO58" s="177"/>
      <c r="CP58" s="177"/>
      <c r="CQ58" s="177"/>
      <c r="CR58" s="177"/>
      <c r="CS58" s="177"/>
      <c r="CT58" s="178"/>
      <c r="CU58" s="179"/>
      <c r="CV58" s="177"/>
      <c r="CW58" s="177"/>
      <c r="CX58" s="177"/>
      <c r="CY58" s="177"/>
      <c r="CZ58" s="177"/>
      <c r="DA58" s="178"/>
      <c r="DB58" s="179"/>
      <c r="DC58" s="177"/>
      <c r="DD58" s="177"/>
      <c r="DE58" s="177"/>
      <c r="DF58" s="177"/>
      <c r="DG58" s="177"/>
      <c r="DH58" s="178"/>
      <c r="DI58" s="179"/>
      <c r="DJ58" s="177"/>
      <c r="DK58" s="177"/>
      <c r="DL58" s="177"/>
      <c r="DM58" s="177"/>
      <c r="DN58" s="177"/>
      <c r="DO58" s="178"/>
      <c r="DP58" s="179"/>
      <c r="DQ58" s="177"/>
      <c r="DR58" s="177"/>
      <c r="DS58" s="177"/>
      <c r="DT58" s="177"/>
      <c r="DU58" s="177"/>
      <c r="DV58" s="178"/>
      <c r="DW58" s="179"/>
      <c r="DX58" s="177"/>
      <c r="DY58" s="177"/>
      <c r="DZ58" s="177"/>
      <c r="EA58" s="177"/>
      <c r="EB58" s="177"/>
      <c r="EC58" s="178"/>
      <c r="ED58" s="179"/>
      <c r="EE58" s="177"/>
      <c r="EF58" s="177"/>
      <c r="EG58" s="177"/>
      <c r="EH58" s="177"/>
      <c r="EI58" s="177"/>
      <c r="EJ58" s="178"/>
      <c r="EK58" s="179"/>
      <c r="EL58" s="177"/>
      <c r="EM58" s="177"/>
      <c r="EN58" s="177"/>
      <c r="EO58" s="177"/>
      <c r="EP58" s="177"/>
      <c r="EQ58" s="178"/>
      <c r="ER58" s="179"/>
      <c r="ES58" s="177"/>
      <c r="ET58" s="177"/>
      <c r="EU58" s="177"/>
      <c r="EV58" s="177"/>
      <c r="EW58" s="177"/>
      <c r="EX58" s="178"/>
      <c r="EY58" s="179"/>
      <c r="EZ58" s="177"/>
      <c r="FA58" s="177"/>
      <c r="FB58" s="177"/>
      <c r="FC58" s="177"/>
      <c r="FD58" s="177"/>
      <c r="FE58" s="178"/>
      <c r="FF58" s="179"/>
      <c r="FG58" s="177"/>
      <c r="FH58" s="177"/>
      <c r="FI58" s="177"/>
      <c r="FJ58" s="177"/>
      <c r="FK58" s="177"/>
      <c r="FL58" s="178"/>
      <c r="FM58" s="179"/>
      <c r="FN58" s="177"/>
      <c r="FO58" s="177"/>
      <c r="FP58" s="177"/>
      <c r="FQ58" s="177"/>
      <c r="FR58" s="177"/>
      <c r="FS58" s="178"/>
      <c r="FT58" s="179"/>
      <c r="FU58" s="177"/>
      <c r="FV58" s="177"/>
      <c r="FW58" s="177"/>
      <c r="FX58" s="177"/>
      <c r="FY58" s="177"/>
      <c r="FZ58" s="178"/>
      <c r="GA58" s="179"/>
      <c r="GB58" s="177"/>
      <c r="GC58" s="177"/>
      <c r="GD58" s="177"/>
      <c r="GE58" s="177"/>
      <c r="GF58" s="177"/>
      <c r="GG58" s="178"/>
      <c r="GH58" s="179"/>
      <c r="GI58" s="177"/>
      <c r="GJ58" s="177"/>
      <c r="GK58" s="177"/>
      <c r="GL58" s="177"/>
      <c r="GM58" s="177"/>
      <c r="GN58" s="178"/>
      <c r="GO58" s="179"/>
      <c r="GP58" s="177"/>
      <c r="GQ58" s="177"/>
      <c r="GR58" s="177"/>
      <c r="GS58" s="177"/>
      <c r="GT58" s="177"/>
      <c r="GU58" s="178"/>
      <c r="GV58" s="179"/>
      <c r="GW58" s="177"/>
      <c r="GX58" s="177"/>
      <c r="GY58" s="177"/>
      <c r="GZ58" s="177"/>
      <c r="HA58" s="177"/>
      <c r="HB58" s="178"/>
      <c r="HC58" s="179"/>
      <c r="HD58" s="177"/>
      <c r="HE58" s="177"/>
      <c r="HF58" s="177"/>
      <c r="HG58" s="177"/>
      <c r="HH58" s="177"/>
      <c r="HI58" s="178"/>
      <c r="HJ58" s="179"/>
      <c r="HK58" s="177"/>
      <c r="HL58" s="177"/>
      <c r="HM58" s="177"/>
      <c r="HN58" s="177"/>
      <c r="HO58" s="177"/>
      <c r="HP58" s="178"/>
      <c r="HQ58" s="179"/>
      <c r="HR58" s="177"/>
      <c r="HS58" s="177"/>
      <c r="HT58" s="177"/>
      <c r="HU58" s="177"/>
      <c r="HV58" s="177"/>
      <c r="HW58" s="178"/>
      <c r="HX58" s="179"/>
      <c r="HY58" s="177"/>
      <c r="HZ58" s="177"/>
      <c r="IA58" s="177"/>
      <c r="IB58" s="177"/>
      <c r="IC58" s="177"/>
      <c r="ID58" s="178"/>
      <c r="IE58" s="179"/>
      <c r="IF58" s="177"/>
      <c r="IG58" s="177"/>
      <c r="IH58" s="177"/>
      <c r="II58" s="177"/>
      <c r="IJ58" s="177"/>
      <c r="IK58" s="178"/>
      <c r="IL58" s="179"/>
      <c r="IM58" s="177"/>
      <c r="IN58" s="177"/>
      <c r="IO58" s="177"/>
      <c r="IP58" s="177"/>
      <c r="IQ58" s="177"/>
      <c r="IR58" s="178"/>
      <c r="IS58" s="179"/>
      <c r="IT58" s="177"/>
      <c r="IU58" s="177"/>
      <c r="IV58" s="177"/>
    </row>
    <row r="59" spans="1:256" x14ac:dyDescent="0.2">
      <c r="A59" s="179"/>
      <c r="B59" s="177"/>
      <c r="C59" s="177"/>
      <c r="D59" s="177"/>
      <c r="E59" s="177"/>
      <c r="F59" s="177"/>
      <c r="G59" s="178"/>
      <c r="H59" s="179"/>
      <c r="I59" s="177"/>
      <c r="J59" s="177"/>
      <c r="K59" s="177"/>
      <c r="L59" s="177"/>
      <c r="M59" s="177"/>
      <c r="N59" s="178"/>
      <c r="O59" s="179"/>
      <c r="P59" s="177"/>
      <c r="Q59" s="177"/>
      <c r="R59" s="177"/>
      <c r="S59" s="177"/>
      <c r="T59" s="177"/>
      <c r="U59" s="178"/>
      <c r="V59" s="179"/>
      <c r="W59" s="177"/>
      <c r="X59" s="177"/>
      <c r="Y59" s="177"/>
      <c r="Z59" s="177"/>
      <c r="AA59" s="177"/>
      <c r="AB59" s="178"/>
      <c r="AC59" s="179"/>
      <c r="AD59" s="177"/>
      <c r="AE59" s="177"/>
      <c r="AF59" s="177"/>
      <c r="AG59" s="177"/>
      <c r="AH59" s="177"/>
      <c r="AI59" s="178"/>
      <c r="AJ59" s="179"/>
      <c r="AK59" s="177"/>
      <c r="AL59" s="177"/>
      <c r="AM59" s="177"/>
      <c r="AN59" s="177"/>
      <c r="AO59" s="177"/>
      <c r="AP59" s="178"/>
      <c r="AQ59" s="179"/>
      <c r="AR59" s="177"/>
      <c r="AS59" s="177"/>
      <c r="AT59" s="177"/>
      <c r="AU59" s="177"/>
      <c r="AV59" s="177"/>
      <c r="AW59" s="178"/>
      <c r="AX59" s="179"/>
      <c r="AY59" s="177"/>
      <c r="AZ59" s="177"/>
      <c r="BA59" s="177"/>
      <c r="BB59" s="177"/>
      <c r="BC59" s="177"/>
      <c r="BD59" s="178"/>
      <c r="BE59" s="179"/>
      <c r="BF59" s="177"/>
      <c r="BG59" s="177"/>
      <c r="BH59" s="177"/>
      <c r="BI59" s="177"/>
      <c r="BJ59" s="177"/>
      <c r="BK59" s="178"/>
      <c r="BL59" s="179"/>
      <c r="BM59" s="177"/>
      <c r="BN59" s="177"/>
      <c r="BO59" s="177"/>
      <c r="BP59" s="177"/>
      <c r="BQ59" s="177"/>
      <c r="BR59" s="178"/>
      <c r="BS59" s="179"/>
      <c r="BT59" s="177"/>
      <c r="BU59" s="177"/>
      <c r="BV59" s="177"/>
      <c r="BW59" s="177"/>
      <c r="BX59" s="177"/>
      <c r="BY59" s="178"/>
      <c r="BZ59" s="179"/>
      <c r="CA59" s="177"/>
      <c r="CB59" s="177"/>
      <c r="CC59" s="177"/>
      <c r="CD59" s="177"/>
      <c r="CE59" s="177"/>
      <c r="CF59" s="178"/>
      <c r="CG59" s="179"/>
      <c r="CH59" s="177"/>
      <c r="CI59" s="177"/>
      <c r="CJ59" s="177"/>
      <c r="CK59" s="177"/>
      <c r="CL59" s="177"/>
      <c r="CM59" s="178"/>
      <c r="CN59" s="179"/>
      <c r="CO59" s="177"/>
      <c r="CP59" s="177"/>
      <c r="CQ59" s="177"/>
      <c r="CR59" s="177"/>
      <c r="CS59" s="177"/>
      <c r="CT59" s="178"/>
      <c r="CU59" s="179"/>
      <c r="CV59" s="177"/>
      <c r="CW59" s="177"/>
      <c r="CX59" s="177"/>
      <c r="CY59" s="177"/>
      <c r="CZ59" s="177"/>
      <c r="DA59" s="178"/>
      <c r="DB59" s="179"/>
      <c r="DC59" s="177"/>
      <c r="DD59" s="177"/>
      <c r="DE59" s="177"/>
      <c r="DF59" s="177"/>
      <c r="DG59" s="177"/>
      <c r="DH59" s="178"/>
      <c r="DI59" s="179"/>
      <c r="DJ59" s="177"/>
      <c r="DK59" s="177"/>
      <c r="DL59" s="177"/>
      <c r="DM59" s="177"/>
      <c r="DN59" s="177"/>
      <c r="DO59" s="178"/>
      <c r="DP59" s="179"/>
      <c r="DQ59" s="177"/>
      <c r="DR59" s="177"/>
      <c r="DS59" s="177"/>
      <c r="DT59" s="177"/>
      <c r="DU59" s="177"/>
      <c r="DV59" s="178"/>
      <c r="DW59" s="179"/>
      <c r="DX59" s="177"/>
      <c r="DY59" s="177"/>
      <c r="DZ59" s="177"/>
      <c r="EA59" s="177"/>
      <c r="EB59" s="177"/>
      <c r="EC59" s="178"/>
      <c r="ED59" s="179"/>
      <c r="EE59" s="177"/>
      <c r="EF59" s="177"/>
      <c r="EG59" s="177"/>
      <c r="EH59" s="177"/>
      <c r="EI59" s="177"/>
      <c r="EJ59" s="178"/>
      <c r="EK59" s="179"/>
      <c r="EL59" s="177"/>
      <c r="EM59" s="177"/>
      <c r="EN59" s="177"/>
      <c r="EO59" s="177"/>
      <c r="EP59" s="177"/>
      <c r="EQ59" s="178"/>
      <c r="ER59" s="179"/>
      <c r="ES59" s="177"/>
      <c r="ET59" s="177"/>
      <c r="EU59" s="177"/>
      <c r="EV59" s="177"/>
      <c r="EW59" s="177"/>
      <c r="EX59" s="178"/>
      <c r="EY59" s="179"/>
      <c r="EZ59" s="177"/>
      <c r="FA59" s="177"/>
      <c r="FB59" s="177"/>
      <c r="FC59" s="177"/>
      <c r="FD59" s="177"/>
      <c r="FE59" s="178"/>
      <c r="FF59" s="179"/>
      <c r="FG59" s="177"/>
      <c r="FH59" s="177"/>
      <c r="FI59" s="177"/>
      <c r="FJ59" s="177"/>
      <c r="FK59" s="177"/>
      <c r="FL59" s="178"/>
      <c r="FM59" s="179"/>
      <c r="FN59" s="177"/>
      <c r="FO59" s="177"/>
      <c r="FP59" s="177"/>
      <c r="FQ59" s="177"/>
      <c r="FR59" s="177"/>
      <c r="FS59" s="178"/>
      <c r="FT59" s="179"/>
      <c r="FU59" s="177"/>
      <c r="FV59" s="177"/>
      <c r="FW59" s="177"/>
      <c r="FX59" s="177"/>
      <c r="FY59" s="177"/>
      <c r="FZ59" s="178"/>
      <c r="GA59" s="179"/>
      <c r="GB59" s="177"/>
      <c r="GC59" s="177"/>
      <c r="GD59" s="177"/>
      <c r="GE59" s="177"/>
      <c r="GF59" s="177"/>
      <c r="GG59" s="178"/>
      <c r="GH59" s="179"/>
      <c r="GI59" s="177"/>
      <c r="GJ59" s="177"/>
      <c r="GK59" s="177"/>
      <c r="GL59" s="177"/>
      <c r="GM59" s="177"/>
      <c r="GN59" s="178"/>
      <c r="GO59" s="179"/>
      <c r="GP59" s="177"/>
      <c r="GQ59" s="177"/>
      <c r="GR59" s="177"/>
      <c r="GS59" s="177"/>
      <c r="GT59" s="177"/>
      <c r="GU59" s="178"/>
      <c r="GV59" s="179"/>
      <c r="GW59" s="177"/>
      <c r="GX59" s="177"/>
      <c r="GY59" s="177"/>
      <c r="GZ59" s="177"/>
      <c r="HA59" s="177"/>
      <c r="HB59" s="178"/>
      <c r="HC59" s="179"/>
      <c r="HD59" s="177"/>
      <c r="HE59" s="177"/>
      <c r="HF59" s="177"/>
      <c r="HG59" s="177"/>
      <c r="HH59" s="177"/>
      <c r="HI59" s="178"/>
      <c r="HJ59" s="179"/>
      <c r="HK59" s="177"/>
      <c r="HL59" s="177"/>
      <c r="HM59" s="177"/>
      <c r="HN59" s="177"/>
      <c r="HO59" s="177"/>
      <c r="HP59" s="178"/>
      <c r="HQ59" s="179"/>
      <c r="HR59" s="177"/>
      <c r="HS59" s="177"/>
      <c r="HT59" s="177"/>
      <c r="HU59" s="177"/>
      <c r="HV59" s="177"/>
      <c r="HW59" s="178"/>
      <c r="HX59" s="179"/>
      <c r="HY59" s="177"/>
      <c r="HZ59" s="177"/>
      <c r="IA59" s="177"/>
      <c r="IB59" s="177"/>
      <c r="IC59" s="177"/>
      <c r="ID59" s="178"/>
      <c r="IE59" s="179"/>
      <c r="IF59" s="177"/>
      <c r="IG59" s="177"/>
      <c r="IH59" s="177"/>
      <c r="II59" s="177"/>
      <c r="IJ59" s="177"/>
      <c r="IK59" s="178"/>
      <c r="IL59" s="179"/>
      <c r="IM59" s="177"/>
      <c r="IN59" s="177"/>
      <c r="IO59" s="177"/>
      <c r="IP59" s="177"/>
      <c r="IQ59" s="177"/>
      <c r="IR59" s="178"/>
      <c r="IS59" s="179"/>
      <c r="IT59" s="177"/>
      <c r="IU59" s="177"/>
      <c r="IV59" s="177"/>
    </row>
    <row r="60" spans="1:256" ht="13.5" customHeight="1" x14ac:dyDescent="0.2">
      <c r="A60" s="862" t="s">
        <v>537</v>
      </c>
      <c r="B60" s="863"/>
      <c r="C60" s="863"/>
      <c r="D60" s="863"/>
      <c r="E60" s="863"/>
      <c r="F60" s="863"/>
      <c r="G60" s="864"/>
      <c r="H60" s="179"/>
      <c r="I60" s="177"/>
      <c r="J60" s="177"/>
      <c r="K60" s="177"/>
      <c r="L60" s="177"/>
      <c r="M60" s="177"/>
      <c r="N60" s="178"/>
      <c r="O60" s="179"/>
      <c r="P60" s="177"/>
      <c r="Q60" s="177"/>
      <c r="R60" s="177"/>
      <c r="S60" s="177"/>
      <c r="T60" s="177"/>
      <c r="U60" s="178"/>
      <c r="V60" s="179"/>
      <c r="W60" s="177"/>
      <c r="X60" s="177"/>
      <c r="Y60" s="177"/>
      <c r="Z60" s="177"/>
      <c r="AA60" s="177"/>
      <c r="AB60" s="178"/>
      <c r="AC60" s="179"/>
      <c r="AD60" s="177"/>
      <c r="AE60" s="177"/>
      <c r="AF60" s="177"/>
      <c r="AG60" s="177"/>
      <c r="AH60" s="177"/>
      <c r="AI60" s="178"/>
      <c r="AJ60" s="179"/>
      <c r="AK60" s="177"/>
      <c r="AL60" s="177"/>
      <c r="AM60" s="177"/>
      <c r="AN60" s="177"/>
      <c r="AO60" s="177"/>
      <c r="AP60" s="178"/>
      <c r="AQ60" s="179"/>
      <c r="AR60" s="177"/>
      <c r="AS60" s="177"/>
      <c r="AT60" s="177"/>
      <c r="AU60" s="177"/>
      <c r="AV60" s="177"/>
      <c r="AW60" s="178"/>
      <c r="AX60" s="179"/>
      <c r="AY60" s="177"/>
      <c r="AZ60" s="177"/>
      <c r="BA60" s="177"/>
      <c r="BB60" s="177"/>
      <c r="BC60" s="177"/>
      <c r="BD60" s="178"/>
      <c r="BE60" s="179"/>
      <c r="BF60" s="177"/>
      <c r="BG60" s="177"/>
      <c r="BH60" s="177"/>
      <c r="BI60" s="177"/>
      <c r="BJ60" s="177"/>
      <c r="BK60" s="178"/>
      <c r="BL60" s="179"/>
      <c r="BM60" s="177"/>
      <c r="BN60" s="177"/>
      <c r="BO60" s="177"/>
      <c r="BP60" s="177"/>
      <c r="BQ60" s="177"/>
      <c r="BR60" s="178"/>
      <c r="BS60" s="179"/>
      <c r="BT60" s="177"/>
      <c r="BU60" s="177"/>
      <c r="BV60" s="177"/>
      <c r="BW60" s="177"/>
      <c r="BX60" s="177"/>
      <c r="BY60" s="178"/>
      <c r="BZ60" s="179"/>
      <c r="CA60" s="177"/>
      <c r="CB60" s="177"/>
      <c r="CC60" s="177"/>
      <c r="CD60" s="177"/>
      <c r="CE60" s="177"/>
      <c r="CF60" s="178"/>
      <c r="CG60" s="179"/>
      <c r="CH60" s="177"/>
      <c r="CI60" s="177"/>
      <c r="CJ60" s="177"/>
      <c r="CK60" s="177"/>
      <c r="CL60" s="177"/>
      <c r="CM60" s="178"/>
      <c r="CN60" s="179"/>
      <c r="CO60" s="177"/>
      <c r="CP60" s="177"/>
      <c r="CQ60" s="177"/>
      <c r="CR60" s="177"/>
      <c r="CS60" s="177"/>
      <c r="CT60" s="178"/>
      <c r="CU60" s="179"/>
      <c r="CV60" s="177"/>
      <c r="CW60" s="177"/>
      <c r="CX60" s="177"/>
      <c r="CY60" s="177"/>
      <c r="CZ60" s="177"/>
      <c r="DA60" s="178"/>
      <c r="DB60" s="179"/>
      <c r="DC60" s="177"/>
      <c r="DD60" s="177"/>
      <c r="DE60" s="177"/>
      <c r="DF60" s="177"/>
      <c r="DG60" s="177"/>
      <c r="DH60" s="178"/>
      <c r="DI60" s="179"/>
      <c r="DJ60" s="177"/>
      <c r="DK60" s="177"/>
      <c r="DL60" s="177"/>
      <c r="DM60" s="177"/>
      <c r="DN60" s="177"/>
      <c r="DO60" s="178"/>
      <c r="DP60" s="179"/>
      <c r="DQ60" s="177"/>
      <c r="DR60" s="177"/>
      <c r="DS60" s="177"/>
      <c r="DT60" s="177"/>
      <c r="DU60" s="177"/>
      <c r="DV60" s="178"/>
      <c r="DW60" s="179"/>
      <c r="DX60" s="177"/>
      <c r="DY60" s="177"/>
      <c r="DZ60" s="177"/>
      <c r="EA60" s="177"/>
      <c r="EB60" s="177"/>
      <c r="EC60" s="178"/>
      <c r="ED60" s="179"/>
      <c r="EE60" s="177"/>
      <c r="EF60" s="177"/>
      <c r="EG60" s="177"/>
      <c r="EH60" s="177"/>
      <c r="EI60" s="177"/>
      <c r="EJ60" s="178"/>
      <c r="EK60" s="179"/>
      <c r="EL60" s="177"/>
      <c r="EM60" s="177"/>
      <c r="EN60" s="177"/>
      <c r="EO60" s="177"/>
      <c r="EP60" s="177"/>
      <c r="EQ60" s="178"/>
      <c r="ER60" s="179"/>
      <c r="ES60" s="177"/>
      <c r="ET60" s="177"/>
      <c r="EU60" s="177"/>
      <c r="EV60" s="177"/>
      <c r="EW60" s="177"/>
      <c r="EX60" s="178"/>
      <c r="EY60" s="179"/>
      <c r="EZ60" s="177"/>
      <c r="FA60" s="177"/>
      <c r="FB60" s="177"/>
      <c r="FC60" s="177"/>
      <c r="FD60" s="177"/>
      <c r="FE60" s="178"/>
      <c r="FF60" s="179"/>
      <c r="FG60" s="177"/>
      <c r="FH60" s="177"/>
      <c r="FI60" s="177"/>
      <c r="FJ60" s="177"/>
      <c r="FK60" s="177"/>
      <c r="FL60" s="178"/>
      <c r="FM60" s="179"/>
      <c r="FN60" s="177"/>
      <c r="FO60" s="177"/>
      <c r="FP60" s="177"/>
      <c r="FQ60" s="177"/>
      <c r="FR60" s="177"/>
      <c r="FS60" s="178"/>
      <c r="FT60" s="179"/>
      <c r="FU60" s="177"/>
      <c r="FV60" s="177"/>
      <c r="FW60" s="177"/>
      <c r="FX60" s="177"/>
      <c r="FY60" s="177"/>
      <c r="FZ60" s="178"/>
      <c r="GA60" s="179"/>
      <c r="GB60" s="177"/>
      <c r="GC60" s="177"/>
      <c r="GD60" s="177"/>
      <c r="GE60" s="177"/>
      <c r="GF60" s="177"/>
      <c r="GG60" s="178"/>
      <c r="GH60" s="179"/>
      <c r="GI60" s="177"/>
      <c r="GJ60" s="177"/>
      <c r="GK60" s="177"/>
      <c r="GL60" s="177"/>
      <c r="GM60" s="177"/>
      <c r="GN60" s="178"/>
      <c r="GO60" s="179"/>
      <c r="GP60" s="177"/>
      <c r="GQ60" s="177"/>
      <c r="GR60" s="177"/>
      <c r="GS60" s="177"/>
      <c r="GT60" s="177"/>
      <c r="GU60" s="178"/>
      <c r="GV60" s="179"/>
      <c r="GW60" s="177"/>
      <c r="GX60" s="177"/>
      <c r="GY60" s="177"/>
      <c r="GZ60" s="177"/>
      <c r="HA60" s="177"/>
      <c r="HB60" s="178"/>
      <c r="HC60" s="179"/>
      <c r="HD60" s="177"/>
      <c r="HE60" s="177"/>
      <c r="HF60" s="177"/>
      <c r="HG60" s="177"/>
      <c r="HH60" s="177"/>
      <c r="HI60" s="178"/>
      <c r="HJ60" s="179"/>
      <c r="HK60" s="177"/>
      <c r="HL60" s="177"/>
      <c r="HM60" s="177"/>
      <c r="HN60" s="177"/>
      <c r="HO60" s="177"/>
      <c r="HP60" s="178"/>
      <c r="HQ60" s="179"/>
      <c r="HR60" s="177"/>
      <c r="HS60" s="177"/>
      <c r="HT60" s="177"/>
      <c r="HU60" s="177"/>
      <c r="HV60" s="177"/>
      <c r="HW60" s="178"/>
      <c r="HX60" s="179"/>
      <c r="HY60" s="177"/>
      <c r="HZ60" s="177"/>
      <c r="IA60" s="177"/>
      <c r="IB60" s="177"/>
      <c r="IC60" s="177"/>
      <c r="ID60" s="178"/>
      <c r="IE60" s="179"/>
      <c r="IF60" s="177"/>
      <c r="IG60" s="177"/>
      <c r="IH60" s="177"/>
      <c r="II60" s="177"/>
      <c r="IJ60" s="177"/>
      <c r="IK60" s="178"/>
      <c r="IL60" s="179"/>
      <c r="IM60" s="177"/>
      <c r="IN60" s="177"/>
      <c r="IO60" s="177"/>
      <c r="IP60" s="177"/>
      <c r="IQ60" s="177"/>
      <c r="IR60" s="178"/>
      <c r="IS60" s="179"/>
      <c r="IT60" s="177"/>
      <c r="IU60" s="177"/>
      <c r="IV60" s="177"/>
    </row>
    <row r="61" spans="1:256" x14ac:dyDescent="0.2">
      <c r="A61" s="862"/>
      <c r="B61" s="863"/>
      <c r="C61" s="863"/>
      <c r="D61" s="863"/>
      <c r="E61" s="863"/>
      <c r="F61" s="863"/>
      <c r="G61" s="864"/>
      <c r="H61" s="179"/>
      <c r="I61" s="177"/>
      <c r="J61" s="177"/>
      <c r="K61" s="177"/>
      <c r="L61" s="177"/>
      <c r="M61" s="177"/>
      <c r="N61" s="178"/>
      <c r="O61" s="179"/>
      <c r="P61" s="177"/>
      <c r="Q61" s="177"/>
      <c r="R61" s="177"/>
      <c r="S61" s="177"/>
      <c r="T61" s="177"/>
      <c r="U61" s="178"/>
      <c r="V61" s="179"/>
      <c r="W61" s="177"/>
      <c r="X61" s="177"/>
      <c r="Y61" s="177"/>
      <c r="Z61" s="177"/>
      <c r="AA61" s="177"/>
      <c r="AB61" s="178"/>
      <c r="AC61" s="179"/>
      <c r="AD61" s="177"/>
      <c r="AE61" s="177"/>
      <c r="AF61" s="177"/>
      <c r="AG61" s="177"/>
      <c r="AH61" s="177"/>
      <c r="AI61" s="178"/>
      <c r="AJ61" s="179"/>
      <c r="AK61" s="177"/>
      <c r="AL61" s="177"/>
      <c r="AM61" s="177"/>
      <c r="AN61" s="177"/>
      <c r="AO61" s="177"/>
      <c r="AP61" s="178"/>
      <c r="AQ61" s="179"/>
      <c r="AR61" s="177"/>
      <c r="AS61" s="177"/>
      <c r="AT61" s="177"/>
      <c r="AU61" s="177"/>
      <c r="AV61" s="177"/>
      <c r="AW61" s="178"/>
      <c r="AX61" s="179"/>
      <c r="AY61" s="177"/>
      <c r="AZ61" s="177"/>
      <c r="BA61" s="177"/>
      <c r="BB61" s="177"/>
      <c r="BC61" s="177"/>
      <c r="BD61" s="178"/>
      <c r="BE61" s="179"/>
      <c r="BF61" s="177"/>
      <c r="BG61" s="177"/>
      <c r="BH61" s="177"/>
      <c r="BI61" s="177"/>
      <c r="BJ61" s="177"/>
      <c r="BK61" s="178"/>
      <c r="BL61" s="179"/>
      <c r="BM61" s="177"/>
      <c r="BN61" s="177"/>
      <c r="BO61" s="177"/>
      <c r="BP61" s="177"/>
      <c r="BQ61" s="177"/>
      <c r="BR61" s="178"/>
      <c r="BS61" s="179"/>
      <c r="BT61" s="177"/>
      <c r="BU61" s="177"/>
      <c r="BV61" s="177"/>
      <c r="BW61" s="177"/>
      <c r="BX61" s="177"/>
      <c r="BY61" s="178"/>
      <c r="BZ61" s="179"/>
      <c r="CA61" s="177"/>
      <c r="CB61" s="177"/>
      <c r="CC61" s="177"/>
      <c r="CD61" s="177"/>
      <c r="CE61" s="177"/>
      <c r="CF61" s="178"/>
      <c r="CG61" s="179"/>
      <c r="CH61" s="177"/>
      <c r="CI61" s="177"/>
      <c r="CJ61" s="177"/>
      <c r="CK61" s="177"/>
      <c r="CL61" s="177"/>
      <c r="CM61" s="178"/>
      <c r="CN61" s="179"/>
      <c r="CO61" s="177"/>
      <c r="CP61" s="177"/>
      <c r="CQ61" s="177"/>
      <c r="CR61" s="177"/>
      <c r="CS61" s="177"/>
      <c r="CT61" s="178"/>
      <c r="CU61" s="179"/>
      <c r="CV61" s="177"/>
      <c r="CW61" s="177"/>
      <c r="CX61" s="177"/>
      <c r="CY61" s="177"/>
      <c r="CZ61" s="177"/>
      <c r="DA61" s="178"/>
      <c r="DB61" s="179"/>
      <c r="DC61" s="177"/>
      <c r="DD61" s="177"/>
      <c r="DE61" s="177"/>
      <c r="DF61" s="177"/>
      <c r="DG61" s="177"/>
      <c r="DH61" s="178"/>
      <c r="DI61" s="179"/>
      <c r="DJ61" s="177"/>
      <c r="DK61" s="177"/>
      <c r="DL61" s="177"/>
      <c r="DM61" s="177"/>
      <c r="DN61" s="177"/>
      <c r="DO61" s="178"/>
      <c r="DP61" s="179"/>
      <c r="DQ61" s="177"/>
      <c r="DR61" s="177"/>
      <c r="DS61" s="177"/>
      <c r="DT61" s="177"/>
      <c r="DU61" s="177"/>
      <c r="DV61" s="178"/>
      <c r="DW61" s="179"/>
      <c r="DX61" s="177"/>
      <c r="DY61" s="177"/>
      <c r="DZ61" s="177"/>
      <c r="EA61" s="177"/>
      <c r="EB61" s="177"/>
      <c r="EC61" s="178"/>
      <c r="ED61" s="179"/>
      <c r="EE61" s="177"/>
      <c r="EF61" s="177"/>
      <c r="EG61" s="177"/>
      <c r="EH61" s="177"/>
      <c r="EI61" s="177"/>
      <c r="EJ61" s="178"/>
      <c r="EK61" s="179"/>
      <c r="EL61" s="177"/>
      <c r="EM61" s="177"/>
      <c r="EN61" s="177"/>
      <c r="EO61" s="177"/>
      <c r="EP61" s="177"/>
      <c r="EQ61" s="178"/>
      <c r="ER61" s="179"/>
      <c r="ES61" s="177"/>
      <c r="ET61" s="177"/>
      <c r="EU61" s="177"/>
      <c r="EV61" s="177"/>
      <c r="EW61" s="177"/>
      <c r="EX61" s="178"/>
      <c r="EY61" s="179"/>
      <c r="EZ61" s="177"/>
      <c r="FA61" s="177"/>
      <c r="FB61" s="177"/>
      <c r="FC61" s="177"/>
      <c r="FD61" s="177"/>
      <c r="FE61" s="178"/>
      <c r="FF61" s="179"/>
      <c r="FG61" s="177"/>
      <c r="FH61" s="177"/>
      <c r="FI61" s="177"/>
      <c r="FJ61" s="177"/>
      <c r="FK61" s="177"/>
      <c r="FL61" s="178"/>
      <c r="FM61" s="179"/>
      <c r="FN61" s="177"/>
      <c r="FO61" s="177"/>
      <c r="FP61" s="177"/>
      <c r="FQ61" s="177"/>
      <c r="FR61" s="177"/>
      <c r="FS61" s="178"/>
      <c r="FT61" s="179"/>
      <c r="FU61" s="177"/>
      <c r="FV61" s="177"/>
      <c r="FW61" s="177"/>
      <c r="FX61" s="177"/>
      <c r="FY61" s="177"/>
      <c r="FZ61" s="178"/>
      <c r="GA61" s="179"/>
      <c r="GB61" s="177"/>
      <c r="GC61" s="177"/>
      <c r="GD61" s="177"/>
      <c r="GE61" s="177"/>
      <c r="GF61" s="177"/>
      <c r="GG61" s="178"/>
      <c r="GH61" s="179"/>
      <c r="GI61" s="177"/>
      <c r="GJ61" s="177"/>
      <c r="GK61" s="177"/>
      <c r="GL61" s="177"/>
      <c r="GM61" s="177"/>
      <c r="GN61" s="178"/>
      <c r="GO61" s="179"/>
      <c r="GP61" s="177"/>
      <c r="GQ61" s="177"/>
      <c r="GR61" s="177"/>
      <c r="GS61" s="177"/>
      <c r="GT61" s="177"/>
      <c r="GU61" s="178"/>
      <c r="GV61" s="179"/>
      <c r="GW61" s="177"/>
      <c r="GX61" s="177"/>
      <c r="GY61" s="177"/>
      <c r="GZ61" s="177"/>
      <c r="HA61" s="177"/>
      <c r="HB61" s="178"/>
      <c r="HC61" s="179"/>
      <c r="HD61" s="177"/>
      <c r="HE61" s="177"/>
      <c r="HF61" s="177"/>
      <c r="HG61" s="177"/>
      <c r="HH61" s="177"/>
      <c r="HI61" s="178"/>
      <c r="HJ61" s="179"/>
      <c r="HK61" s="177"/>
      <c r="HL61" s="177"/>
      <c r="HM61" s="177"/>
      <c r="HN61" s="177"/>
      <c r="HO61" s="177"/>
      <c r="HP61" s="178"/>
      <c r="HQ61" s="179"/>
      <c r="HR61" s="177"/>
      <c r="HS61" s="177"/>
      <c r="HT61" s="177"/>
      <c r="HU61" s="177"/>
      <c r="HV61" s="177"/>
      <c r="HW61" s="178"/>
      <c r="HX61" s="179"/>
      <c r="HY61" s="177"/>
      <c r="HZ61" s="177"/>
      <c r="IA61" s="177"/>
      <c r="IB61" s="177"/>
      <c r="IC61" s="177"/>
      <c r="ID61" s="178"/>
      <c r="IE61" s="179"/>
      <c r="IF61" s="177"/>
      <c r="IG61" s="177"/>
      <c r="IH61" s="177"/>
      <c r="II61" s="177"/>
      <c r="IJ61" s="177"/>
      <c r="IK61" s="178"/>
      <c r="IL61" s="179"/>
      <c r="IM61" s="177"/>
      <c r="IN61" s="177"/>
      <c r="IO61" s="177"/>
      <c r="IP61" s="177"/>
      <c r="IQ61" s="177"/>
      <c r="IR61" s="178"/>
      <c r="IS61" s="179"/>
      <c r="IT61" s="177"/>
      <c r="IU61" s="177"/>
      <c r="IV61" s="177"/>
    </row>
    <row r="62" spans="1:256" x14ac:dyDescent="0.2">
      <c r="A62" s="862"/>
      <c r="B62" s="863"/>
      <c r="C62" s="863"/>
      <c r="D62" s="863"/>
      <c r="E62" s="863"/>
      <c r="F62" s="863"/>
      <c r="G62" s="864"/>
      <c r="H62" s="179"/>
      <c r="I62" s="177"/>
      <c r="J62" s="177"/>
      <c r="K62" s="177"/>
      <c r="L62" s="177"/>
      <c r="M62" s="177"/>
      <c r="N62" s="178"/>
      <c r="O62" s="179"/>
      <c r="P62" s="177"/>
      <c r="Q62" s="177"/>
      <c r="R62" s="177"/>
      <c r="S62" s="177"/>
      <c r="T62" s="177"/>
      <c r="U62" s="178"/>
      <c r="V62" s="179"/>
      <c r="W62" s="177"/>
      <c r="X62" s="177"/>
      <c r="Y62" s="177"/>
      <c r="Z62" s="177"/>
      <c r="AA62" s="177"/>
      <c r="AB62" s="178"/>
      <c r="AC62" s="179"/>
      <c r="AD62" s="177"/>
      <c r="AE62" s="177"/>
      <c r="AF62" s="177"/>
      <c r="AG62" s="177"/>
      <c r="AH62" s="177"/>
      <c r="AI62" s="178"/>
      <c r="AJ62" s="179"/>
      <c r="AK62" s="177"/>
      <c r="AL62" s="177"/>
      <c r="AM62" s="177"/>
      <c r="AN62" s="177"/>
      <c r="AO62" s="177"/>
      <c r="AP62" s="178"/>
      <c r="AQ62" s="179"/>
      <c r="AR62" s="177"/>
      <c r="AS62" s="177"/>
      <c r="AT62" s="177"/>
      <c r="AU62" s="177"/>
      <c r="AV62" s="177"/>
      <c r="AW62" s="178"/>
      <c r="AX62" s="179"/>
      <c r="AY62" s="177"/>
      <c r="AZ62" s="177"/>
      <c r="BA62" s="177"/>
      <c r="BB62" s="177"/>
      <c r="BC62" s="177"/>
      <c r="BD62" s="178"/>
      <c r="BE62" s="179"/>
      <c r="BF62" s="177"/>
      <c r="BG62" s="177"/>
      <c r="BH62" s="177"/>
      <c r="BI62" s="177"/>
      <c r="BJ62" s="177"/>
      <c r="BK62" s="178"/>
      <c r="BL62" s="179"/>
      <c r="BM62" s="177"/>
      <c r="BN62" s="177"/>
      <c r="BO62" s="177"/>
      <c r="BP62" s="177"/>
      <c r="BQ62" s="177"/>
      <c r="BR62" s="178"/>
      <c r="BS62" s="179"/>
      <c r="BT62" s="177"/>
      <c r="BU62" s="177"/>
      <c r="BV62" s="177"/>
      <c r="BW62" s="177"/>
      <c r="BX62" s="177"/>
      <c r="BY62" s="178"/>
      <c r="BZ62" s="179"/>
      <c r="CA62" s="177"/>
      <c r="CB62" s="177"/>
      <c r="CC62" s="177"/>
      <c r="CD62" s="177"/>
      <c r="CE62" s="177"/>
      <c r="CF62" s="178"/>
      <c r="CG62" s="179"/>
      <c r="CH62" s="177"/>
      <c r="CI62" s="177"/>
      <c r="CJ62" s="177"/>
      <c r="CK62" s="177"/>
      <c r="CL62" s="177"/>
      <c r="CM62" s="178"/>
      <c r="CN62" s="179"/>
      <c r="CO62" s="177"/>
      <c r="CP62" s="177"/>
      <c r="CQ62" s="177"/>
      <c r="CR62" s="177"/>
      <c r="CS62" s="177"/>
      <c r="CT62" s="178"/>
      <c r="CU62" s="179"/>
      <c r="CV62" s="177"/>
      <c r="CW62" s="177"/>
      <c r="CX62" s="177"/>
      <c r="CY62" s="177"/>
      <c r="CZ62" s="177"/>
      <c r="DA62" s="178"/>
      <c r="DB62" s="179"/>
      <c r="DC62" s="177"/>
      <c r="DD62" s="177"/>
      <c r="DE62" s="177"/>
      <c r="DF62" s="177"/>
      <c r="DG62" s="177"/>
      <c r="DH62" s="178"/>
      <c r="DI62" s="179"/>
      <c r="DJ62" s="177"/>
      <c r="DK62" s="177"/>
      <c r="DL62" s="177"/>
      <c r="DM62" s="177"/>
      <c r="DN62" s="177"/>
      <c r="DO62" s="178"/>
      <c r="DP62" s="179"/>
      <c r="DQ62" s="177"/>
      <c r="DR62" s="177"/>
      <c r="DS62" s="177"/>
      <c r="DT62" s="177"/>
      <c r="DU62" s="177"/>
      <c r="DV62" s="178"/>
      <c r="DW62" s="179"/>
      <c r="DX62" s="177"/>
      <c r="DY62" s="177"/>
      <c r="DZ62" s="177"/>
      <c r="EA62" s="177"/>
      <c r="EB62" s="177"/>
      <c r="EC62" s="178"/>
      <c r="ED62" s="179"/>
      <c r="EE62" s="177"/>
      <c r="EF62" s="177"/>
      <c r="EG62" s="177"/>
      <c r="EH62" s="177"/>
      <c r="EI62" s="177"/>
      <c r="EJ62" s="178"/>
      <c r="EK62" s="179"/>
      <c r="EL62" s="177"/>
      <c r="EM62" s="177"/>
      <c r="EN62" s="177"/>
      <c r="EO62" s="177"/>
      <c r="EP62" s="177"/>
      <c r="EQ62" s="178"/>
      <c r="ER62" s="179"/>
      <c r="ES62" s="177"/>
      <c r="ET62" s="177"/>
      <c r="EU62" s="177"/>
      <c r="EV62" s="177"/>
      <c r="EW62" s="177"/>
      <c r="EX62" s="178"/>
      <c r="EY62" s="179"/>
      <c r="EZ62" s="177"/>
      <c r="FA62" s="177"/>
      <c r="FB62" s="177"/>
      <c r="FC62" s="177"/>
      <c r="FD62" s="177"/>
      <c r="FE62" s="178"/>
      <c r="FF62" s="179"/>
      <c r="FG62" s="177"/>
      <c r="FH62" s="177"/>
      <c r="FI62" s="177"/>
      <c r="FJ62" s="177"/>
      <c r="FK62" s="177"/>
      <c r="FL62" s="178"/>
      <c r="FM62" s="179"/>
      <c r="FN62" s="177"/>
      <c r="FO62" s="177"/>
      <c r="FP62" s="177"/>
      <c r="FQ62" s="177"/>
      <c r="FR62" s="177"/>
      <c r="FS62" s="178"/>
      <c r="FT62" s="179"/>
      <c r="FU62" s="177"/>
      <c r="FV62" s="177"/>
      <c r="FW62" s="177"/>
      <c r="FX62" s="177"/>
      <c r="FY62" s="177"/>
      <c r="FZ62" s="178"/>
      <c r="GA62" s="179"/>
      <c r="GB62" s="177"/>
      <c r="GC62" s="177"/>
      <c r="GD62" s="177"/>
      <c r="GE62" s="177"/>
      <c r="GF62" s="177"/>
      <c r="GG62" s="178"/>
      <c r="GH62" s="179"/>
      <c r="GI62" s="177"/>
      <c r="GJ62" s="177"/>
      <c r="GK62" s="177"/>
      <c r="GL62" s="177"/>
      <c r="GM62" s="177"/>
      <c r="GN62" s="178"/>
      <c r="GO62" s="179"/>
      <c r="GP62" s="177"/>
      <c r="GQ62" s="177"/>
      <c r="GR62" s="177"/>
      <c r="GS62" s="177"/>
      <c r="GT62" s="177"/>
      <c r="GU62" s="178"/>
      <c r="GV62" s="179"/>
      <c r="GW62" s="177"/>
      <c r="GX62" s="177"/>
      <c r="GY62" s="177"/>
      <c r="GZ62" s="177"/>
      <c r="HA62" s="177"/>
      <c r="HB62" s="178"/>
      <c r="HC62" s="179"/>
      <c r="HD62" s="177"/>
      <c r="HE62" s="177"/>
      <c r="HF62" s="177"/>
      <c r="HG62" s="177"/>
      <c r="HH62" s="177"/>
      <c r="HI62" s="178"/>
      <c r="HJ62" s="179"/>
      <c r="HK62" s="177"/>
      <c r="HL62" s="177"/>
      <c r="HM62" s="177"/>
      <c r="HN62" s="177"/>
      <c r="HO62" s="177"/>
      <c r="HP62" s="178"/>
      <c r="HQ62" s="179"/>
      <c r="HR62" s="177"/>
      <c r="HS62" s="177"/>
      <c r="HT62" s="177"/>
      <c r="HU62" s="177"/>
      <c r="HV62" s="177"/>
      <c r="HW62" s="178"/>
      <c r="HX62" s="179"/>
      <c r="HY62" s="177"/>
      <c r="HZ62" s="177"/>
      <c r="IA62" s="177"/>
      <c r="IB62" s="177"/>
      <c r="IC62" s="177"/>
      <c r="ID62" s="178"/>
      <c r="IE62" s="179"/>
      <c r="IF62" s="177"/>
      <c r="IG62" s="177"/>
      <c r="IH62" s="177"/>
      <c r="II62" s="177"/>
      <c r="IJ62" s="177"/>
      <c r="IK62" s="178"/>
      <c r="IL62" s="179"/>
      <c r="IM62" s="177"/>
      <c r="IN62" s="177"/>
      <c r="IO62" s="177"/>
      <c r="IP62" s="177"/>
      <c r="IQ62" s="177"/>
      <c r="IR62" s="178"/>
      <c r="IS62" s="179"/>
      <c r="IT62" s="177"/>
      <c r="IU62" s="177"/>
      <c r="IV62" s="177"/>
    </row>
    <row r="63" spans="1:256" ht="15.75" x14ac:dyDescent="0.25">
      <c r="A63" s="225" t="s">
        <v>46</v>
      </c>
      <c r="B63" s="177"/>
      <c r="C63" s="177"/>
      <c r="D63" s="177"/>
      <c r="E63" s="177"/>
      <c r="F63" s="177"/>
      <c r="G63" s="178"/>
      <c r="H63" s="179"/>
      <c r="I63" s="177"/>
      <c r="J63" s="177"/>
      <c r="K63" s="177"/>
      <c r="L63" s="177"/>
      <c r="M63" s="177"/>
      <c r="N63" s="178"/>
      <c r="O63" s="179"/>
      <c r="P63" s="177"/>
      <c r="Q63" s="177"/>
      <c r="R63" s="177"/>
      <c r="S63" s="177"/>
      <c r="T63" s="177"/>
      <c r="U63" s="178"/>
      <c r="V63" s="179"/>
      <c r="W63" s="177"/>
      <c r="X63" s="177"/>
      <c r="Y63" s="177"/>
      <c r="Z63" s="177"/>
      <c r="AA63" s="177"/>
      <c r="AB63" s="178"/>
      <c r="AC63" s="179"/>
      <c r="AD63" s="177"/>
      <c r="AE63" s="177"/>
      <c r="AF63" s="177"/>
      <c r="AG63" s="177"/>
      <c r="AH63" s="177"/>
      <c r="AI63" s="178"/>
      <c r="AJ63" s="179"/>
      <c r="AK63" s="177"/>
      <c r="AL63" s="177"/>
      <c r="AM63" s="177"/>
      <c r="AN63" s="177"/>
      <c r="AO63" s="177"/>
      <c r="AP63" s="178"/>
      <c r="AQ63" s="179"/>
      <c r="AR63" s="177"/>
      <c r="AS63" s="177"/>
      <c r="AT63" s="177"/>
      <c r="AU63" s="177"/>
      <c r="AV63" s="177"/>
      <c r="AW63" s="178"/>
      <c r="AX63" s="179"/>
      <c r="AY63" s="177"/>
      <c r="AZ63" s="177"/>
      <c r="BA63" s="177"/>
      <c r="BB63" s="177"/>
      <c r="BC63" s="177"/>
      <c r="BD63" s="178"/>
      <c r="BE63" s="179"/>
      <c r="BF63" s="177"/>
      <c r="BG63" s="177"/>
      <c r="BH63" s="177"/>
      <c r="BI63" s="177"/>
      <c r="BJ63" s="177"/>
      <c r="BK63" s="178"/>
      <c r="BL63" s="179"/>
      <c r="BM63" s="177"/>
      <c r="BN63" s="177"/>
      <c r="BO63" s="177"/>
      <c r="BP63" s="177"/>
      <c r="BQ63" s="177"/>
      <c r="BR63" s="178"/>
      <c r="BS63" s="179"/>
      <c r="BT63" s="177"/>
      <c r="BU63" s="177"/>
      <c r="BV63" s="177"/>
      <c r="BW63" s="177"/>
      <c r="BX63" s="177"/>
      <c r="BY63" s="178"/>
      <c r="BZ63" s="179"/>
      <c r="CA63" s="177"/>
      <c r="CB63" s="177"/>
      <c r="CC63" s="177"/>
      <c r="CD63" s="177"/>
      <c r="CE63" s="177"/>
      <c r="CF63" s="178"/>
      <c r="CG63" s="179"/>
      <c r="CH63" s="177"/>
      <c r="CI63" s="177"/>
      <c r="CJ63" s="177"/>
      <c r="CK63" s="177"/>
      <c r="CL63" s="177"/>
      <c r="CM63" s="178"/>
      <c r="CN63" s="179"/>
      <c r="CO63" s="177"/>
      <c r="CP63" s="177"/>
      <c r="CQ63" s="177"/>
      <c r="CR63" s="177"/>
      <c r="CS63" s="177"/>
      <c r="CT63" s="178"/>
      <c r="CU63" s="179"/>
      <c r="CV63" s="177"/>
      <c r="CW63" s="177"/>
      <c r="CX63" s="177"/>
      <c r="CY63" s="177"/>
      <c r="CZ63" s="177"/>
      <c r="DA63" s="178"/>
      <c r="DB63" s="179"/>
      <c r="DC63" s="177"/>
      <c r="DD63" s="177"/>
      <c r="DE63" s="177"/>
      <c r="DF63" s="177"/>
      <c r="DG63" s="177"/>
      <c r="DH63" s="178"/>
      <c r="DI63" s="179"/>
      <c r="DJ63" s="177"/>
      <c r="DK63" s="177"/>
      <c r="DL63" s="177"/>
      <c r="DM63" s="177"/>
      <c r="DN63" s="177"/>
      <c r="DO63" s="178"/>
      <c r="DP63" s="179"/>
      <c r="DQ63" s="177"/>
      <c r="DR63" s="177"/>
      <c r="DS63" s="177"/>
      <c r="DT63" s="177"/>
      <c r="DU63" s="177"/>
      <c r="DV63" s="178"/>
      <c r="DW63" s="179"/>
      <c r="DX63" s="177"/>
      <c r="DY63" s="177"/>
      <c r="DZ63" s="177"/>
      <c r="EA63" s="177"/>
      <c r="EB63" s="177"/>
      <c r="EC63" s="178"/>
      <c r="ED63" s="179"/>
      <c r="EE63" s="177"/>
      <c r="EF63" s="177"/>
      <c r="EG63" s="177"/>
      <c r="EH63" s="177"/>
      <c r="EI63" s="177"/>
      <c r="EJ63" s="178"/>
      <c r="EK63" s="179"/>
      <c r="EL63" s="177"/>
      <c r="EM63" s="177"/>
      <c r="EN63" s="177"/>
      <c r="EO63" s="177"/>
      <c r="EP63" s="177"/>
      <c r="EQ63" s="178"/>
      <c r="ER63" s="179"/>
      <c r="ES63" s="177"/>
      <c r="ET63" s="177"/>
      <c r="EU63" s="177"/>
      <c r="EV63" s="177"/>
      <c r="EW63" s="177"/>
      <c r="EX63" s="178"/>
      <c r="EY63" s="179"/>
      <c r="EZ63" s="177"/>
      <c r="FA63" s="177"/>
      <c r="FB63" s="177"/>
      <c r="FC63" s="177"/>
      <c r="FD63" s="177"/>
      <c r="FE63" s="178"/>
      <c r="FF63" s="179"/>
      <c r="FG63" s="177"/>
      <c r="FH63" s="177"/>
      <c r="FI63" s="177"/>
      <c r="FJ63" s="177"/>
      <c r="FK63" s="177"/>
      <c r="FL63" s="178"/>
      <c r="FM63" s="179"/>
      <c r="FN63" s="177"/>
      <c r="FO63" s="177"/>
      <c r="FP63" s="177"/>
      <c r="FQ63" s="177"/>
      <c r="FR63" s="177"/>
      <c r="FS63" s="178"/>
      <c r="FT63" s="179"/>
      <c r="FU63" s="177"/>
      <c r="FV63" s="177"/>
      <c r="FW63" s="177"/>
      <c r="FX63" s="177"/>
      <c r="FY63" s="177"/>
      <c r="FZ63" s="178"/>
      <c r="GA63" s="179"/>
      <c r="GB63" s="177"/>
      <c r="GC63" s="177"/>
      <c r="GD63" s="177"/>
      <c r="GE63" s="177"/>
      <c r="GF63" s="177"/>
      <c r="GG63" s="178"/>
      <c r="GH63" s="179"/>
      <c r="GI63" s="177"/>
      <c r="GJ63" s="177"/>
      <c r="GK63" s="177"/>
      <c r="GL63" s="177"/>
      <c r="GM63" s="177"/>
      <c r="GN63" s="178"/>
      <c r="GO63" s="179"/>
      <c r="GP63" s="177"/>
      <c r="GQ63" s="177"/>
      <c r="GR63" s="177"/>
      <c r="GS63" s="177"/>
      <c r="GT63" s="177"/>
      <c r="GU63" s="178"/>
      <c r="GV63" s="179"/>
      <c r="GW63" s="177"/>
      <c r="GX63" s="177"/>
      <c r="GY63" s="177"/>
      <c r="GZ63" s="177"/>
      <c r="HA63" s="177"/>
      <c r="HB63" s="178"/>
      <c r="HC63" s="179"/>
      <c r="HD63" s="177"/>
      <c r="HE63" s="177"/>
      <c r="HF63" s="177"/>
      <c r="HG63" s="177"/>
      <c r="HH63" s="177"/>
      <c r="HI63" s="178"/>
      <c r="HJ63" s="179"/>
      <c r="HK63" s="177"/>
      <c r="HL63" s="177"/>
      <c r="HM63" s="177"/>
      <c r="HN63" s="177"/>
      <c r="HO63" s="177"/>
      <c r="HP63" s="178"/>
      <c r="HQ63" s="179"/>
      <c r="HR63" s="177"/>
      <c r="HS63" s="177"/>
      <c r="HT63" s="177"/>
      <c r="HU63" s="177"/>
      <c r="HV63" s="177"/>
      <c r="HW63" s="178"/>
      <c r="HX63" s="179"/>
      <c r="HY63" s="177"/>
      <c r="HZ63" s="177"/>
      <c r="IA63" s="177"/>
      <c r="IB63" s="177"/>
      <c r="IC63" s="177"/>
      <c r="ID63" s="178"/>
      <c r="IE63" s="179"/>
      <c r="IF63" s="177"/>
      <c r="IG63" s="177"/>
      <c r="IH63" s="177"/>
      <c r="II63" s="177"/>
      <c r="IJ63" s="177"/>
      <c r="IK63" s="178"/>
      <c r="IL63" s="179"/>
      <c r="IM63" s="177"/>
      <c r="IN63" s="177"/>
      <c r="IO63" s="177"/>
      <c r="IP63" s="177"/>
      <c r="IQ63" s="177"/>
      <c r="IR63" s="178"/>
      <c r="IS63" s="179"/>
      <c r="IT63" s="177"/>
      <c r="IU63" s="177"/>
      <c r="IV63" s="177"/>
    </row>
    <row r="64" spans="1:256" x14ac:dyDescent="0.2">
      <c r="A64" s="179"/>
      <c r="B64" s="177"/>
      <c r="C64" s="177"/>
      <c r="D64" s="177"/>
      <c r="E64" s="177"/>
      <c r="F64" s="177"/>
      <c r="G64" s="178"/>
      <c r="H64" s="179"/>
      <c r="I64" s="177"/>
      <c r="J64" s="177"/>
      <c r="K64" s="177"/>
      <c r="L64" s="177"/>
      <c r="M64" s="177"/>
      <c r="N64" s="178"/>
      <c r="O64" s="179"/>
      <c r="P64" s="177"/>
      <c r="Q64" s="177"/>
      <c r="R64" s="177"/>
      <c r="S64" s="177"/>
      <c r="T64" s="177"/>
      <c r="U64" s="178"/>
      <c r="V64" s="179"/>
      <c r="W64" s="177"/>
      <c r="X64" s="177"/>
      <c r="Y64" s="177"/>
      <c r="Z64" s="177"/>
      <c r="AA64" s="177"/>
      <c r="AB64" s="178"/>
      <c r="AC64" s="179"/>
      <c r="AD64" s="177"/>
      <c r="AE64" s="177"/>
      <c r="AF64" s="177"/>
      <c r="AG64" s="177"/>
      <c r="AH64" s="177"/>
      <c r="AI64" s="178"/>
      <c r="AJ64" s="179"/>
      <c r="AK64" s="177"/>
      <c r="AL64" s="177"/>
      <c r="AM64" s="177"/>
      <c r="AN64" s="177"/>
      <c r="AO64" s="177"/>
      <c r="AP64" s="178"/>
      <c r="AQ64" s="179"/>
      <c r="AR64" s="177"/>
      <c r="AS64" s="177"/>
      <c r="AT64" s="177"/>
      <c r="AU64" s="177"/>
      <c r="AV64" s="177"/>
      <c r="AW64" s="178"/>
      <c r="AX64" s="179"/>
      <c r="AY64" s="177"/>
      <c r="AZ64" s="177"/>
      <c r="BA64" s="177"/>
      <c r="BB64" s="177"/>
      <c r="BC64" s="177"/>
      <c r="BD64" s="178"/>
      <c r="BE64" s="179"/>
      <c r="BF64" s="177"/>
      <c r="BG64" s="177"/>
      <c r="BH64" s="177"/>
      <c r="BI64" s="177"/>
      <c r="BJ64" s="177"/>
      <c r="BK64" s="178"/>
      <c r="BL64" s="179"/>
      <c r="BM64" s="177"/>
      <c r="BN64" s="177"/>
      <c r="BO64" s="177"/>
      <c r="BP64" s="177"/>
      <c r="BQ64" s="177"/>
      <c r="BR64" s="178"/>
      <c r="BS64" s="179"/>
      <c r="BT64" s="177"/>
      <c r="BU64" s="177"/>
      <c r="BV64" s="177"/>
      <c r="BW64" s="177"/>
      <c r="BX64" s="177"/>
      <c r="BY64" s="178"/>
      <c r="BZ64" s="179"/>
      <c r="CA64" s="177"/>
      <c r="CB64" s="177"/>
      <c r="CC64" s="177"/>
      <c r="CD64" s="177"/>
      <c r="CE64" s="177"/>
      <c r="CF64" s="178"/>
      <c r="CG64" s="179"/>
      <c r="CH64" s="177"/>
      <c r="CI64" s="177"/>
      <c r="CJ64" s="177"/>
      <c r="CK64" s="177"/>
      <c r="CL64" s="177"/>
      <c r="CM64" s="178"/>
      <c r="CN64" s="179"/>
      <c r="CO64" s="177"/>
      <c r="CP64" s="177"/>
      <c r="CQ64" s="177"/>
      <c r="CR64" s="177"/>
      <c r="CS64" s="177"/>
      <c r="CT64" s="178"/>
      <c r="CU64" s="179"/>
      <c r="CV64" s="177"/>
      <c r="CW64" s="177"/>
      <c r="CX64" s="177"/>
      <c r="CY64" s="177"/>
      <c r="CZ64" s="177"/>
      <c r="DA64" s="178"/>
      <c r="DB64" s="179"/>
      <c r="DC64" s="177"/>
      <c r="DD64" s="177"/>
      <c r="DE64" s="177"/>
      <c r="DF64" s="177"/>
      <c r="DG64" s="177"/>
      <c r="DH64" s="178"/>
      <c r="DI64" s="179"/>
      <c r="DJ64" s="177"/>
      <c r="DK64" s="177"/>
      <c r="DL64" s="177"/>
      <c r="DM64" s="177"/>
      <c r="DN64" s="177"/>
      <c r="DO64" s="178"/>
      <c r="DP64" s="179"/>
      <c r="DQ64" s="177"/>
      <c r="DR64" s="177"/>
      <c r="DS64" s="177"/>
      <c r="DT64" s="177"/>
      <c r="DU64" s="177"/>
      <c r="DV64" s="178"/>
      <c r="DW64" s="179"/>
      <c r="DX64" s="177"/>
      <c r="DY64" s="177"/>
      <c r="DZ64" s="177"/>
      <c r="EA64" s="177"/>
      <c r="EB64" s="177"/>
      <c r="EC64" s="178"/>
      <c r="ED64" s="179"/>
      <c r="EE64" s="177"/>
      <c r="EF64" s="177"/>
      <c r="EG64" s="177"/>
      <c r="EH64" s="177"/>
      <c r="EI64" s="177"/>
      <c r="EJ64" s="178"/>
      <c r="EK64" s="179"/>
      <c r="EL64" s="177"/>
      <c r="EM64" s="177"/>
      <c r="EN64" s="177"/>
      <c r="EO64" s="177"/>
      <c r="EP64" s="177"/>
      <c r="EQ64" s="178"/>
      <c r="ER64" s="179"/>
      <c r="ES64" s="177"/>
      <c r="ET64" s="177"/>
      <c r="EU64" s="177"/>
      <c r="EV64" s="177"/>
      <c r="EW64" s="177"/>
      <c r="EX64" s="178"/>
      <c r="EY64" s="179"/>
      <c r="EZ64" s="177"/>
      <c r="FA64" s="177"/>
      <c r="FB64" s="177"/>
      <c r="FC64" s="177"/>
      <c r="FD64" s="177"/>
      <c r="FE64" s="178"/>
      <c r="FF64" s="179"/>
      <c r="FG64" s="177"/>
      <c r="FH64" s="177"/>
      <c r="FI64" s="177"/>
      <c r="FJ64" s="177"/>
      <c r="FK64" s="177"/>
      <c r="FL64" s="178"/>
      <c r="FM64" s="179"/>
      <c r="FN64" s="177"/>
      <c r="FO64" s="177"/>
      <c r="FP64" s="177"/>
      <c r="FQ64" s="177"/>
      <c r="FR64" s="177"/>
      <c r="FS64" s="178"/>
      <c r="FT64" s="179"/>
      <c r="FU64" s="177"/>
      <c r="FV64" s="177"/>
      <c r="FW64" s="177"/>
      <c r="FX64" s="177"/>
      <c r="FY64" s="177"/>
      <c r="FZ64" s="178"/>
      <c r="GA64" s="179"/>
      <c r="GB64" s="177"/>
      <c r="GC64" s="177"/>
      <c r="GD64" s="177"/>
      <c r="GE64" s="177"/>
      <c r="GF64" s="177"/>
      <c r="GG64" s="178"/>
      <c r="GH64" s="179"/>
      <c r="GI64" s="177"/>
      <c r="GJ64" s="177"/>
      <c r="GK64" s="177"/>
      <c r="GL64" s="177"/>
      <c r="GM64" s="177"/>
      <c r="GN64" s="178"/>
      <c r="GO64" s="179"/>
      <c r="GP64" s="177"/>
      <c r="GQ64" s="177"/>
      <c r="GR64" s="177"/>
      <c r="GS64" s="177"/>
      <c r="GT64" s="177"/>
      <c r="GU64" s="178"/>
      <c r="GV64" s="179"/>
      <c r="GW64" s="177"/>
      <c r="GX64" s="177"/>
      <c r="GY64" s="177"/>
      <c r="GZ64" s="177"/>
      <c r="HA64" s="177"/>
      <c r="HB64" s="178"/>
      <c r="HC64" s="179"/>
      <c r="HD64" s="177"/>
      <c r="HE64" s="177"/>
      <c r="HF64" s="177"/>
      <c r="HG64" s="177"/>
      <c r="HH64" s="177"/>
      <c r="HI64" s="178"/>
      <c r="HJ64" s="179"/>
      <c r="HK64" s="177"/>
      <c r="HL64" s="177"/>
      <c r="HM64" s="177"/>
      <c r="HN64" s="177"/>
      <c r="HO64" s="177"/>
      <c r="HP64" s="178"/>
      <c r="HQ64" s="179"/>
      <c r="HR64" s="177"/>
      <c r="HS64" s="177"/>
      <c r="HT64" s="177"/>
      <c r="HU64" s="177"/>
      <c r="HV64" s="177"/>
      <c r="HW64" s="178"/>
      <c r="HX64" s="179"/>
      <c r="HY64" s="177"/>
      <c r="HZ64" s="177"/>
      <c r="IA64" s="177"/>
      <c r="IB64" s="177"/>
      <c r="IC64" s="177"/>
      <c r="ID64" s="178"/>
      <c r="IE64" s="179"/>
      <c r="IF64" s="177"/>
      <c r="IG64" s="177"/>
      <c r="IH64" s="177"/>
      <c r="II64" s="177"/>
      <c r="IJ64" s="177"/>
      <c r="IK64" s="178"/>
      <c r="IL64" s="179"/>
      <c r="IM64" s="177"/>
      <c r="IN64" s="177"/>
      <c r="IO64" s="177"/>
      <c r="IP64" s="177"/>
      <c r="IQ64" s="177"/>
      <c r="IR64" s="178"/>
      <c r="IS64" s="179"/>
      <c r="IT64" s="177"/>
      <c r="IU64" s="177"/>
      <c r="IV64" s="177"/>
    </row>
    <row r="65" spans="1:256" ht="13.5" customHeight="1" x14ac:dyDescent="0.2">
      <c r="A65" s="862" t="s">
        <v>1</v>
      </c>
      <c r="B65" s="863"/>
      <c r="C65" s="863"/>
      <c r="D65" s="863"/>
      <c r="E65" s="863"/>
      <c r="F65" s="863"/>
      <c r="G65" s="864"/>
      <c r="H65" s="179"/>
      <c r="I65" s="177"/>
      <c r="J65" s="177"/>
      <c r="K65" s="177"/>
      <c r="L65" s="177"/>
      <c r="M65" s="177"/>
      <c r="N65" s="178"/>
      <c r="O65" s="179"/>
      <c r="P65" s="177"/>
      <c r="Q65" s="177"/>
      <c r="R65" s="177"/>
      <c r="S65" s="177"/>
      <c r="T65" s="177"/>
      <c r="U65" s="178"/>
      <c r="V65" s="179"/>
      <c r="W65" s="177"/>
      <c r="X65" s="177"/>
      <c r="Y65" s="177"/>
      <c r="Z65" s="177"/>
      <c r="AA65" s="177"/>
      <c r="AB65" s="178"/>
      <c r="AC65" s="179"/>
      <c r="AD65" s="177"/>
      <c r="AE65" s="177"/>
      <c r="AF65" s="177"/>
      <c r="AG65" s="177"/>
      <c r="AH65" s="177"/>
      <c r="AI65" s="178"/>
      <c r="AJ65" s="179"/>
      <c r="AK65" s="177"/>
      <c r="AL65" s="177"/>
      <c r="AM65" s="177"/>
      <c r="AN65" s="177"/>
      <c r="AO65" s="177"/>
      <c r="AP65" s="178"/>
      <c r="AQ65" s="179"/>
      <c r="AR65" s="177"/>
      <c r="AS65" s="177"/>
      <c r="AT65" s="177"/>
      <c r="AU65" s="177"/>
      <c r="AV65" s="177"/>
      <c r="AW65" s="178"/>
      <c r="AX65" s="179"/>
      <c r="AY65" s="177"/>
      <c r="AZ65" s="177"/>
      <c r="BA65" s="177"/>
      <c r="BB65" s="177"/>
      <c r="BC65" s="177"/>
      <c r="BD65" s="178"/>
      <c r="BE65" s="179"/>
      <c r="BF65" s="177"/>
      <c r="BG65" s="177"/>
      <c r="BH65" s="177"/>
      <c r="BI65" s="177"/>
      <c r="BJ65" s="177"/>
      <c r="BK65" s="178"/>
      <c r="BL65" s="179"/>
      <c r="BM65" s="177"/>
      <c r="BN65" s="177"/>
      <c r="BO65" s="177"/>
      <c r="BP65" s="177"/>
      <c r="BQ65" s="177"/>
      <c r="BR65" s="178"/>
      <c r="BS65" s="179"/>
      <c r="BT65" s="177"/>
      <c r="BU65" s="177"/>
      <c r="BV65" s="177"/>
      <c r="BW65" s="177"/>
      <c r="BX65" s="177"/>
      <c r="BY65" s="178"/>
      <c r="BZ65" s="179"/>
      <c r="CA65" s="177"/>
      <c r="CB65" s="177"/>
      <c r="CC65" s="177"/>
      <c r="CD65" s="177"/>
      <c r="CE65" s="177"/>
      <c r="CF65" s="178"/>
      <c r="CG65" s="179"/>
      <c r="CH65" s="177"/>
      <c r="CI65" s="177"/>
      <c r="CJ65" s="177"/>
      <c r="CK65" s="177"/>
      <c r="CL65" s="177"/>
      <c r="CM65" s="178"/>
      <c r="CN65" s="179"/>
      <c r="CO65" s="177"/>
      <c r="CP65" s="177"/>
      <c r="CQ65" s="177"/>
      <c r="CR65" s="177"/>
      <c r="CS65" s="177"/>
      <c r="CT65" s="178"/>
      <c r="CU65" s="179"/>
      <c r="CV65" s="177"/>
      <c r="CW65" s="177"/>
      <c r="CX65" s="177"/>
      <c r="CY65" s="177"/>
      <c r="CZ65" s="177"/>
      <c r="DA65" s="178"/>
      <c r="DB65" s="179"/>
      <c r="DC65" s="177"/>
      <c r="DD65" s="177"/>
      <c r="DE65" s="177"/>
      <c r="DF65" s="177"/>
      <c r="DG65" s="177"/>
      <c r="DH65" s="178"/>
      <c r="DI65" s="179"/>
      <c r="DJ65" s="177"/>
      <c r="DK65" s="177"/>
      <c r="DL65" s="177"/>
      <c r="DM65" s="177"/>
      <c r="DN65" s="177"/>
      <c r="DO65" s="178"/>
      <c r="DP65" s="179"/>
      <c r="DQ65" s="177"/>
      <c r="DR65" s="177"/>
      <c r="DS65" s="177"/>
      <c r="DT65" s="177"/>
      <c r="DU65" s="177"/>
      <c r="DV65" s="178"/>
      <c r="DW65" s="179"/>
      <c r="DX65" s="177"/>
      <c r="DY65" s="177"/>
      <c r="DZ65" s="177"/>
      <c r="EA65" s="177"/>
      <c r="EB65" s="177"/>
      <c r="EC65" s="178"/>
      <c r="ED65" s="179"/>
      <c r="EE65" s="177"/>
      <c r="EF65" s="177"/>
      <c r="EG65" s="177"/>
      <c r="EH65" s="177"/>
      <c r="EI65" s="177"/>
      <c r="EJ65" s="178"/>
      <c r="EK65" s="179"/>
      <c r="EL65" s="177"/>
      <c r="EM65" s="177"/>
      <c r="EN65" s="177"/>
      <c r="EO65" s="177"/>
      <c r="EP65" s="177"/>
      <c r="EQ65" s="178"/>
      <c r="ER65" s="179"/>
      <c r="ES65" s="177"/>
      <c r="ET65" s="177"/>
      <c r="EU65" s="177"/>
      <c r="EV65" s="177"/>
      <c r="EW65" s="177"/>
      <c r="EX65" s="178"/>
      <c r="EY65" s="179"/>
      <c r="EZ65" s="177"/>
      <c r="FA65" s="177"/>
      <c r="FB65" s="177"/>
      <c r="FC65" s="177"/>
      <c r="FD65" s="177"/>
      <c r="FE65" s="178"/>
      <c r="FF65" s="179"/>
      <c r="FG65" s="177"/>
      <c r="FH65" s="177"/>
      <c r="FI65" s="177"/>
      <c r="FJ65" s="177"/>
      <c r="FK65" s="177"/>
      <c r="FL65" s="178"/>
      <c r="FM65" s="179"/>
      <c r="FN65" s="177"/>
      <c r="FO65" s="177"/>
      <c r="FP65" s="177"/>
      <c r="FQ65" s="177"/>
      <c r="FR65" s="177"/>
      <c r="FS65" s="178"/>
      <c r="FT65" s="179"/>
      <c r="FU65" s="177"/>
      <c r="FV65" s="177"/>
      <c r="FW65" s="177"/>
      <c r="FX65" s="177"/>
      <c r="FY65" s="177"/>
      <c r="FZ65" s="178"/>
      <c r="GA65" s="179"/>
      <c r="GB65" s="177"/>
      <c r="GC65" s="177"/>
      <c r="GD65" s="177"/>
      <c r="GE65" s="177"/>
      <c r="GF65" s="177"/>
      <c r="GG65" s="178"/>
      <c r="GH65" s="179"/>
      <c r="GI65" s="177"/>
      <c r="GJ65" s="177"/>
      <c r="GK65" s="177"/>
      <c r="GL65" s="177"/>
      <c r="GM65" s="177"/>
      <c r="GN65" s="178"/>
      <c r="GO65" s="179"/>
      <c r="GP65" s="177"/>
      <c r="GQ65" s="177"/>
      <c r="GR65" s="177"/>
      <c r="GS65" s="177"/>
      <c r="GT65" s="177"/>
      <c r="GU65" s="178"/>
      <c r="GV65" s="179"/>
      <c r="GW65" s="177"/>
      <c r="GX65" s="177"/>
      <c r="GY65" s="177"/>
      <c r="GZ65" s="177"/>
      <c r="HA65" s="177"/>
      <c r="HB65" s="178"/>
      <c r="HC65" s="179"/>
      <c r="HD65" s="177"/>
      <c r="HE65" s="177"/>
      <c r="HF65" s="177"/>
      <c r="HG65" s="177"/>
      <c r="HH65" s="177"/>
      <c r="HI65" s="178"/>
      <c r="HJ65" s="179"/>
      <c r="HK65" s="177"/>
      <c r="HL65" s="177"/>
      <c r="HM65" s="177"/>
      <c r="HN65" s="177"/>
      <c r="HO65" s="177"/>
      <c r="HP65" s="178"/>
      <c r="HQ65" s="179"/>
      <c r="HR65" s="177"/>
      <c r="HS65" s="177"/>
      <c r="HT65" s="177"/>
      <c r="HU65" s="177"/>
      <c r="HV65" s="177"/>
      <c r="HW65" s="178"/>
      <c r="HX65" s="179"/>
      <c r="HY65" s="177"/>
      <c r="HZ65" s="177"/>
      <c r="IA65" s="177"/>
      <c r="IB65" s="177"/>
      <c r="IC65" s="177"/>
      <c r="ID65" s="178"/>
      <c r="IE65" s="179"/>
      <c r="IF65" s="177"/>
      <c r="IG65" s="177"/>
      <c r="IH65" s="177"/>
      <c r="II65" s="177"/>
      <c r="IJ65" s="177"/>
      <c r="IK65" s="178"/>
      <c r="IL65" s="179"/>
      <c r="IM65" s="177"/>
      <c r="IN65" s="177"/>
      <c r="IO65" s="177"/>
      <c r="IP65" s="177"/>
      <c r="IQ65" s="177"/>
      <c r="IR65" s="178"/>
      <c r="IS65" s="179"/>
      <c r="IT65" s="177"/>
      <c r="IU65" s="177"/>
      <c r="IV65" s="177"/>
    </row>
    <row r="66" spans="1:256" x14ac:dyDescent="0.2">
      <c r="A66" s="862"/>
      <c r="B66" s="863"/>
      <c r="C66" s="863"/>
      <c r="D66" s="863"/>
      <c r="E66" s="863"/>
      <c r="F66" s="863"/>
      <c r="G66" s="864"/>
      <c r="H66" s="179"/>
      <c r="I66" s="177"/>
      <c r="J66" s="177"/>
      <c r="K66" s="177"/>
      <c r="L66" s="177"/>
      <c r="M66" s="177"/>
      <c r="N66" s="178"/>
      <c r="O66" s="179"/>
      <c r="P66" s="177"/>
      <c r="Q66" s="177"/>
      <c r="R66" s="177"/>
      <c r="S66" s="177"/>
      <c r="T66" s="177"/>
      <c r="U66" s="178"/>
      <c r="V66" s="179"/>
      <c r="W66" s="177"/>
      <c r="X66" s="177"/>
      <c r="Y66" s="177"/>
      <c r="Z66" s="177"/>
      <c r="AA66" s="177"/>
      <c r="AB66" s="178"/>
      <c r="AC66" s="179"/>
      <c r="AD66" s="177"/>
      <c r="AE66" s="177"/>
      <c r="AF66" s="177"/>
      <c r="AG66" s="177"/>
      <c r="AH66" s="177"/>
      <c r="AI66" s="178"/>
      <c r="AJ66" s="179"/>
      <c r="AK66" s="177"/>
      <c r="AL66" s="177"/>
      <c r="AM66" s="177"/>
      <c r="AN66" s="177"/>
      <c r="AO66" s="177"/>
      <c r="AP66" s="178"/>
      <c r="AQ66" s="179"/>
      <c r="AR66" s="177"/>
      <c r="AS66" s="177"/>
      <c r="AT66" s="177"/>
      <c r="AU66" s="177"/>
      <c r="AV66" s="177"/>
      <c r="AW66" s="178"/>
      <c r="AX66" s="179"/>
      <c r="AY66" s="177"/>
      <c r="AZ66" s="177"/>
      <c r="BA66" s="177"/>
      <c r="BB66" s="177"/>
      <c r="BC66" s="177"/>
      <c r="BD66" s="178"/>
      <c r="BE66" s="179"/>
      <c r="BF66" s="177"/>
      <c r="BG66" s="177"/>
      <c r="BH66" s="177"/>
      <c r="BI66" s="177"/>
      <c r="BJ66" s="177"/>
      <c r="BK66" s="178"/>
      <c r="BL66" s="179"/>
      <c r="BM66" s="177"/>
      <c r="BN66" s="177"/>
      <c r="BO66" s="177"/>
      <c r="BP66" s="177"/>
      <c r="BQ66" s="177"/>
      <c r="BR66" s="178"/>
      <c r="BS66" s="179"/>
      <c r="BT66" s="177"/>
      <c r="BU66" s="177"/>
      <c r="BV66" s="177"/>
      <c r="BW66" s="177"/>
      <c r="BX66" s="177"/>
      <c r="BY66" s="178"/>
      <c r="BZ66" s="179"/>
      <c r="CA66" s="177"/>
      <c r="CB66" s="177"/>
      <c r="CC66" s="177"/>
      <c r="CD66" s="177"/>
      <c r="CE66" s="177"/>
      <c r="CF66" s="178"/>
      <c r="CG66" s="179"/>
      <c r="CH66" s="177"/>
      <c r="CI66" s="177"/>
      <c r="CJ66" s="177"/>
      <c r="CK66" s="177"/>
      <c r="CL66" s="177"/>
      <c r="CM66" s="178"/>
      <c r="CN66" s="179"/>
      <c r="CO66" s="177"/>
      <c r="CP66" s="177"/>
      <c r="CQ66" s="177"/>
      <c r="CR66" s="177"/>
      <c r="CS66" s="177"/>
      <c r="CT66" s="178"/>
      <c r="CU66" s="179"/>
      <c r="CV66" s="177"/>
      <c r="CW66" s="177"/>
      <c r="CX66" s="177"/>
      <c r="CY66" s="177"/>
      <c r="CZ66" s="177"/>
      <c r="DA66" s="178"/>
      <c r="DB66" s="179"/>
      <c r="DC66" s="177"/>
      <c r="DD66" s="177"/>
      <c r="DE66" s="177"/>
      <c r="DF66" s="177"/>
      <c r="DG66" s="177"/>
      <c r="DH66" s="178"/>
      <c r="DI66" s="179"/>
      <c r="DJ66" s="177"/>
      <c r="DK66" s="177"/>
      <c r="DL66" s="177"/>
      <c r="DM66" s="177"/>
      <c r="DN66" s="177"/>
      <c r="DO66" s="178"/>
      <c r="DP66" s="179"/>
      <c r="DQ66" s="177"/>
      <c r="DR66" s="177"/>
      <c r="DS66" s="177"/>
      <c r="DT66" s="177"/>
      <c r="DU66" s="177"/>
      <c r="DV66" s="178"/>
      <c r="DW66" s="179"/>
      <c r="DX66" s="177"/>
      <c r="DY66" s="177"/>
      <c r="DZ66" s="177"/>
      <c r="EA66" s="177"/>
      <c r="EB66" s="177"/>
      <c r="EC66" s="178"/>
      <c r="ED66" s="179"/>
      <c r="EE66" s="177"/>
      <c r="EF66" s="177"/>
      <c r="EG66" s="177"/>
      <c r="EH66" s="177"/>
      <c r="EI66" s="177"/>
      <c r="EJ66" s="178"/>
      <c r="EK66" s="179"/>
      <c r="EL66" s="177"/>
      <c r="EM66" s="177"/>
      <c r="EN66" s="177"/>
      <c r="EO66" s="177"/>
      <c r="EP66" s="177"/>
      <c r="EQ66" s="178"/>
      <c r="ER66" s="179"/>
      <c r="ES66" s="177"/>
      <c r="ET66" s="177"/>
      <c r="EU66" s="177"/>
      <c r="EV66" s="177"/>
      <c r="EW66" s="177"/>
      <c r="EX66" s="178"/>
      <c r="EY66" s="179"/>
      <c r="EZ66" s="177"/>
      <c r="FA66" s="177"/>
      <c r="FB66" s="177"/>
      <c r="FC66" s="177"/>
      <c r="FD66" s="177"/>
      <c r="FE66" s="178"/>
      <c r="FF66" s="179"/>
      <c r="FG66" s="177"/>
      <c r="FH66" s="177"/>
      <c r="FI66" s="177"/>
      <c r="FJ66" s="177"/>
      <c r="FK66" s="177"/>
      <c r="FL66" s="178"/>
      <c r="FM66" s="179"/>
      <c r="FN66" s="177"/>
      <c r="FO66" s="177"/>
      <c r="FP66" s="177"/>
      <c r="FQ66" s="177"/>
      <c r="FR66" s="177"/>
      <c r="FS66" s="178"/>
      <c r="FT66" s="179"/>
      <c r="FU66" s="177"/>
      <c r="FV66" s="177"/>
      <c r="FW66" s="177"/>
      <c r="FX66" s="177"/>
      <c r="FY66" s="177"/>
      <c r="FZ66" s="178"/>
      <c r="GA66" s="179"/>
      <c r="GB66" s="177"/>
      <c r="GC66" s="177"/>
      <c r="GD66" s="177"/>
      <c r="GE66" s="177"/>
      <c r="GF66" s="177"/>
      <c r="GG66" s="178"/>
      <c r="GH66" s="179"/>
      <c r="GI66" s="177"/>
      <c r="GJ66" s="177"/>
      <c r="GK66" s="177"/>
      <c r="GL66" s="177"/>
      <c r="GM66" s="177"/>
      <c r="GN66" s="178"/>
      <c r="GO66" s="179"/>
      <c r="GP66" s="177"/>
      <c r="GQ66" s="177"/>
      <c r="GR66" s="177"/>
      <c r="GS66" s="177"/>
      <c r="GT66" s="177"/>
      <c r="GU66" s="178"/>
      <c r="GV66" s="179"/>
      <c r="GW66" s="177"/>
      <c r="GX66" s="177"/>
      <c r="GY66" s="177"/>
      <c r="GZ66" s="177"/>
      <c r="HA66" s="177"/>
      <c r="HB66" s="178"/>
      <c r="HC66" s="179"/>
      <c r="HD66" s="177"/>
      <c r="HE66" s="177"/>
      <c r="HF66" s="177"/>
      <c r="HG66" s="177"/>
      <c r="HH66" s="177"/>
      <c r="HI66" s="178"/>
      <c r="HJ66" s="179"/>
      <c r="HK66" s="177"/>
      <c r="HL66" s="177"/>
      <c r="HM66" s="177"/>
      <c r="HN66" s="177"/>
      <c r="HO66" s="177"/>
      <c r="HP66" s="178"/>
      <c r="HQ66" s="179"/>
      <c r="HR66" s="177"/>
      <c r="HS66" s="177"/>
      <c r="HT66" s="177"/>
      <c r="HU66" s="177"/>
      <c r="HV66" s="177"/>
      <c r="HW66" s="178"/>
      <c r="HX66" s="179"/>
      <c r="HY66" s="177"/>
      <c r="HZ66" s="177"/>
      <c r="IA66" s="177"/>
      <c r="IB66" s="177"/>
      <c r="IC66" s="177"/>
      <c r="ID66" s="178"/>
      <c r="IE66" s="179"/>
      <c r="IF66" s="177"/>
      <c r="IG66" s="177"/>
      <c r="IH66" s="177"/>
      <c r="II66" s="177"/>
      <c r="IJ66" s="177"/>
      <c r="IK66" s="178"/>
      <c r="IL66" s="179"/>
      <c r="IM66" s="177"/>
      <c r="IN66" s="177"/>
      <c r="IO66" s="177"/>
      <c r="IP66" s="177"/>
      <c r="IQ66" s="177"/>
      <c r="IR66" s="178"/>
      <c r="IS66" s="179"/>
      <c r="IT66" s="177"/>
      <c r="IU66" s="177"/>
      <c r="IV66" s="177"/>
    </row>
    <row r="67" spans="1:256" ht="12.75" customHeight="1" x14ac:dyDescent="0.2">
      <c r="A67" s="855" t="s">
        <v>536</v>
      </c>
      <c r="B67" s="856"/>
      <c r="C67" s="856"/>
      <c r="D67" s="856"/>
      <c r="E67" s="856"/>
      <c r="F67" s="856"/>
      <c r="G67" s="857"/>
      <c r="H67" s="179"/>
      <c r="I67" s="177"/>
      <c r="J67" s="177"/>
      <c r="K67" s="177"/>
      <c r="L67" s="177"/>
      <c r="M67" s="177"/>
      <c r="N67" s="178"/>
      <c r="O67" s="179"/>
      <c r="P67" s="177"/>
      <c r="Q67" s="177"/>
      <c r="R67" s="177"/>
      <c r="S67" s="177"/>
      <c r="T67" s="177"/>
      <c r="U67" s="178"/>
      <c r="V67" s="179"/>
      <c r="W67" s="177"/>
      <c r="X67" s="177"/>
      <c r="Y67" s="177"/>
      <c r="Z67" s="177"/>
      <c r="AA67" s="177"/>
      <c r="AB67" s="178"/>
      <c r="AC67" s="179"/>
      <c r="AD67" s="177"/>
      <c r="AE67" s="177"/>
      <c r="AF67" s="177"/>
      <c r="AG67" s="177"/>
      <c r="AH67" s="177"/>
      <c r="AI67" s="178"/>
      <c r="AJ67" s="179"/>
      <c r="AK67" s="177"/>
      <c r="AL67" s="177"/>
      <c r="AM67" s="177"/>
      <c r="AN67" s="177"/>
      <c r="AO67" s="177"/>
      <c r="AP67" s="178"/>
      <c r="AQ67" s="179"/>
      <c r="AR67" s="177"/>
      <c r="AS67" s="177"/>
      <c r="AT67" s="177"/>
      <c r="AU67" s="177"/>
      <c r="AV67" s="177"/>
      <c r="AW67" s="178"/>
      <c r="AX67" s="179"/>
      <c r="AY67" s="177"/>
      <c r="AZ67" s="177"/>
      <c r="BA67" s="177"/>
      <c r="BB67" s="177"/>
      <c r="BC67" s="177"/>
      <c r="BD67" s="178"/>
      <c r="BE67" s="179"/>
      <c r="BF67" s="177"/>
      <c r="BG67" s="177"/>
      <c r="BH67" s="177"/>
      <c r="BI67" s="177"/>
      <c r="BJ67" s="177"/>
      <c r="BK67" s="178"/>
      <c r="BL67" s="179"/>
      <c r="BM67" s="177"/>
      <c r="BN67" s="177"/>
      <c r="BO67" s="177"/>
      <c r="BP67" s="177"/>
      <c r="BQ67" s="177"/>
      <c r="BR67" s="178"/>
      <c r="BS67" s="179"/>
      <c r="BT67" s="177"/>
      <c r="BU67" s="177"/>
      <c r="BV67" s="177"/>
      <c r="BW67" s="177"/>
      <c r="BX67" s="177"/>
      <c r="BY67" s="178"/>
      <c r="BZ67" s="179"/>
      <c r="CA67" s="177"/>
      <c r="CB67" s="177"/>
      <c r="CC67" s="177"/>
      <c r="CD67" s="177"/>
      <c r="CE67" s="177"/>
      <c r="CF67" s="178"/>
      <c r="CG67" s="179"/>
      <c r="CH67" s="177"/>
      <c r="CI67" s="177"/>
      <c r="CJ67" s="177"/>
      <c r="CK67" s="177"/>
      <c r="CL67" s="177"/>
      <c r="CM67" s="178"/>
      <c r="CN67" s="179"/>
      <c r="CO67" s="177"/>
      <c r="CP67" s="177"/>
      <c r="CQ67" s="177"/>
      <c r="CR67" s="177"/>
      <c r="CS67" s="177"/>
      <c r="CT67" s="178"/>
      <c r="CU67" s="179"/>
      <c r="CV67" s="177"/>
      <c r="CW67" s="177"/>
      <c r="CX67" s="177"/>
      <c r="CY67" s="177"/>
      <c r="CZ67" s="177"/>
      <c r="DA67" s="178"/>
      <c r="DB67" s="179"/>
      <c r="DC67" s="177"/>
      <c r="DD67" s="177"/>
      <c r="DE67" s="177"/>
      <c r="DF67" s="177"/>
      <c r="DG67" s="177"/>
      <c r="DH67" s="178"/>
      <c r="DI67" s="179"/>
      <c r="DJ67" s="177"/>
      <c r="DK67" s="177"/>
      <c r="DL67" s="177"/>
      <c r="DM67" s="177"/>
      <c r="DN67" s="177"/>
      <c r="DO67" s="178"/>
      <c r="DP67" s="179"/>
      <c r="DQ67" s="177"/>
      <c r="DR67" s="177"/>
      <c r="DS67" s="177"/>
      <c r="DT67" s="177"/>
      <c r="DU67" s="177"/>
      <c r="DV67" s="178"/>
      <c r="DW67" s="179"/>
      <c r="DX67" s="177"/>
      <c r="DY67" s="177"/>
      <c r="DZ67" s="177"/>
      <c r="EA67" s="177"/>
      <c r="EB67" s="177"/>
      <c r="EC67" s="178"/>
      <c r="ED67" s="179"/>
      <c r="EE67" s="177"/>
      <c r="EF67" s="177"/>
      <c r="EG67" s="177"/>
      <c r="EH67" s="177"/>
      <c r="EI67" s="177"/>
      <c r="EJ67" s="178"/>
      <c r="EK67" s="179"/>
      <c r="EL67" s="177"/>
      <c r="EM67" s="177"/>
      <c r="EN67" s="177"/>
      <c r="EO67" s="177"/>
      <c r="EP67" s="177"/>
      <c r="EQ67" s="178"/>
      <c r="ER67" s="179"/>
      <c r="ES67" s="177"/>
      <c r="ET67" s="177"/>
      <c r="EU67" s="177"/>
      <c r="EV67" s="177"/>
      <c r="EW67" s="177"/>
      <c r="EX67" s="178"/>
      <c r="EY67" s="179"/>
      <c r="EZ67" s="177"/>
      <c r="FA67" s="177"/>
      <c r="FB67" s="177"/>
      <c r="FC67" s="177"/>
      <c r="FD67" s="177"/>
      <c r="FE67" s="178"/>
      <c r="FF67" s="179"/>
      <c r="FG67" s="177"/>
      <c r="FH67" s="177"/>
      <c r="FI67" s="177"/>
      <c r="FJ67" s="177"/>
      <c r="FK67" s="177"/>
      <c r="FL67" s="178"/>
      <c r="FM67" s="179"/>
      <c r="FN67" s="177"/>
      <c r="FO67" s="177"/>
      <c r="FP67" s="177"/>
      <c r="FQ67" s="177"/>
      <c r="FR67" s="177"/>
      <c r="FS67" s="178"/>
      <c r="FT67" s="179"/>
      <c r="FU67" s="177"/>
      <c r="FV67" s="177"/>
      <c r="FW67" s="177"/>
      <c r="FX67" s="177"/>
      <c r="FY67" s="177"/>
      <c r="FZ67" s="178"/>
      <c r="GA67" s="179"/>
      <c r="GB67" s="177"/>
      <c r="GC67" s="177"/>
      <c r="GD67" s="177"/>
      <c r="GE67" s="177"/>
      <c r="GF67" s="177"/>
      <c r="GG67" s="178"/>
      <c r="GH67" s="179"/>
      <c r="GI67" s="177"/>
      <c r="GJ67" s="177"/>
      <c r="GK67" s="177"/>
      <c r="GL67" s="177"/>
      <c r="GM67" s="177"/>
      <c r="GN67" s="178"/>
      <c r="GO67" s="179"/>
      <c r="GP67" s="177"/>
      <c r="GQ67" s="177"/>
      <c r="GR67" s="177"/>
      <c r="GS67" s="177"/>
      <c r="GT67" s="177"/>
      <c r="GU67" s="178"/>
      <c r="GV67" s="179"/>
      <c r="GW67" s="177"/>
      <c r="GX67" s="177"/>
      <c r="GY67" s="177"/>
      <c r="GZ67" s="177"/>
      <c r="HA67" s="177"/>
      <c r="HB67" s="178"/>
      <c r="HC67" s="179"/>
      <c r="HD67" s="177"/>
      <c r="HE67" s="177"/>
      <c r="HF67" s="177"/>
      <c r="HG67" s="177"/>
      <c r="HH67" s="177"/>
      <c r="HI67" s="178"/>
      <c r="HJ67" s="179"/>
      <c r="HK67" s="177"/>
      <c r="HL67" s="177"/>
      <c r="HM67" s="177"/>
      <c r="HN67" s="177"/>
      <c r="HO67" s="177"/>
      <c r="HP67" s="178"/>
      <c r="HQ67" s="179"/>
      <c r="HR67" s="177"/>
      <c r="HS67" s="177"/>
      <c r="HT67" s="177"/>
      <c r="HU67" s="177"/>
      <c r="HV67" s="177"/>
      <c r="HW67" s="178"/>
      <c r="HX67" s="179"/>
      <c r="HY67" s="177"/>
      <c r="HZ67" s="177"/>
      <c r="IA67" s="177"/>
      <c r="IB67" s="177"/>
      <c r="IC67" s="177"/>
      <c r="ID67" s="178"/>
      <c r="IE67" s="179"/>
      <c r="IF67" s="177"/>
      <c r="IG67" s="177"/>
      <c r="IH67" s="177"/>
      <c r="II67" s="177"/>
      <c r="IJ67" s="177"/>
      <c r="IK67" s="178"/>
      <c r="IL67" s="179"/>
      <c r="IM67" s="177"/>
      <c r="IN67" s="177"/>
      <c r="IO67" s="177"/>
      <c r="IP67" s="177"/>
      <c r="IQ67" s="177"/>
      <c r="IR67" s="178"/>
      <c r="IS67" s="179"/>
      <c r="IT67" s="177"/>
      <c r="IU67" s="177"/>
      <c r="IV67" s="177"/>
    </row>
    <row r="68" spans="1:256" ht="12.75" customHeight="1" x14ac:dyDescent="0.2">
      <c r="A68" s="855"/>
      <c r="B68" s="856"/>
      <c r="C68" s="856"/>
      <c r="D68" s="856"/>
      <c r="E68" s="856"/>
      <c r="F68" s="856"/>
      <c r="G68" s="857"/>
      <c r="H68" s="179"/>
      <c r="I68" s="177"/>
      <c r="J68" s="177"/>
      <c r="K68" s="177"/>
      <c r="L68" s="177"/>
      <c r="M68" s="177"/>
      <c r="N68" s="178"/>
      <c r="O68" s="179"/>
      <c r="P68" s="177"/>
      <c r="Q68" s="177"/>
      <c r="R68" s="177"/>
      <c r="S68" s="177"/>
      <c r="T68" s="177"/>
      <c r="U68" s="178"/>
      <c r="V68" s="179"/>
      <c r="W68" s="177"/>
      <c r="X68" s="177"/>
      <c r="Y68" s="177"/>
      <c r="Z68" s="177"/>
      <c r="AA68" s="177"/>
      <c r="AB68" s="178"/>
      <c r="AC68" s="179"/>
      <c r="AD68" s="177"/>
      <c r="AE68" s="177"/>
      <c r="AF68" s="177"/>
      <c r="AG68" s="177"/>
      <c r="AH68" s="177"/>
      <c r="AI68" s="178"/>
      <c r="AJ68" s="179"/>
      <c r="AK68" s="177"/>
      <c r="AL68" s="177"/>
      <c r="AM68" s="177"/>
      <c r="AN68" s="177"/>
      <c r="AO68" s="177"/>
      <c r="AP68" s="178"/>
      <c r="AQ68" s="179"/>
      <c r="AR68" s="177"/>
      <c r="AS68" s="177"/>
      <c r="AT68" s="177"/>
      <c r="AU68" s="177"/>
      <c r="AV68" s="177"/>
      <c r="AW68" s="178"/>
      <c r="AX68" s="179"/>
      <c r="AY68" s="177"/>
      <c r="AZ68" s="177"/>
      <c r="BA68" s="177"/>
      <c r="BB68" s="177"/>
      <c r="BC68" s="177"/>
      <c r="BD68" s="178"/>
      <c r="BE68" s="179"/>
      <c r="BF68" s="177"/>
      <c r="BG68" s="177"/>
      <c r="BH68" s="177"/>
      <c r="BI68" s="177"/>
      <c r="BJ68" s="177"/>
      <c r="BK68" s="178"/>
      <c r="BL68" s="179"/>
      <c r="BM68" s="177"/>
      <c r="BN68" s="177"/>
      <c r="BO68" s="177"/>
      <c r="BP68" s="177"/>
      <c r="BQ68" s="177"/>
      <c r="BR68" s="178"/>
      <c r="BS68" s="179"/>
      <c r="BT68" s="177"/>
      <c r="BU68" s="177"/>
      <c r="BV68" s="177"/>
      <c r="BW68" s="177"/>
      <c r="BX68" s="177"/>
      <c r="BY68" s="178"/>
      <c r="BZ68" s="179"/>
      <c r="CA68" s="177"/>
      <c r="CB68" s="177"/>
      <c r="CC68" s="177"/>
      <c r="CD68" s="177"/>
      <c r="CE68" s="177"/>
      <c r="CF68" s="178"/>
      <c r="CG68" s="179"/>
      <c r="CH68" s="177"/>
      <c r="CI68" s="177"/>
      <c r="CJ68" s="177"/>
      <c r="CK68" s="177"/>
      <c r="CL68" s="177"/>
      <c r="CM68" s="178"/>
      <c r="CN68" s="179"/>
      <c r="CO68" s="177"/>
      <c r="CP68" s="177"/>
      <c r="CQ68" s="177"/>
      <c r="CR68" s="177"/>
      <c r="CS68" s="177"/>
      <c r="CT68" s="178"/>
      <c r="CU68" s="179"/>
      <c r="CV68" s="177"/>
      <c r="CW68" s="177"/>
      <c r="CX68" s="177"/>
      <c r="CY68" s="177"/>
      <c r="CZ68" s="177"/>
      <c r="DA68" s="178"/>
      <c r="DB68" s="179"/>
      <c r="DC68" s="177"/>
      <c r="DD68" s="177"/>
      <c r="DE68" s="177"/>
      <c r="DF68" s="177"/>
      <c r="DG68" s="177"/>
      <c r="DH68" s="178"/>
      <c r="DI68" s="179"/>
      <c r="DJ68" s="177"/>
      <c r="DK68" s="177"/>
      <c r="DL68" s="177"/>
      <c r="DM68" s="177"/>
      <c r="DN68" s="177"/>
      <c r="DO68" s="178"/>
      <c r="DP68" s="179"/>
      <c r="DQ68" s="177"/>
      <c r="DR68" s="177"/>
      <c r="DS68" s="177"/>
      <c r="DT68" s="177"/>
      <c r="DU68" s="177"/>
      <c r="DV68" s="178"/>
      <c r="DW68" s="179"/>
      <c r="DX68" s="177"/>
      <c r="DY68" s="177"/>
      <c r="DZ68" s="177"/>
      <c r="EA68" s="177"/>
      <c r="EB68" s="177"/>
      <c r="EC68" s="178"/>
      <c r="ED68" s="179"/>
      <c r="EE68" s="177"/>
      <c r="EF68" s="177"/>
      <c r="EG68" s="177"/>
      <c r="EH68" s="177"/>
      <c r="EI68" s="177"/>
      <c r="EJ68" s="178"/>
      <c r="EK68" s="179"/>
      <c r="EL68" s="177"/>
      <c r="EM68" s="177"/>
      <c r="EN68" s="177"/>
      <c r="EO68" s="177"/>
      <c r="EP68" s="177"/>
      <c r="EQ68" s="178"/>
      <c r="ER68" s="179"/>
      <c r="ES68" s="177"/>
      <c r="ET68" s="177"/>
      <c r="EU68" s="177"/>
      <c r="EV68" s="177"/>
      <c r="EW68" s="177"/>
      <c r="EX68" s="178"/>
      <c r="EY68" s="179"/>
      <c r="EZ68" s="177"/>
      <c r="FA68" s="177"/>
      <c r="FB68" s="177"/>
      <c r="FC68" s="177"/>
      <c r="FD68" s="177"/>
      <c r="FE68" s="178"/>
      <c r="FF68" s="179"/>
      <c r="FG68" s="177"/>
      <c r="FH68" s="177"/>
      <c r="FI68" s="177"/>
      <c r="FJ68" s="177"/>
      <c r="FK68" s="177"/>
      <c r="FL68" s="178"/>
      <c r="FM68" s="179"/>
      <c r="FN68" s="177"/>
      <c r="FO68" s="177"/>
      <c r="FP68" s="177"/>
      <c r="FQ68" s="177"/>
      <c r="FR68" s="177"/>
      <c r="FS68" s="178"/>
      <c r="FT68" s="179"/>
      <c r="FU68" s="177"/>
      <c r="FV68" s="177"/>
      <c r="FW68" s="177"/>
      <c r="FX68" s="177"/>
      <c r="FY68" s="177"/>
      <c r="FZ68" s="178"/>
      <c r="GA68" s="179"/>
      <c r="GB68" s="177"/>
      <c r="GC68" s="177"/>
      <c r="GD68" s="177"/>
      <c r="GE68" s="177"/>
      <c r="GF68" s="177"/>
      <c r="GG68" s="178"/>
      <c r="GH68" s="179"/>
      <c r="GI68" s="177"/>
      <c r="GJ68" s="177"/>
      <c r="GK68" s="177"/>
      <c r="GL68" s="177"/>
      <c r="GM68" s="177"/>
      <c r="GN68" s="178"/>
      <c r="GO68" s="179"/>
      <c r="GP68" s="177"/>
      <c r="GQ68" s="177"/>
      <c r="GR68" s="177"/>
      <c r="GS68" s="177"/>
      <c r="GT68" s="177"/>
      <c r="GU68" s="178"/>
      <c r="GV68" s="179"/>
      <c r="GW68" s="177"/>
      <c r="GX68" s="177"/>
      <c r="GY68" s="177"/>
      <c r="GZ68" s="177"/>
      <c r="HA68" s="177"/>
      <c r="HB68" s="178"/>
      <c r="HC68" s="179"/>
      <c r="HD68" s="177"/>
      <c r="HE68" s="177"/>
      <c r="HF68" s="177"/>
      <c r="HG68" s="177"/>
      <c r="HH68" s="177"/>
      <c r="HI68" s="178"/>
      <c r="HJ68" s="179"/>
      <c r="HK68" s="177"/>
      <c r="HL68" s="177"/>
      <c r="HM68" s="177"/>
      <c r="HN68" s="177"/>
      <c r="HO68" s="177"/>
      <c r="HP68" s="178"/>
      <c r="HQ68" s="179"/>
      <c r="HR68" s="177"/>
      <c r="HS68" s="177"/>
      <c r="HT68" s="177"/>
      <c r="HU68" s="177"/>
      <c r="HV68" s="177"/>
      <c r="HW68" s="178"/>
      <c r="HX68" s="179"/>
      <c r="HY68" s="177"/>
      <c r="HZ68" s="177"/>
      <c r="IA68" s="177"/>
      <c r="IB68" s="177"/>
      <c r="IC68" s="177"/>
      <c r="ID68" s="178"/>
      <c r="IE68" s="179"/>
      <c r="IF68" s="177"/>
      <c r="IG68" s="177"/>
      <c r="IH68" s="177"/>
      <c r="II68" s="177"/>
      <c r="IJ68" s="177"/>
      <c r="IK68" s="178"/>
      <c r="IL68" s="179"/>
      <c r="IM68" s="177"/>
      <c r="IN68" s="177"/>
      <c r="IO68" s="177"/>
      <c r="IP68" s="177"/>
      <c r="IQ68" s="177"/>
      <c r="IR68" s="178"/>
      <c r="IS68" s="179"/>
      <c r="IT68" s="177"/>
      <c r="IU68" s="177"/>
      <c r="IV68" s="177"/>
    </row>
    <row r="69" spans="1:256" x14ac:dyDescent="0.2">
      <c r="A69" s="855" t="s">
        <v>493</v>
      </c>
      <c r="B69" s="856"/>
      <c r="C69" s="856"/>
      <c r="D69" s="856"/>
      <c r="E69" s="856"/>
      <c r="F69" s="856"/>
      <c r="G69" s="857"/>
      <c r="H69" s="179"/>
      <c r="I69" s="177"/>
      <c r="J69" s="177"/>
      <c r="K69" s="177"/>
      <c r="L69" s="177"/>
      <c r="M69" s="177"/>
      <c r="N69" s="178"/>
      <c r="O69" s="179"/>
      <c r="P69" s="177"/>
      <c r="Q69" s="177"/>
      <c r="R69" s="177"/>
      <c r="S69" s="177"/>
      <c r="T69" s="177"/>
      <c r="U69" s="178"/>
      <c r="V69" s="179"/>
      <c r="W69" s="177"/>
      <c r="X69" s="177"/>
      <c r="Y69" s="177"/>
      <c r="Z69" s="177"/>
      <c r="AA69" s="177"/>
      <c r="AB69" s="178"/>
      <c r="AC69" s="179"/>
      <c r="AD69" s="177"/>
      <c r="AE69" s="177"/>
      <c r="AF69" s="177"/>
      <c r="AG69" s="177"/>
      <c r="AH69" s="177"/>
      <c r="AI69" s="178"/>
      <c r="AJ69" s="179"/>
      <c r="AK69" s="177"/>
      <c r="AL69" s="177"/>
      <c r="AM69" s="177"/>
      <c r="AN69" s="177"/>
      <c r="AO69" s="177"/>
      <c r="AP69" s="178"/>
      <c r="AQ69" s="179"/>
      <c r="AR69" s="177"/>
      <c r="AS69" s="177"/>
      <c r="AT69" s="177"/>
      <c r="AU69" s="177"/>
      <c r="AV69" s="177"/>
      <c r="AW69" s="178"/>
      <c r="AX69" s="179"/>
      <c r="AY69" s="177"/>
      <c r="AZ69" s="177"/>
      <c r="BA69" s="177"/>
      <c r="BB69" s="177"/>
      <c r="BC69" s="177"/>
      <c r="BD69" s="178"/>
      <c r="BE69" s="179"/>
      <c r="BF69" s="177"/>
      <c r="BG69" s="177"/>
      <c r="BH69" s="177"/>
      <c r="BI69" s="177"/>
      <c r="BJ69" s="177"/>
      <c r="BK69" s="178"/>
      <c r="BL69" s="179"/>
      <c r="BM69" s="177"/>
      <c r="BN69" s="177"/>
      <c r="BO69" s="177"/>
      <c r="BP69" s="177"/>
      <c r="BQ69" s="177"/>
      <c r="BR69" s="178"/>
      <c r="BS69" s="179"/>
      <c r="BT69" s="177"/>
      <c r="BU69" s="177"/>
      <c r="BV69" s="177"/>
      <c r="BW69" s="177"/>
      <c r="BX69" s="177"/>
      <c r="BY69" s="178"/>
      <c r="BZ69" s="179"/>
      <c r="CA69" s="177"/>
      <c r="CB69" s="177"/>
      <c r="CC69" s="177"/>
      <c r="CD69" s="177"/>
      <c r="CE69" s="177"/>
      <c r="CF69" s="178"/>
      <c r="CG69" s="179"/>
      <c r="CH69" s="177"/>
      <c r="CI69" s="177"/>
      <c r="CJ69" s="177"/>
      <c r="CK69" s="177"/>
      <c r="CL69" s="177"/>
      <c r="CM69" s="178"/>
      <c r="CN69" s="179"/>
      <c r="CO69" s="177"/>
      <c r="CP69" s="177"/>
      <c r="CQ69" s="177"/>
      <c r="CR69" s="177"/>
      <c r="CS69" s="177"/>
      <c r="CT69" s="178"/>
      <c r="CU69" s="179"/>
      <c r="CV69" s="177"/>
      <c r="CW69" s="177"/>
      <c r="CX69" s="177"/>
      <c r="CY69" s="177"/>
      <c r="CZ69" s="177"/>
      <c r="DA69" s="178"/>
      <c r="DB69" s="179"/>
      <c r="DC69" s="177"/>
      <c r="DD69" s="177"/>
      <c r="DE69" s="177"/>
      <c r="DF69" s="177"/>
      <c r="DG69" s="177"/>
      <c r="DH69" s="178"/>
      <c r="DI69" s="179"/>
      <c r="DJ69" s="177"/>
      <c r="DK69" s="177"/>
      <c r="DL69" s="177"/>
      <c r="DM69" s="177"/>
      <c r="DN69" s="177"/>
      <c r="DO69" s="178"/>
      <c r="DP69" s="179"/>
      <c r="DQ69" s="177"/>
      <c r="DR69" s="177"/>
      <c r="DS69" s="177"/>
      <c r="DT69" s="177"/>
      <c r="DU69" s="177"/>
      <c r="DV69" s="178"/>
      <c r="DW69" s="179"/>
      <c r="DX69" s="177"/>
      <c r="DY69" s="177"/>
      <c r="DZ69" s="177"/>
      <c r="EA69" s="177"/>
      <c r="EB69" s="177"/>
      <c r="EC69" s="178"/>
      <c r="ED69" s="179"/>
      <c r="EE69" s="177"/>
      <c r="EF69" s="177"/>
      <c r="EG69" s="177"/>
      <c r="EH69" s="177"/>
      <c r="EI69" s="177"/>
      <c r="EJ69" s="178"/>
      <c r="EK69" s="179"/>
      <c r="EL69" s="177"/>
      <c r="EM69" s="177"/>
      <c r="EN69" s="177"/>
      <c r="EO69" s="177"/>
      <c r="EP69" s="177"/>
      <c r="EQ69" s="178"/>
      <c r="ER69" s="179"/>
      <c r="ES69" s="177"/>
      <c r="ET69" s="177"/>
      <c r="EU69" s="177"/>
      <c r="EV69" s="177"/>
      <c r="EW69" s="177"/>
      <c r="EX69" s="178"/>
      <c r="EY69" s="179"/>
      <c r="EZ69" s="177"/>
      <c r="FA69" s="177"/>
      <c r="FB69" s="177"/>
      <c r="FC69" s="177"/>
      <c r="FD69" s="177"/>
      <c r="FE69" s="178"/>
      <c r="FF69" s="179"/>
      <c r="FG69" s="177"/>
      <c r="FH69" s="177"/>
      <c r="FI69" s="177"/>
      <c r="FJ69" s="177"/>
      <c r="FK69" s="177"/>
      <c r="FL69" s="178"/>
      <c r="FM69" s="179"/>
      <c r="FN69" s="177"/>
      <c r="FO69" s="177"/>
      <c r="FP69" s="177"/>
      <c r="FQ69" s="177"/>
      <c r="FR69" s="177"/>
      <c r="FS69" s="178"/>
      <c r="FT69" s="179"/>
      <c r="FU69" s="177"/>
      <c r="FV69" s="177"/>
      <c r="FW69" s="177"/>
      <c r="FX69" s="177"/>
      <c r="FY69" s="177"/>
      <c r="FZ69" s="178"/>
      <c r="GA69" s="179"/>
      <c r="GB69" s="177"/>
      <c r="GC69" s="177"/>
      <c r="GD69" s="177"/>
      <c r="GE69" s="177"/>
      <c r="GF69" s="177"/>
      <c r="GG69" s="178"/>
      <c r="GH69" s="179"/>
      <c r="GI69" s="177"/>
      <c r="GJ69" s="177"/>
      <c r="GK69" s="177"/>
      <c r="GL69" s="177"/>
      <c r="GM69" s="177"/>
      <c r="GN69" s="178"/>
      <c r="GO69" s="179"/>
      <c r="GP69" s="177"/>
      <c r="GQ69" s="177"/>
      <c r="GR69" s="177"/>
      <c r="GS69" s="177"/>
      <c r="GT69" s="177"/>
      <c r="GU69" s="178"/>
      <c r="GV69" s="179"/>
      <c r="GW69" s="177"/>
      <c r="GX69" s="177"/>
      <c r="GY69" s="177"/>
      <c r="GZ69" s="177"/>
      <c r="HA69" s="177"/>
      <c r="HB69" s="178"/>
      <c r="HC69" s="179"/>
      <c r="HD69" s="177"/>
      <c r="HE69" s="177"/>
      <c r="HF69" s="177"/>
      <c r="HG69" s="177"/>
      <c r="HH69" s="177"/>
      <c r="HI69" s="178"/>
      <c r="HJ69" s="179"/>
      <c r="HK69" s="177"/>
      <c r="HL69" s="177"/>
      <c r="HM69" s="177"/>
      <c r="HN69" s="177"/>
      <c r="HO69" s="177"/>
      <c r="HP69" s="178"/>
      <c r="HQ69" s="179"/>
      <c r="HR69" s="177"/>
      <c r="HS69" s="177"/>
      <c r="HT69" s="177"/>
      <c r="HU69" s="177"/>
      <c r="HV69" s="177"/>
      <c r="HW69" s="178"/>
      <c r="HX69" s="179"/>
      <c r="HY69" s="177"/>
      <c r="HZ69" s="177"/>
      <c r="IA69" s="177"/>
      <c r="IB69" s="177"/>
      <c r="IC69" s="177"/>
      <c r="ID69" s="178"/>
      <c r="IE69" s="179"/>
      <c r="IF69" s="177"/>
      <c r="IG69" s="177"/>
      <c r="IH69" s="177"/>
      <c r="II69" s="177"/>
      <c r="IJ69" s="177"/>
      <c r="IK69" s="178"/>
      <c r="IL69" s="179"/>
      <c r="IM69" s="177"/>
      <c r="IN69" s="177"/>
      <c r="IO69" s="177"/>
      <c r="IP69" s="177"/>
      <c r="IQ69" s="177"/>
      <c r="IR69" s="178"/>
      <c r="IS69" s="179"/>
      <c r="IT69" s="177"/>
      <c r="IU69" s="177"/>
      <c r="IV69" s="177"/>
    </row>
    <row r="70" spans="1:256" x14ac:dyDescent="0.2">
      <c r="A70" s="855"/>
      <c r="B70" s="856"/>
      <c r="C70" s="856"/>
      <c r="D70" s="856"/>
      <c r="E70" s="856"/>
      <c r="F70" s="856"/>
      <c r="G70" s="857"/>
      <c r="H70" s="179"/>
      <c r="I70" s="177"/>
      <c r="J70" s="177"/>
      <c r="K70" s="177"/>
      <c r="L70" s="177"/>
      <c r="M70" s="177"/>
      <c r="N70" s="178"/>
      <c r="O70" s="179"/>
      <c r="P70" s="177"/>
      <c r="Q70" s="177"/>
      <c r="R70" s="177"/>
      <c r="S70" s="177"/>
      <c r="T70" s="177"/>
      <c r="U70" s="178"/>
      <c r="V70" s="179"/>
      <c r="W70" s="177"/>
      <c r="X70" s="177"/>
      <c r="Y70" s="177"/>
      <c r="Z70" s="177"/>
      <c r="AA70" s="177"/>
      <c r="AB70" s="178"/>
      <c r="AC70" s="179"/>
      <c r="AD70" s="177"/>
      <c r="AE70" s="177"/>
      <c r="AF70" s="177"/>
      <c r="AG70" s="177"/>
      <c r="AH70" s="177"/>
      <c r="AI70" s="178"/>
      <c r="AJ70" s="179"/>
      <c r="AK70" s="177"/>
      <c r="AL70" s="177"/>
      <c r="AM70" s="177"/>
      <c r="AN70" s="177"/>
      <c r="AO70" s="177"/>
      <c r="AP70" s="178"/>
      <c r="AQ70" s="179"/>
      <c r="AR70" s="177"/>
      <c r="AS70" s="177"/>
      <c r="AT70" s="177"/>
      <c r="AU70" s="177"/>
      <c r="AV70" s="177"/>
      <c r="AW70" s="178"/>
      <c r="AX70" s="179"/>
      <c r="AY70" s="177"/>
      <c r="AZ70" s="177"/>
      <c r="BA70" s="177"/>
      <c r="BB70" s="177"/>
      <c r="BC70" s="177"/>
      <c r="BD70" s="178"/>
      <c r="BE70" s="179"/>
      <c r="BF70" s="177"/>
      <c r="BG70" s="177"/>
      <c r="BH70" s="177"/>
      <c r="BI70" s="177"/>
      <c r="BJ70" s="177"/>
      <c r="BK70" s="178"/>
      <c r="BL70" s="179"/>
      <c r="BM70" s="177"/>
      <c r="BN70" s="177"/>
      <c r="BO70" s="177"/>
      <c r="BP70" s="177"/>
      <c r="BQ70" s="177"/>
      <c r="BR70" s="178"/>
      <c r="BS70" s="179"/>
      <c r="BT70" s="177"/>
      <c r="BU70" s="177"/>
      <c r="BV70" s="177"/>
      <c r="BW70" s="177"/>
      <c r="BX70" s="177"/>
      <c r="BY70" s="178"/>
      <c r="BZ70" s="179"/>
      <c r="CA70" s="177"/>
      <c r="CB70" s="177"/>
      <c r="CC70" s="177"/>
      <c r="CD70" s="177"/>
      <c r="CE70" s="177"/>
      <c r="CF70" s="178"/>
      <c r="CG70" s="179"/>
      <c r="CH70" s="177"/>
      <c r="CI70" s="177"/>
      <c r="CJ70" s="177"/>
      <c r="CK70" s="177"/>
      <c r="CL70" s="177"/>
      <c r="CM70" s="178"/>
      <c r="CN70" s="179"/>
      <c r="CO70" s="177"/>
      <c r="CP70" s="177"/>
      <c r="CQ70" s="177"/>
      <c r="CR70" s="177"/>
      <c r="CS70" s="177"/>
      <c r="CT70" s="178"/>
      <c r="CU70" s="179"/>
      <c r="CV70" s="177"/>
      <c r="CW70" s="177"/>
      <c r="CX70" s="177"/>
      <c r="CY70" s="177"/>
      <c r="CZ70" s="177"/>
      <c r="DA70" s="178"/>
      <c r="DB70" s="179"/>
      <c r="DC70" s="177"/>
      <c r="DD70" s="177"/>
      <c r="DE70" s="177"/>
      <c r="DF70" s="177"/>
      <c r="DG70" s="177"/>
      <c r="DH70" s="178"/>
      <c r="DI70" s="179"/>
      <c r="DJ70" s="177"/>
      <c r="DK70" s="177"/>
      <c r="DL70" s="177"/>
      <c r="DM70" s="177"/>
      <c r="DN70" s="177"/>
      <c r="DO70" s="178"/>
      <c r="DP70" s="179"/>
      <c r="DQ70" s="177"/>
      <c r="DR70" s="177"/>
      <c r="DS70" s="177"/>
      <c r="DT70" s="177"/>
      <c r="DU70" s="177"/>
      <c r="DV70" s="178"/>
      <c r="DW70" s="179"/>
      <c r="DX70" s="177"/>
      <c r="DY70" s="177"/>
      <c r="DZ70" s="177"/>
      <c r="EA70" s="177"/>
      <c r="EB70" s="177"/>
      <c r="EC70" s="178"/>
      <c r="ED70" s="179"/>
      <c r="EE70" s="177"/>
      <c r="EF70" s="177"/>
      <c r="EG70" s="177"/>
      <c r="EH70" s="177"/>
      <c r="EI70" s="177"/>
      <c r="EJ70" s="178"/>
      <c r="EK70" s="179"/>
      <c r="EL70" s="177"/>
      <c r="EM70" s="177"/>
      <c r="EN70" s="177"/>
      <c r="EO70" s="177"/>
      <c r="EP70" s="177"/>
      <c r="EQ70" s="178"/>
      <c r="ER70" s="179"/>
      <c r="ES70" s="177"/>
      <c r="ET70" s="177"/>
      <c r="EU70" s="177"/>
      <c r="EV70" s="177"/>
      <c r="EW70" s="177"/>
      <c r="EX70" s="178"/>
      <c r="EY70" s="179"/>
      <c r="EZ70" s="177"/>
      <c r="FA70" s="177"/>
      <c r="FB70" s="177"/>
      <c r="FC70" s="177"/>
      <c r="FD70" s="177"/>
      <c r="FE70" s="178"/>
      <c r="FF70" s="179"/>
      <c r="FG70" s="177"/>
      <c r="FH70" s="177"/>
      <c r="FI70" s="177"/>
      <c r="FJ70" s="177"/>
      <c r="FK70" s="177"/>
      <c r="FL70" s="178"/>
      <c r="FM70" s="179"/>
      <c r="FN70" s="177"/>
      <c r="FO70" s="177"/>
      <c r="FP70" s="177"/>
      <c r="FQ70" s="177"/>
      <c r="FR70" s="177"/>
      <c r="FS70" s="178"/>
      <c r="FT70" s="179"/>
      <c r="FU70" s="177"/>
      <c r="FV70" s="177"/>
      <c r="FW70" s="177"/>
      <c r="FX70" s="177"/>
      <c r="FY70" s="177"/>
      <c r="FZ70" s="178"/>
      <c r="GA70" s="179"/>
      <c r="GB70" s="177"/>
      <c r="GC70" s="177"/>
      <c r="GD70" s="177"/>
      <c r="GE70" s="177"/>
      <c r="GF70" s="177"/>
      <c r="GG70" s="178"/>
      <c r="GH70" s="179"/>
      <c r="GI70" s="177"/>
      <c r="GJ70" s="177"/>
      <c r="GK70" s="177"/>
      <c r="GL70" s="177"/>
      <c r="GM70" s="177"/>
      <c r="GN70" s="178"/>
      <c r="GO70" s="179"/>
      <c r="GP70" s="177"/>
      <c r="GQ70" s="177"/>
      <c r="GR70" s="177"/>
      <c r="GS70" s="177"/>
      <c r="GT70" s="177"/>
      <c r="GU70" s="178"/>
      <c r="GV70" s="179"/>
      <c r="GW70" s="177"/>
      <c r="GX70" s="177"/>
      <c r="GY70" s="177"/>
      <c r="GZ70" s="177"/>
      <c r="HA70" s="177"/>
      <c r="HB70" s="178"/>
      <c r="HC70" s="179"/>
      <c r="HD70" s="177"/>
      <c r="HE70" s="177"/>
      <c r="HF70" s="177"/>
      <c r="HG70" s="177"/>
      <c r="HH70" s="177"/>
      <c r="HI70" s="178"/>
      <c r="HJ70" s="179"/>
      <c r="HK70" s="177"/>
      <c r="HL70" s="177"/>
      <c r="HM70" s="177"/>
      <c r="HN70" s="177"/>
      <c r="HO70" s="177"/>
      <c r="HP70" s="178"/>
      <c r="HQ70" s="179"/>
      <c r="HR70" s="177"/>
      <c r="HS70" s="177"/>
      <c r="HT70" s="177"/>
      <c r="HU70" s="177"/>
      <c r="HV70" s="177"/>
      <c r="HW70" s="178"/>
      <c r="HX70" s="179"/>
      <c r="HY70" s="177"/>
      <c r="HZ70" s="177"/>
      <c r="IA70" s="177"/>
      <c r="IB70" s="177"/>
      <c r="IC70" s="177"/>
      <c r="ID70" s="178"/>
      <c r="IE70" s="179"/>
      <c r="IF70" s="177"/>
      <c r="IG70" s="177"/>
      <c r="IH70" s="177"/>
      <c r="II70" s="177"/>
      <c r="IJ70" s="177"/>
      <c r="IK70" s="178"/>
      <c r="IL70" s="179"/>
      <c r="IM70" s="177"/>
      <c r="IN70" s="177"/>
      <c r="IO70" s="177"/>
      <c r="IP70" s="177"/>
      <c r="IQ70" s="177"/>
      <c r="IR70" s="178"/>
      <c r="IS70" s="179"/>
      <c r="IT70" s="177"/>
      <c r="IU70" s="177"/>
      <c r="IV70" s="177"/>
    </row>
    <row r="71" spans="1:256" ht="12.75" x14ac:dyDescent="0.2">
      <c r="A71" s="271"/>
      <c r="B71" s="272"/>
      <c r="C71" s="272"/>
      <c r="D71" s="272"/>
      <c r="E71" s="272"/>
      <c r="F71" s="272"/>
      <c r="G71" s="273"/>
      <c r="H71" s="179"/>
      <c r="I71" s="177"/>
      <c r="J71" s="177"/>
      <c r="K71" s="177"/>
      <c r="L71" s="177"/>
      <c r="M71" s="177"/>
      <c r="N71" s="178"/>
      <c r="O71" s="179"/>
      <c r="P71" s="177"/>
      <c r="Q71" s="177"/>
      <c r="R71" s="177"/>
      <c r="S71" s="177"/>
      <c r="T71" s="177"/>
      <c r="U71" s="178"/>
      <c r="V71" s="179"/>
      <c r="W71" s="177"/>
      <c r="X71" s="177"/>
      <c r="Y71" s="177"/>
      <c r="Z71" s="177"/>
      <c r="AA71" s="177"/>
      <c r="AB71" s="178"/>
      <c r="AC71" s="179"/>
      <c r="AD71" s="177"/>
      <c r="AE71" s="177"/>
      <c r="AF71" s="177"/>
      <c r="AG71" s="177"/>
      <c r="AH71" s="177"/>
      <c r="AI71" s="178"/>
      <c r="AJ71" s="179"/>
      <c r="AK71" s="177"/>
      <c r="AL71" s="177"/>
      <c r="AM71" s="177"/>
      <c r="AN71" s="177"/>
      <c r="AO71" s="177"/>
      <c r="AP71" s="178"/>
      <c r="AQ71" s="179"/>
      <c r="AR71" s="177"/>
      <c r="AS71" s="177"/>
      <c r="AT71" s="177"/>
      <c r="AU71" s="177"/>
      <c r="AV71" s="177"/>
      <c r="AW71" s="178"/>
      <c r="AX71" s="179"/>
      <c r="AY71" s="177"/>
      <c r="AZ71" s="177"/>
      <c r="BA71" s="177"/>
      <c r="BB71" s="177"/>
      <c r="BC71" s="177"/>
      <c r="BD71" s="178"/>
      <c r="BE71" s="179"/>
      <c r="BF71" s="177"/>
      <c r="BG71" s="177"/>
      <c r="BH71" s="177"/>
      <c r="BI71" s="177"/>
      <c r="BJ71" s="177"/>
      <c r="BK71" s="178"/>
      <c r="BL71" s="179"/>
      <c r="BM71" s="177"/>
      <c r="BN71" s="177"/>
      <c r="BO71" s="177"/>
      <c r="BP71" s="177"/>
      <c r="BQ71" s="177"/>
      <c r="BR71" s="178"/>
      <c r="BS71" s="179"/>
      <c r="BT71" s="177"/>
      <c r="BU71" s="177"/>
      <c r="BV71" s="177"/>
      <c r="BW71" s="177"/>
      <c r="BX71" s="177"/>
      <c r="BY71" s="178"/>
      <c r="BZ71" s="179"/>
      <c r="CA71" s="177"/>
      <c r="CB71" s="177"/>
      <c r="CC71" s="177"/>
      <c r="CD71" s="177"/>
      <c r="CE71" s="177"/>
      <c r="CF71" s="178"/>
      <c r="CG71" s="179"/>
      <c r="CH71" s="177"/>
      <c r="CI71" s="177"/>
      <c r="CJ71" s="177"/>
      <c r="CK71" s="177"/>
      <c r="CL71" s="177"/>
      <c r="CM71" s="178"/>
      <c r="CN71" s="179"/>
      <c r="CO71" s="177"/>
      <c r="CP71" s="177"/>
      <c r="CQ71" s="177"/>
      <c r="CR71" s="177"/>
      <c r="CS71" s="177"/>
      <c r="CT71" s="178"/>
      <c r="CU71" s="179"/>
      <c r="CV71" s="177"/>
      <c r="CW71" s="177"/>
      <c r="CX71" s="177"/>
      <c r="CY71" s="177"/>
      <c r="CZ71" s="177"/>
      <c r="DA71" s="178"/>
      <c r="DB71" s="179"/>
      <c r="DC71" s="177"/>
      <c r="DD71" s="177"/>
      <c r="DE71" s="177"/>
      <c r="DF71" s="177"/>
      <c r="DG71" s="177"/>
      <c r="DH71" s="178"/>
      <c r="DI71" s="179"/>
      <c r="DJ71" s="177"/>
      <c r="DK71" s="177"/>
      <c r="DL71" s="177"/>
      <c r="DM71" s="177"/>
      <c r="DN71" s="177"/>
      <c r="DO71" s="178"/>
      <c r="DP71" s="179"/>
      <c r="DQ71" s="177"/>
      <c r="DR71" s="177"/>
      <c r="DS71" s="177"/>
      <c r="DT71" s="177"/>
      <c r="DU71" s="177"/>
      <c r="DV71" s="178"/>
      <c r="DW71" s="179"/>
      <c r="DX71" s="177"/>
      <c r="DY71" s="177"/>
      <c r="DZ71" s="177"/>
      <c r="EA71" s="177"/>
      <c r="EB71" s="177"/>
      <c r="EC71" s="178"/>
      <c r="ED71" s="179"/>
      <c r="EE71" s="177"/>
      <c r="EF71" s="177"/>
      <c r="EG71" s="177"/>
      <c r="EH71" s="177"/>
      <c r="EI71" s="177"/>
      <c r="EJ71" s="178"/>
      <c r="EK71" s="179"/>
      <c r="EL71" s="177"/>
      <c r="EM71" s="177"/>
      <c r="EN71" s="177"/>
      <c r="EO71" s="177"/>
      <c r="EP71" s="177"/>
      <c r="EQ71" s="178"/>
      <c r="ER71" s="179"/>
      <c r="ES71" s="177"/>
      <c r="ET71" s="177"/>
      <c r="EU71" s="177"/>
      <c r="EV71" s="177"/>
      <c r="EW71" s="177"/>
      <c r="EX71" s="178"/>
      <c r="EY71" s="179"/>
      <c r="EZ71" s="177"/>
      <c r="FA71" s="177"/>
      <c r="FB71" s="177"/>
      <c r="FC71" s="177"/>
      <c r="FD71" s="177"/>
      <c r="FE71" s="178"/>
      <c r="FF71" s="179"/>
      <c r="FG71" s="177"/>
      <c r="FH71" s="177"/>
      <c r="FI71" s="177"/>
      <c r="FJ71" s="177"/>
      <c r="FK71" s="177"/>
      <c r="FL71" s="178"/>
      <c r="FM71" s="179"/>
      <c r="FN71" s="177"/>
      <c r="FO71" s="177"/>
      <c r="FP71" s="177"/>
      <c r="FQ71" s="177"/>
      <c r="FR71" s="177"/>
      <c r="FS71" s="178"/>
      <c r="FT71" s="179"/>
      <c r="FU71" s="177"/>
      <c r="FV71" s="177"/>
      <c r="FW71" s="177"/>
      <c r="FX71" s="177"/>
      <c r="FY71" s="177"/>
      <c r="FZ71" s="178"/>
      <c r="GA71" s="179"/>
      <c r="GB71" s="177"/>
      <c r="GC71" s="177"/>
      <c r="GD71" s="177"/>
      <c r="GE71" s="177"/>
      <c r="GF71" s="177"/>
      <c r="GG71" s="178"/>
      <c r="GH71" s="179"/>
      <c r="GI71" s="177"/>
      <c r="GJ71" s="177"/>
      <c r="GK71" s="177"/>
      <c r="GL71" s="177"/>
      <c r="GM71" s="177"/>
      <c r="GN71" s="178"/>
      <c r="GO71" s="179"/>
      <c r="GP71" s="177"/>
      <c r="GQ71" s="177"/>
      <c r="GR71" s="177"/>
      <c r="GS71" s="177"/>
      <c r="GT71" s="177"/>
      <c r="GU71" s="178"/>
      <c r="GV71" s="179"/>
      <c r="GW71" s="177"/>
      <c r="GX71" s="177"/>
      <c r="GY71" s="177"/>
      <c r="GZ71" s="177"/>
      <c r="HA71" s="177"/>
      <c r="HB71" s="178"/>
      <c r="HC71" s="179"/>
      <c r="HD71" s="177"/>
      <c r="HE71" s="177"/>
      <c r="HF71" s="177"/>
      <c r="HG71" s="177"/>
      <c r="HH71" s="177"/>
      <c r="HI71" s="178"/>
      <c r="HJ71" s="179"/>
      <c r="HK71" s="177"/>
      <c r="HL71" s="177"/>
      <c r="HM71" s="177"/>
      <c r="HN71" s="177"/>
      <c r="HO71" s="177"/>
      <c r="HP71" s="178"/>
      <c r="HQ71" s="179"/>
      <c r="HR71" s="177"/>
      <c r="HS71" s="177"/>
      <c r="HT71" s="177"/>
      <c r="HU71" s="177"/>
      <c r="HV71" s="177"/>
      <c r="HW71" s="178"/>
      <c r="HX71" s="179"/>
      <c r="HY71" s="177"/>
      <c r="HZ71" s="177"/>
      <c r="IA71" s="177"/>
      <c r="IB71" s="177"/>
      <c r="IC71" s="177"/>
      <c r="ID71" s="178"/>
      <c r="IE71" s="179"/>
      <c r="IF71" s="177"/>
      <c r="IG71" s="177"/>
      <c r="IH71" s="177"/>
      <c r="II71" s="177"/>
      <c r="IJ71" s="177"/>
      <c r="IK71" s="178"/>
      <c r="IL71" s="179"/>
      <c r="IM71" s="177"/>
      <c r="IN71" s="177"/>
      <c r="IO71" s="177"/>
      <c r="IP71" s="177"/>
      <c r="IQ71" s="177"/>
      <c r="IR71" s="178"/>
      <c r="IS71" s="179"/>
      <c r="IT71" s="177"/>
      <c r="IU71" s="177"/>
      <c r="IV71" s="177"/>
    </row>
    <row r="72" spans="1:256" ht="15.75" x14ac:dyDescent="0.25">
      <c r="A72" s="225" t="s">
        <v>24</v>
      </c>
      <c r="B72" s="177"/>
      <c r="C72" s="177"/>
      <c r="D72" s="177"/>
      <c r="E72" s="177"/>
      <c r="F72" s="177"/>
      <c r="G72" s="178"/>
      <c r="H72" s="179"/>
      <c r="I72" s="177"/>
      <c r="J72" s="177"/>
      <c r="K72" s="177"/>
      <c r="L72" s="177"/>
      <c r="M72" s="177"/>
      <c r="N72" s="178"/>
      <c r="O72" s="179"/>
      <c r="P72" s="177"/>
      <c r="Q72" s="177"/>
      <c r="R72" s="177"/>
      <c r="S72" s="177"/>
      <c r="T72" s="177"/>
      <c r="U72" s="178"/>
      <c r="V72" s="179"/>
      <c r="W72" s="177"/>
      <c r="X72" s="177"/>
      <c r="Y72" s="177"/>
      <c r="Z72" s="177"/>
      <c r="AA72" s="177"/>
      <c r="AB72" s="178"/>
      <c r="AC72" s="179"/>
      <c r="AD72" s="177"/>
      <c r="AE72" s="177"/>
      <c r="AF72" s="177"/>
      <c r="AG72" s="177"/>
      <c r="AH72" s="177"/>
      <c r="AI72" s="178"/>
      <c r="AJ72" s="179"/>
      <c r="AK72" s="177"/>
      <c r="AL72" s="177"/>
      <c r="AM72" s="177"/>
      <c r="AN72" s="177"/>
      <c r="AO72" s="177"/>
      <c r="AP72" s="178"/>
      <c r="AQ72" s="179"/>
      <c r="AR72" s="177"/>
      <c r="AS72" s="177"/>
      <c r="AT72" s="177"/>
      <c r="AU72" s="177"/>
      <c r="AV72" s="177"/>
      <c r="AW72" s="178"/>
      <c r="AX72" s="179"/>
      <c r="AY72" s="177"/>
      <c r="AZ72" s="177"/>
      <c r="BA72" s="177"/>
      <c r="BB72" s="177"/>
      <c r="BC72" s="177"/>
      <c r="BD72" s="178"/>
      <c r="BE72" s="179"/>
      <c r="BF72" s="177"/>
      <c r="BG72" s="177"/>
      <c r="BH72" s="177"/>
      <c r="BI72" s="177"/>
      <c r="BJ72" s="177"/>
      <c r="BK72" s="178"/>
      <c r="BL72" s="179"/>
      <c r="BM72" s="177"/>
      <c r="BN72" s="177"/>
      <c r="BO72" s="177"/>
      <c r="BP72" s="177"/>
      <c r="BQ72" s="177"/>
      <c r="BR72" s="178"/>
      <c r="BS72" s="179"/>
      <c r="BT72" s="177"/>
      <c r="BU72" s="177"/>
      <c r="BV72" s="177"/>
      <c r="BW72" s="177"/>
      <c r="BX72" s="177"/>
      <c r="BY72" s="178"/>
      <c r="BZ72" s="179"/>
      <c r="CA72" s="177"/>
      <c r="CB72" s="177"/>
      <c r="CC72" s="177"/>
      <c r="CD72" s="177"/>
      <c r="CE72" s="177"/>
      <c r="CF72" s="178"/>
      <c r="CG72" s="179"/>
      <c r="CH72" s="177"/>
      <c r="CI72" s="177"/>
      <c r="CJ72" s="177"/>
      <c r="CK72" s="177"/>
      <c r="CL72" s="177"/>
      <c r="CM72" s="178"/>
      <c r="CN72" s="179"/>
      <c r="CO72" s="177"/>
      <c r="CP72" s="177"/>
      <c r="CQ72" s="177"/>
      <c r="CR72" s="177"/>
      <c r="CS72" s="177"/>
      <c r="CT72" s="178"/>
      <c r="CU72" s="179"/>
      <c r="CV72" s="177"/>
      <c r="CW72" s="177"/>
      <c r="CX72" s="177"/>
      <c r="CY72" s="177"/>
      <c r="CZ72" s="177"/>
      <c r="DA72" s="178"/>
      <c r="DB72" s="179"/>
      <c r="DC72" s="177"/>
      <c r="DD72" s="177"/>
      <c r="DE72" s="177"/>
      <c r="DF72" s="177"/>
      <c r="DG72" s="177"/>
      <c r="DH72" s="178"/>
      <c r="DI72" s="179"/>
      <c r="DJ72" s="177"/>
      <c r="DK72" s="177"/>
      <c r="DL72" s="177"/>
      <c r="DM72" s="177"/>
      <c r="DN72" s="177"/>
      <c r="DO72" s="178"/>
      <c r="DP72" s="179"/>
      <c r="DQ72" s="177"/>
      <c r="DR72" s="177"/>
      <c r="DS72" s="177"/>
      <c r="DT72" s="177"/>
      <c r="DU72" s="177"/>
      <c r="DV72" s="178"/>
      <c r="DW72" s="179"/>
      <c r="DX72" s="177"/>
      <c r="DY72" s="177"/>
      <c r="DZ72" s="177"/>
      <c r="EA72" s="177"/>
      <c r="EB72" s="177"/>
      <c r="EC72" s="178"/>
      <c r="ED72" s="179"/>
      <c r="EE72" s="177"/>
      <c r="EF72" s="177"/>
      <c r="EG72" s="177"/>
      <c r="EH72" s="177"/>
      <c r="EI72" s="177"/>
      <c r="EJ72" s="178"/>
      <c r="EK72" s="179"/>
      <c r="EL72" s="177"/>
      <c r="EM72" s="177"/>
      <c r="EN72" s="177"/>
      <c r="EO72" s="177"/>
      <c r="EP72" s="177"/>
      <c r="EQ72" s="178"/>
      <c r="ER72" s="179"/>
      <c r="ES72" s="177"/>
      <c r="ET72" s="177"/>
      <c r="EU72" s="177"/>
      <c r="EV72" s="177"/>
      <c r="EW72" s="177"/>
      <c r="EX72" s="178"/>
      <c r="EY72" s="179"/>
      <c r="EZ72" s="177"/>
      <c r="FA72" s="177"/>
      <c r="FB72" s="177"/>
      <c r="FC72" s="177"/>
      <c r="FD72" s="177"/>
      <c r="FE72" s="178"/>
      <c r="FF72" s="179"/>
      <c r="FG72" s="177"/>
      <c r="FH72" s="177"/>
      <c r="FI72" s="177"/>
      <c r="FJ72" s="177"/>
      <c r="FK72" s="177"/>
      <c r="FL72" s="178"/>
      <c r="FM72" s="179"/>
      <c r="FN72" s="177"/>
      <c r="FO72" s="177"/>
      <c r="FP72" s="177"/>
      <c r="FQ72" s="177"/>
      <c r="FR72" s="177"/>
      <c r="FS72" s="178"/>
      <c r="FT72" s="179"/>
      <c r="FU72" s="177"/>
      <c r="FV72" s="177"/>
      <c r="FW72" s="177"/>
      <c r="FX72" s="177"/>
      <c r="FY72" s="177"/>
      <c r="FZ72" s="178"/>
      <c r="GA72" s="179"/>
      <c r="GB72" s="177"/>
      <c r="GC72" s="177"/>
      <c r="GD72" s="177"/>
      <c r="GE72" s="177"/>
      <c r="GF72" s="177"/>
      <c r="GG72" s="178"/>
      <c r="GH72" s="179"/>
      <c r="GI72" s="177"/>
      <c r="GJ72" s="177"/>
      <c r="GK72" s="177"/>
      <c r="GL72" s="177"/>
      <c r="GM72" s="177"/>
      <c r="GN72" s="178"/>
      <c r="GO72" s="179"/>
      <c r="GP72" s="177"/>
      <c r="GQ72" s="177"/>
      <c r="GR72" s="177"/>
      <c r="GS72" s="177"/>
      <c r="GT72" s="177"/>
      <c r="GU72" s="178"/>
      <c r="GV72" s="179"/>
      <c r="GW72" s="177"/>
      <c r="GX72" s="177"/>
      <c r="GY72" s="177"/>
      <c r="GZ72" s="177"/>
      <c r="HA72" s="177"/>
      <c r="HB72" s="178"/>
      <c r="HC72" s="179"/>
      <c r="HD72" s="177"/>
      <c r="HE72" s="177"/>
      <c r="HF72" s="177"/>
      <c r="HG72" s="177"/>
      <c r="HH72" s="177"/>
      <c r="HI72" s="178"/>
      <c r="HJ72" s="179"/>
      <c r="HK72" s="177"/>
      <c r="HL72" s="177"/>
      <c r="HM72" s="177"/>
      <c r="HN72" s="177"/>
      <c r="HO72" s="177"/>
      <c r="HP72" s="178"/>
      <c r="HQ72" s="179"/>
      <c r="HR72" s="177"/>
      <c r="HS72" s="177"/>
      <c r="HT72" s="177"/>
      <c r="HU72" s="177"/>
      <c r="HV72" s="177"/>
      <c r="HW72" s="178"/>
      <c r="HX72" s="179"/>
      <c r="HY72" s="177"/>
      <c r="HZ72" s="177"/>
      <c r="IA72" s="177"/>
      <c r="IB72" s="177"/>
      <c r="IC72" s="177"/>
      <c r="ID72" s="178"/>
      <c r="IE72" s="179"/>
      <c r="IF72" s="177"/>
      <c r="IG72" s="177"/>
      <c r="IH72" s="177"/>
      <c r="II72" s="177"/>
      <c r="IJ72" s="177"/>
      <c r="IK72" s="178"/>
      <c r="IL72" s="179"/>
      <c r="IM72" s="177"/>
      <c r="IN72" s="177"/>
      <c r="IO72" s="177"/>
      <c r="IP72" s="177"/>
      <c r="IQ72" s="177"/>
      <c r="IR72" s="178"/>
      <c r="IS72" s="179"/>
      <c r="IT72" s="177"/>
      <c r="IU72" s="177"/>
      <c r="IV72" s="177"/>
    </row>
    <row r="73" spans="1:256" x14ac:dyDescent="0.2">
      <c r="A73" s="179"/>
      <c r="B73" s="177"/>
      <c r="C73" s="177"/>
      <c r="D73" s="177"/>
      <c r="E73" s="177"/>
      <c r="F73" s="177"/>
      <c r="G73" s="178"/>
      <c r="H73" s="179"/>
      <c r="I73" s="177"/>
      <c r="J73" s="177"/>
      <c r="K73" s="177"/>
      <c r="L73" s="177"/>
      <c r="M73" s="177"/>
      <c r="N73" s="178"/>
      <c r="O73" s="179"/>
      <c r="P73" s="177"/>
      <c r="Q73" s="177"/>
      <c r="R73" s="177"/>
      <c r="S73" s="177"/>
      <c r="T73" s="177"/>
      <c r="U73" s="178"/>
      <c r="V73" s="179"/>
      <c r="W73" s="177"/>
      <c r="X73" s="177"/>
      <c r="Y73" s="177"/>
      <c r="Z73" s="177"/>
      <c r="AA73" s="177"/>
      <c r="AB73" s="178"/>
      <c r="AC73" s="179"/>
      <c r="AD73" s="177"/>
      <c r="AE73" s="177"/>
      <c r="AF73" s="177"/>
      <c r="AG73" s="177"/>
      <c r="AH73" s="177"/>
      <c r="AI73" s="178"/>
      <c r="AJ73" s="179"/>
      <c r="AK73" s="177"/>
      <c r="AL73" s="177"/>
      <c r="AM73" s="177"/>
      <c r="AN73" s="177"/>
      <c r="AO73" s="177"/>
      <c r="AP73" s="178"/>
      <c r="AQ73" s="179"/>
      <c r="AR73" s="177"/>
      <c r="AS73" s="177"/>
      <c r="AT73" s="177"/>
      <c r="AU73" s="177"/>
      <c r="AV73" s="177"/>
      <c r="AW73" s="178"/>
      <c r="AX73" s="179"/>
      <c r="AY73" s="177"/>
      <c r="AZ73" s="177"/>
      <c r="BA73" s="177"/>
      <c r="BB73" s="177"/>
      <c r="BC73" s="177"/>
      <c r="BD73" s="178"/>
      <c r="BE73" s="179"/>
      <c r="BF73" s="177"/>
      <c r="BG73" s="177"/>
      <c r="BH73" s="177"/>
      <c r="BI73" s="177"/>
      <c r="BJ73" s="177"/>
      <c r="BK73" s="178"/>
      <c r="BL73" s="179"/>
      <c r="BM73" s="177"/>
      <c r="BN73" s="177"/>
      <c r="BO73" s="177"/>
      <c r="BP73" s="177"/>
      <c r="BQ73" s="177"/>
      <c r="BR73" s="178"/>
      <c r="BS73" s="179"/>
      <c r="BT73" s="177"/>
      <c r="BU73" s="177"/>
      <c r="BV73" s="177"/>
      <c r="BW73" s="177"/>
      <c r="BX73" s="177"/>
      <c r="BY73" s="178"/>
      <c r="BZ73" s="179"/>
      <c r="CA73" s="177"/>
      <c r="CB73" s="177"/>
      <c r="CC73" s="177"/>
      <c r="CD73" s="177"/>
      <c r="CE73" s="177"/>
      <c r="CF73" s="178"/>
      <c r="CG73" s="179"/>
      <c r="CH73" s="177"/>
      <c r="CI73" s="177"/>
      <c r="CJ73" s="177"/>
      <c r="CK73" s="177"/>
      <c r="CL73" s="177"/>
      <c r="CM73" s="178"/>
      <c r="CN73" s="179"/>
      <c r="CO73" s="177"/>
      <c r="CP73" s="177"/>
      <c r="CQ73" s="177"/>
      <c r="CR73" s="177"/>
      <c r="CS73" s="177"/>
      <c r="CT73" s="178"/>
      <c r="CU73" s="179"/>
      <c r="CV73" s="177"/>
      <c r="CW73" s="177"/>
      <c r="CX73" s="177"/>
      <c r="CY73" s="177"/>
      <c r="CZ73" s="177"/>
      <c r="DA73" s="178"/>
      <c r="DB73" s="179"/>
      <c r="DC73" s="177"/>
      <c r="DD73" s="177"/>
      <c r="DE73" s="177"/>
      <c r="DF73" s="177"/>
      <c r="DG73" s="177"/>
      <c r="DH73" s="178"/>
      <c r="DI73" s="179"/>
      <c r="DJ73" s="177"/>
      <c r="DK73" s="177"/>
      <c r="DL73" s="177"/>
      <c r="DM73" s="177"/>
      <c r="DN73" s="177"/>
      <c r="DO73" s="178"/>
      <c r="DP73" s="179"/>
      <c r="DQ73" s="177"/>
      <c r="DR73" s="177"/>
      <c r="DS73" s="177"/>
      <c r="DT73" s="177"/>
      <c r="DU73" s="177"/>
      <c r="DV73" s="178"/>
      <c r="DW73" s="179"/>
      <c r="DX73" s="177"/>
      <c r="DY73" s="177"/>
      <c r="DZ73" s="177"/>
      <c r="EA73" s="177"/>
      <c r="EB73" s="177"/>
      <c r="EC73" s="178"/>
      <c r="ED73" s="179"/>
      <c r="EE73" s="177"/>
      <c r="EF73" s="177"/>
      <c r="EG73" s="177"/>
      <c r="EH73" s="177"/>
      <c r="EI73" s="177"/>
      <c r="EJ73" s="178"/>
      <c r="EK73" s="179"/>
      <c r="EL73" s="177"/>
      <c r="EM73" s="177"/>
      <c r="EN73" s="177"/>
      <c r="EO73" s="177"/>
      <c r="EP73" s="177"/>
      <c r="EQ73" s="178"/>
      <c r="ER73" s="179"/>
      <c r="ES73" s="177"/>
      <c r="ET73" s="177"/>
      <c r="EU73" s="177"/>
      <c r="EV73" s="177"/>
      <c r="EW73" s="177"/>
      <c r="EX73" s="178"/>
      <c r="EY73" s="179"/>
      <c r="EZ73" s="177"/>
      <c r="FA73" s="177"/>
      <c r="FB73" s="177"/>
      <c r="FC73" s="177"/>
      <c r="FD73" s="177"/>
      <c r="FE73" s="178"/>
      <c r="FF73" s="179"/>
      <c r="FG73" s="177"/>
      <c r="FH73" s="177"/>
      <c r="FI73" s="177"/>
      <c r="FJ73" s="177"/>
      <c r="FK73" s="177"/>
      <c r="FL73" s="178"/>
      <c r="FM73" s="179"/>
      <c r="FN73" s="177"/>
      <c r="FO73" s="177"/>
      <c r="FP73" s="177"/>
      <c r="FQ73" s="177"/>
      <c r="FR73" s="177"/>
      <c r="FS73" s="178"/>
      <c r="FT73" s="179"/>
      <c r="FU73" s="177"/>
      <c r="FV73" s="177"/>
      <c r="FW73" s="177"/>
      <c r="FX73" s="177"/>
      <c r="FY73" s="177"/>
      <c r="FZ73" s="178"/>
      <c r="GA73" s="179"/>
      <c r="GB73" s="177"/>
      <c r="GC73" s="177"/>
      <c r="GD73" s="177"/>
      <c r="GE73" s="177"/>
      <c r="GF73" s="177"/>
      <c r="GG73" s="178"/>
      <c r="GH73" s="179"/>
      <c r="GI73" s="177"/>
      <c r="GJ73" s="177"/>
      <c r="GK73" s="177"/>
      <c r="GL73" s="177"/>
      <c r="GM73" s="177"/>
      <c r="GN73" s="178"/>
      <c r="GO73" s="179"/>
      <c r="GP73" s="177"/>
      <c r="GQ73" s="177"/>
      <c r="GR73" s="177"/>
      <c r="GS73" s="177"/>
      <c r="GT73" s="177"/>
      <c r="GU73" s="178"/>
      <c r="GV73" s="179"/>
      <c r="GW73" s="177"/>
      <c r="GX73" s="177"/>
      <c r="GY73" s="177"/>
      <c r="GZ73" s="177"/>
      <c r="HA73" s="177"/>
      <c r="HB73" s="178"/>
      <c r="HC73" s="179"/>
      <c r="HD73" s="177"/>
      <c r="HE73" s="177"/>
      <c r="HF73" s="177"/>
      <c r="HG73" s="177"/>
      <c r="HH73" s="177"/>
      <c r="HI73" s="178"/>
      <c r="HJ73" s="179"/>
      <c r="HK73" s="177"/>
      <c r="HL73" s="177"/>
      <c r="HM73" s="177"/>
      <c r="HN73" s="177"/>
      <c r="HO73" s="177"/>
      <c r="HP73" s="178"/>
      <c r="HQ73" s="179"/>
      <c r="HR73" s="177"/>
      <c r="HS73" s="177"/>
      <c r="HT73" s="177"/>
      <c r="HU73" s="177"/>
      <c r="HV73" s="177"/>
      <c r="HW73" s="178"/>
      <c r="HX73" s="179"/>
      <c r="HY73" s="177"/>
      <c r="HZ73" s="177"/>
      <c r="IA73" s="177"/>
      <c r="IB73" s="177"/>
      <c r="IC73" s="177"/>
      <c r="ID73" s="178"/>
      <c r="IE73" s="179"/>
      <c r="IF73" s="177"/>
      <c r="IG73" s="177"/>
      <c r="IH73" s="177"/>
      <c r="II73" s="177"/>
      <c r="IJ73" s="177"/>
      <c r="IK73" s="178"/>
      <c r="IL73" s="179"/>
      <c r="IM73" s="177"/>
      <c r="IN73" s="177"/>
      <c r="IO73" s="177"/>
      <c r="IP73" s="177"/>
      <c r="IQ73" s="177"/>
      <c r="IR73" s="178"/>
      <c r="IS73" s="179"/>
      <c r="IT73" s="177"/>
      <c r="IU73" s="177"/>
      <c r="IV73" s="177"/>
    </row>
    <row r="74" spans="1:256" ht="12.75" x14ac:dyDescent="0.2">
      <c r="A74" s="269" t="s">
        <v>494</v>
      </c>
      <c r="B74" s="177"/>
      <c r="C74" s="177"/>
      <c r="D74" s="177"/>
      <c r="E74" s="177"/>
      <c r="F74" s="177"/>
      <c r="G74" s="178"/>
      <c r="H74" s="179"/>
      <c r="I74" s="177"/>
      <c r="J74" s="177"/>
      <c r="K74" s="177"/>
      <c r="L74" s="177"/>
      <c r="M74" s="177"/>
      <c r="N74" s="178"/>
      <c r="O74" s="179"/>
      <c r="P74" s="177"/>
      <c r="Q74" s="177"/>
      <c r="R74" s="177"/>
      <c r="S74" s="177"/>
      <c r="T74" s="177"/>
      <c r="U74" s="178"/>
      <c r="V74" s="179"/>
      <c r="W74" s="177"/>
      <c r="X74" s="177"/>
      <c r="Y74" s="177"/>
      <c r="Z74" s="177"/>
      <c r="AA74" s="177"/>
      <c r="AB74" s="178"/>
      <c r="AC74" s="179"/>
      <c r="AD74" s="177"/>
      <c r="AE74" s="177"/>
      <c r="AF74" s="177"/>
      <c r="AG74" s="177"/>
      <c r="AH74" s="177"/>
      <c r="AI74" s="178"/>
      <c r="AJ74" s="179"/>
      <c r="AK74" s="177"/>
      <c r="AL74" s="177"/>
      <c r="AM74" s="177"/>
      <c r="AN74" s="177"/>
      <c r="AO74" s="177"/>
      <c r="AP74" s="178"/>
      <c r="AQ74" s="179"/>
      <c r="AR74" s="177"/>
      <c r="AS74" s="177"/>
      <c r="AT74" s="177"/>
      <c r="AU74" s="177"/>
      <c r="AV74" s="177"/>
      <c r="AW74" s="178"/>
      <c r="AX74" s="179"/>
      <c r="AY74" s="177"/>
      <c r="AZ74" s="177"/>
      <c r="BA74" s="177"/>
      <c r="BB74" s="177"/>
      <c r="BC74" s="177"/>
      <c r="BD74" s="178"/>
      <c r="BE74" s="179"/>
      <c r="BF74" s="177"/>
      <c r="BG74" s="177"/>
      <c r="BH74" s="177"/>
      <c r="BI74" s="177"/>
      <c r="BJ74" s="177"/>
      <c r="BK74" s="178"/>
      <c r="BL74" s="179"/>
      <c r="BM74" s="177"/>
      <c r="BN74" s="177"/>
      <c r="BO74" s="177"/>
      <c r="BP74" s="177"/>
      <c r="BQ74" s="177"/>
      <c r="BR74" s="178"/>
      <c r="BS74" s="179"/>
      <c r="BT74" s="177"/>
      <c r="BU74" s="177"/>
      <c r="BV74" s="177"/>
      <c r="BW74" s="177"/>
      <c r="BX74" s="177"/>
      <c r="BY74" s="178"/>
      <c r="BZ74" s="179"/>
      <c r="CA74" s="177"/>
      <c r="CB74" s="177"/>
      <c r="CC74" s="177"/>
      <c r="CD74" s="177"/>
      <c r="CE74" s="177"/>
      <c r="CF74" s="178"/>
      <c r="CG74" s="179"/>
      <c r="CH74" s="177"/>
      <c r="CI74" s="177"/>
      <c r="CJ74" s="177"/>
      <c r="CK74" s="177"/>
      <c r="CL74" s="177"/>
      <c r="CM74" s="178"/>
      <c r="CN74" s="179"/>
      <c r="CO74" s="177"/>
      <c r="CP74" s="177"/>
      <c r="CQ74" s="177"/>
      <c r="CR74" s="177"/>
      <c r="CS74" s="177"/>
      <c r="CT74" s="178"/>
      <c r="CU74" s="179"/>
      <c r="CV74" s="177"/>
      <c r="CW74" s="177"/>
      <c r="CX74" s="177"/>
      <c r="CY74" s="177"/>
      <c r="CZ74" s="177"/>
      <c r="DA74" s="178"/>
      <c r="DB74" s="179"/>
      <c r="DC74" s="177"/>
      <c r="DD74" s="177"/>
      <c r="DE74" s="177"/>
      <c r="DF74" s="177"/>
      <c r="DG74" s="177"/>
      <c r="DH74" s="178"/>
      <c r="DI74" s="179"/>
      <c r="DJ74" s="177"/>
      <c r="DK74" s="177"/>
      <c r="DL74" s="177"/>
      <c r="DM74" s="177"/>
      <c r="DN74" s="177"/>
      <c r="DO74" s="178"/>
      <c r="DP74" s="179"/>
      <c r="DQ74" s="177"/>
      <c r="DR74" s="177"/>
      <c r="DS74" s="177"/>
      <c r="DT74" s="177"/>
      <c r="DU74" s="177"/>
      <c r="DV74" s="178"/>
      <c r="DW74" s="179"/>
      <c r="DX74" s="177"/>
      <c r="DY74" s="177"/>
      <c r="DZ74" s="177"/>
      <c r="EA74" s="177"/>
      <c r="EB74" s="177"/>
      <c r="EC74" s="178"/>
      <c r="ED74" s="179"/>
      <c r="EE74" s="177"/>
      <c r="EF74" s="177"/>
      <c r="EG74" s="177"/>
      <c r="EH74" s="177"/>
      <c r="EI74" s="177"/>
      <c r="EJ74" s="178"/>
      <c r="EK74" s="179"/>
      <c r="EL74" s="177"/>
      <c r="EM74" s="177"/>
      <c r="EN74" s="177"/>
      <c r="EO74" s="177"/>
      <c r="EP74" s="177"/>
      <c r="EQ74" s="178"/>
      <c r="ER74" s="179"/>
      <c r="ES74" s="177"/>
      <c r="ET74" s="177"/>
      <c r="EU74" s="177"/>
      <c r="EV74" s="177"/>
      <c r="EW74" s="177"/>
      <c r="EX74" s="178"/>
      <c r="EY74" s="179"/>
      <c r="EZ74" s="177"/>
      <c r="FA74" s="177"/>
      <c r="FB74" s="177"/>
      <c r="FC74" s="177"/>
      <c r="FD74" s="177"/>
      <c r="FE74" s="178"/>
      <c r="FF74" s="179"/>
      <c r="FG74" s="177"/>
      <c r="FH74" s="177"/>
      <c r="FI74" s="177"/>
      <c r="FJ74" s="177"/>
      <c r="FK74" s="177"/>
      <c r="FL74" s="178"/>
      <c r="FM74" s="179"/>
      <c r="FN74" s="177"/>
      <c r="FO74" s="177"/>
      <c r="FP74" s="177"/>
      <c r="FQ74" s="177"/>
      <c r="FR74" s="177"/>
      <c r="FS74" s="178"/>
      <c r="FT74" s="179"/>
      <c r="FU74" s="177"/>
      <c r="FV74" s="177"/>
      <c r="FW74" s="177"/>
      <c r="FX74" s="177"/>
      <c r="FY74" s="177"/>
      <c r="FZ74" s="178"/>
      <c r="GA74" s="179"/>
      <c r="GB74" s="177"/>
      <c r="GC74" s="177"/>
      <c r="GD74" s="177"/>
      <c r="GE74" s="177"/>
      <c r="GF74" s="177"/>
      <c r="GG74" s="178"/>
      <c r="GH74" s="179"/>
      <c r="GI74" s="177"/>
      <c r="GJ74" s="177"/>
      <c r="GK74" s="177"/>
      <c r="GL74" s="177"/>
      <c r="GM74" s="177"/>
      <c r="GN74" s="178"/>
      <c r="GO74" s="179"/>
      <c r="GP74" s="177"/>
      <c r="GQ74" s="177"/>
      <c r="GR74" s="177"/>
      <c r="GS74" s="177"/>
      <c r="GT74" s="177"/>
      <c r="GU74" s="178"/>
      <c r="GV74" s="179"/>
      <c r="GW74" s="177"/>
      <c r="GX74" s="177"/>
      <c r="GY74" s="177"/>
      <c r="GZ74" s="177"/>
      <c r="HA74" s="177"/>
      <c r="HB74" s="178"/>
      <c r="HC74" s="179"/>
      <c r="HD74" s="177"/>
      <c r="HE74" s="177"/>
      <c r="HF74" s="177"/>
      <c r="HG74" s="177"/>
      <c r="HH74" s="177"/>
      <c r="HI74" s="178"/>
      <c r="HJ74" s="179"/>
      <c r="HK74" s="177"/>
      <c r="HL74" s="177"/>
      <c r="HM74" s="177"/>
      <c r="HN74" s="177"/>
      <c r="HO74" s="177"/>
      <c r="HP74" s="178"/>
      <c r="HQ74" s="179"/>
      <c r="HR74" s="177"/>
      <c r="HS74" s="177"/>
      <c r="HT74" s="177"/>
      <c r="HU74" s="177"/>
      <c r="HV74" s="177"/>
      <c r="HW74" s="178"/>
      <c r="HX74" s="179"/>
      <c r="HY74" s="177"/>
      <c r="HZ74" s="177"/>
      <c r="IA74" s="177"/>
      <c r="IB74" s="177"/>
      <c r="IC74" s="177"/>
      <c r="ID74" s="178"/>
      <c r="IE74" s="179"/>
      <c r="IF74" s="177"/>
      <c r="IG74" s="177"/>
      <c r="IH74" s="177"/>
      <c r="II74" s="177"/>
      <c r="IJ74" s="177"/>
      <c r="IK74" s="178"/>
      <c r="IL74" s="179"/>
      <c r="IM74" s="177"/>
      <c r="IN74" s="177"/>
      <c r="IO74" s="177"/>
      <c r="IP74" s="177"/>
      <c r="IQ74" s="177"/>
      <c r="IR74" s="178"/>
      <c r="IS74" s="179"/>
      <c r="IT74" s="177"/>
      <c r="IU74" s="177"/>
      <c r="IV74" s="177"/>
    </row>
    <row r="75" spans="1:256" x14ac:dyDescent="0.2">
      <c r="A75" s="855" t="s">
        <v>512</v>
      </c>
      <c r="B75" s="856"/>
      <c r="C75" s="856"/>
      <c r="D75" s="856"/>
      <c r="E75" s="856"/>
      <c r="F75" s="856"/>
      <c r="G75" s="857"/>
      <c r="H75" s="179"/>
      <c r="I75" s="177"/>
      <c r="J75" s="177"/>
      <c r="K75" s="177"/>
      <c r="L75" s="177"/>
      <c r="M75" s="177"/>
      <c r="N75" s="178"/>
      <c r="O75" s="179"/>
      <c r="P75" s="177"/>
      <c r="Q75" s="177"/>
      <c r="R75" s="177"/>
      <c r="S75" s="177"/>
      <c r="T75" s="177"/>
      <c r="U75" s="178"/>
      <c r="V75" s="179"/>
      <c r="W75" s="177"/>
      <c r="X75" s="177"/>
      <c r="Y75" s="177"/>
      <c r="Z75" s="177"/>
      <c r="AA75" s="177"/>
      <c r="AB75" s="178"/>
      <c r="AC75" s="179"/>
      <c r="AD75" s="177"/>
      <c r="AE75" s="177"/>
      <c r="AF75" s="177"/>
      <c r="AG75" s="177"/>
      <c r="AH75" s="177"/>
      <c r="AI75" s="178"/>
      <c r="AJ75" s="179"/>
      <c r="AK75" s="177"/>
      <c r="AL75" s="177"/>
      <c r="AM75" s="177"/>
      <c r="AN75" s="177"/>
      <c r="AO75" s="177"/>
      <c r="AP75" s="178"/>
      <c r="AQ75" s="179"/>
      <c r="AR75" s="177"/>
      <c r="AS75" s="177"/>
      <c r="AT75" s="177"/>
      <c r="AU75" s="177"/>
      <c r="AV75" s="177"/>
      <c r="AW75" s="178"/>
      <c r="AX75" s="179"/>
      <c r="AY75" s="177"/>
      <c r="AZ75" s="177"/>
      <c r="BA75" s="177"/>
      <c r="BB75" s="177"/>
      <c r="BC75" s="177"/>
      <c r="BD75" s="178"/>
      <c r="BE75" s="179"/>
      <c r="BF75" s="177"/>
      <c r="BG75" s="177"/>
      <c r="BH75" s="177"/>
      <c r="BI75" s="177"/>
      <c r="BJ75" s="177"/>
      <c r="BK75" s="178"/>
      <c r="BL75" s="179"/>
      <c r="BM75" s="177"/>
      <c r="BN75" s="177"/>
      <c r="BO75" s="177"/>
      <c r="BP75" s="177"/>
      <c r="BQ75" s="177"/>
      <c r="BR75" s="178"/>
      <c r="BS75" s="179"/>
      <c r="BT75" s="177"/>
      <c r="BU75" s="177"/>
      <c r="BV75" s="177"/>
      <c r="BW75" s="177"/>
      <c r="BX75" s="177"/>
      <c r="BY75" s="178"/>
      <c r="BZ75" s="179"/>
      <c r="CA75" s="177"/>
      <c r="CB75" s="177"/>
      <c r="CC75" s="177"/>
      <c r="CD75" s="177"/>
      <c r="CE75" s="177"/>
      <c r="CF75" s="178"/>
      <c r="CG75" s="179"/>
      <c r="CH75" s="177"/>
      <c r="CI75" s="177"/>
      <c r="CJ75" s="177"/>
      <c r="CK75" s="177"/>
      <c r="CL75" s="177"/>
      <c r="CM75" s="178"/>
      <c r="CN75" s="179"/>
      <c r="CO75" s="177"/>
      <c r="CP75" s="177"/>
      <c r="CQ75" s="177"/>
      <c r="CR75" s="177"/>
      <c r="CS75" s="177"/>
      <c r="CT75" s="178"/>
      <c r="CU75" s="179"/>
      <c r="CV75" s="177"/>
      <c r="CW75" s="177"/>
      <c r="CX75" s="177"/>
      <c r="CY75" s="177"/>
      <c r="CZ75" s="177"/>
      <c r="DA75" s="178"/>
      <c r="DB75" s="179"/>
      <c r="DC75" s="177"/>
      <c r="DD75" s="177"/>
      <c r="DE75" s="177"/>
      <c r="DF75" s="177"/>
      <c r="DG75" s="177"/>
      <c r="DH75" s="178"/>
      <c r="DI75" s="179"/>
      <c r="DJ75" s="177"/>
      <c r="DK75" s="177"/>
      <c r="DL75" s="177"/>
      <c r="DM75" s="177"/>
      <c r="DN75" s="177"/>
      <c r="DO75" s="178"/>
      <c r="DP75" s="179"/>
      <c r="DQ75" s="177"/>
      <c r="DR75" s="177"/>
      <c r="DS75" s="177"/>
      <c r="DT75" s="177"/>
      <c r="DU75" s="177"/>
      <c r="DV75" s="178"/>
      <c r="DW75" s="179"/>
      <c r="DX75" s="177"/>
      <c r="DY75" s="177"/>
      <c r="DZ75" s="177"/>
      <c r="EA75" s="177"/>
      <c r="EB75" s="177"/>
      <c r="EC75" s="178"/>
      <c r="ED75" s="179"/>
      <c r="EE75" s="177"/>
      <c r="EF75" s="177"/>
      <c r="EG75" s="177"/>
      <c r="EH75" s="177"/>
      <c r="EI75" s="177"/>
      <c r="EJ75" s="178"/>
      <c r="EK75" s="179"/>
      <c r="EL75" s="177"/>
      <c r="EM75" s="177"/>
      <c r="EN75" s="177"/>
      <c r="EO75" s="177"/>
      <c r="EP75" s="177"/>
      <c r="EQ75" s="178"/>
      <c r="ER75" s="179"/>
      <c r="ES75" s="177"/>
      <c r="ET75" s="177"/>
      <c r="EU75" s="177"/>
      <c r="EV75" s="177"/>
      <c r="EW75" s="177"/>
      <c r="EX75" s="178"/>
      <c r="EY75" s="179"/>
      <c r="EZ75" s="177"/>
      <c r="FA75" s="177"/>
      <c r="FB75" s="177"/>
      <c r="FC75" s="177"/>
      <c r="FD75" s="177"/>
      <c r="FE75" s="178"/>
      <c r="FF75" s="179"/>
      <c r="FG75" s="177"/>
      <c r="FH75" s="177"/>
      <c r="FI75" s="177"/>
      <c r="FJ75" s="177"/>
      <c r="FK75" s="177"/>
      <c r="FL75" s="178"/>
      <c r="FM75" s="179"/>
      <c r="FN75" s="177"/>
      <c r="FO75" s="177"/>
      <c r="FP75" s="177"/>
      <c r="FQ75" s="177"/>
      <c r="FR75" s="177"/>
      <c r="FS75" s="178"/>
      <c r="FT75" s="179"/>
      <c r="FU75" s="177"/>
      <c r="FV75" s="177"/>
      <c r="FW75" s="177"/>
      <c r="FX75" s="177"/>
      <c r="FY75" s="177"/>
      <c r="FZ75" s="178"/>
      <c r="GA75" s="179"/>
      <c r="GB75" s="177"/>
      <c r="GC75" s="177"/>
      <c r="GD75" s="177"/>
      <c r="GE75" s="177"/>
      <c r="GF75" s="177"/>
      <c r="GG75" s="178"/>
      <c r="GH75" s="179"/>
      <c r="GI75" s="177"/>
      <c r="GJ75" s="177"/>
      <c r="GK75" s="177"/>
      <c r="GL75" s="177"/>
      <c r="GM75" s="177"/>
      <c r="GN75" s="178"/>
      <c r="GO75" s="179"/>
      <c r="GP75" s="177"/>
      <c r="GQ75" s="177"/>
      <c r="GR75" s="177"/>
      <c r="GS75" s="177"/>
      <c r="GT75" s="177"/>
      <c r="GU75" s="178"/>
      <c r="GV75" s="179"/>
      <c r="GW75" s="177"/>
      <c r="GX75" s="177"/>
      <c r="GY75" s="177"/>
      <c r="GZ75" s="177"/>
      <c r="HA75" s="177"/>
      <c r="HB75" s="178"/>
      <c r="HC75" s="179"/>
      <c r="HD75" s="177"/>
      <c r="HE75" s="177"/>
      <c r="HF75" s="177"/>
      <c r="HG75" s="177"/>
      <c r="HH75" s="177"/>
      <c r="HI75" s="178"/>
      <c r="HJ75" s="179"/>
      <c r="HK75" s="177"/>
      <c r="HL75" s="177"/>
      <c r="HM75" s="177"/>
      <c r="HN75" s="177"/>
      <c r="HO75" s="177"/>
      <c r="HP75" s="178"/>
      <c r="HQ75" s="179"/>
      <c r="HR75" s="177"/>
      <c r="HS75" s="177"/>
      <c r="HT75" s="177"/>
      <c r="HU75" s="177"/>
      <c r="HV75" s="177"/>
      <c r="HW75" s="178"/>
      <c r="HX75" s="179"/>
      <c r="HY75" s="177"/>
      <c r="HZ75" s="177"/>
      <c r="IA75" s="177"/>
      <c r="IB75" s="177"/>
      <c r="IC75" s="177"/>
      <c r="ID75" s="178"/>
      <c r="IE75" s="179"/>
      <c r="IF75" s="177"/>
      <c r="IG75" s="177"/>
      <c r="IH75" s="177"/>
      <c r="II75" s="177"/>
      <c r="IJ75" s="177"/>
      <c r="IK75" s="178"/>
      <c r="IL75" s="179"/>
      <c r="IM75" s="177"/>
      <c r="IN75" s="177"/>
      <c r="IO75" s="177"/>
      <c r="IP75" s="177"/>
      <c r="IQ75" s="177"/>
      <c r="IR75" s="178"/>
      <c r="IS75" s="179"/>
      <c r="IT75" s="177"/>
      <c r="IU75" s="177"/>
      <c r="IV75" s="177"/>
    </row>
    <row r="76" spans="1:256" ht="16.5" customHeight="1" x14ac:dyDescent="0.2">
      <c r="A76" s="855"/>
      <c r="B76" s="856"/>
      <c r="C76" s="856"/>
      <c r="D76" s="856"/>
      <c r="E76" s="856"/>
      <c r="F76" s="856"/>
      <c r="G76" s="857"/>
      <c r="H76" s="179"/>
      <c r="I76" s="177"/>
      <c r="J76" s="177"/>
      <c r="K76" s="177"/>
      <c r="L76" s="177"/>
      <c r="M76" s="177"/>
      <c r="N76" s="178"/>
      <c r="O76" s="179"/>
      <c r="P76" s="177"/>
      <c r="Q76" s="177"/>
      <c r="R76" s="177"/>
      <c r="S76" s="177"/>
      <c r="T76" s="177"/>
      <c r="U76" s="178"/>
      <c r="V76" s="179"/>
      <c r="W76" s="177"/>
      <c r="X76" s="177"/>
      <c r="Y76" s="177"/>
      <c r="Z76" s="177"/>
      <c r="AA76" s="177"/>
      <c r="AB76" s="178"/>
      <c r="AC76" s="179"/>
      <c r="AD76" s="177"/>
      <c r="AE76" s="177"/>
      <c r="AF76" s="177"/>
      <c r="AG76" s="177"/>
      <c r="AH76" s="177"/>
      <c r="AI76" s="178"/>
      <c r="AJ76" s="179"/>
      <c r="AK76" s="177"/>
      <c r="AL76" s="177"/>
      <c r="AM76" s="177"/>
      <c r="AN76" s="177"/>
      <c r="AO76" s="177"/>
      <c r="AP76" s="178"/>
      <c r="AQ76" s="179"/>
      <c r="AR76" s="177"/>
      <c r="AS76" s="177"/>
      <c r="AT76" s="177"/>
      <c r="AU76" s="177"/>
      <c r="AV76" s="177"/>
      <c r="AW76" s="178"/>
      <c r="AX76" s="179"/>
      <c r="AY76" s="177"/>
      <c r="AZ76" s="177"/>
      <c r="BA76" s="177"/>
      <c r="BB76" s="177"/>
      <c r="BC76" s="177"/>
      <c r="BD76" s="178"/>
      <c r="BE76" s="179"/>
      <c r="BF76" s="177"/>
      <c r="BG76" s="177"/>
      <c r="BH76" s="177"/>
      <c r="BI76" s="177"/>
      <c r="BJ76" s="177"/>
      <c r="BK76" s="178"/>
      <c r="BL76" s="179"/>
      <c r="BM76" s="177"/>
      <c r="BN76" s="177"/>
      <c r="BO76" s="177"/>
      <c r="BP76" s="177"/>
      <c r="BQ76" s="177"/>
      <c r="BR76" s="178"/>
      <c r="BS76" s="179"/>
      <c r="BT76" s="177"/>
      <c r="BU76" s="177"/>
      <c r="BV76" s="177"/>
      <c r="BW76" s="177"/>
      <c r="BX76" s="177"/>
      <c r="BY76" s="178"/>
      <c r="BZ76" s="179"/>
      <c r="CA76" s="177"/>
      <c r="CB76" s="177"/>
      <c r="CC76" s="177"/>
      <c r="CD76" s="177"/>
      <c r="CE76" s="177"/>
      <c r="CF76" s="178"/>
      <c r="CG76" s="179"/>
      <c r="CH76" s="177"/>
      <c r="CI76" s="177"/>
      <c r="CJ76" s="177"/>
      <c r="CK76" s="177"/>
      <c r="CL76" s="177"/>
      <c r="CM76" s="178"/>
      <c r="CN76" s="179"/>
      <c r="CO76" s="177"/>
      <c r="CP76" s="177"/>
      <c r="CQ76" s="177"/>
      <c r="CR76" s="177"/>
      <c r="CS76" s="177"/>
      <c r="CT76" s="178"/>
      <c r="CU76" s="179"/>
      <c r="CV76" s="177"/>
      <c r="CW76" s="177"/>
      <c r="CX76" s="177"/>
      <c r="CY76" s="177"/>
      <c r="CZ76" s="177"/>
      <c r="DA76" s="178"/>
      <c r="DB76" s="179"/>
      <c r="DC76" s="177"/>
      <c r="DD76" s="177"/>
      <c r="DE76" s="177"/>
      <c r="DF76" s="177"/>
      <c r="DG76" s="177"/>
      <c r="DH76" s="178"/>
      <c r="DI76" s="179"/>
      <c r="DJ76" s="177"/>
      <c r="DK76" s="177"/>
      <c r="DL76" s="177"/>
      <c r="DM76" s="177"/>
      <c r="DN76" s="177"/>
      <c r="DO76" s="178"/>
      <c r="DP76" s="179"/>
      <c r="DQ76" s="177"/>
      <c r="DR76" s="177"/>
      <c r="DS76" s="177"/>
      <c r="DT76" s="177"/>
      <c r="DU76" s="177"/>
      <c r="DV76" s="178"/>
      <c r="DW76" s="179"/>
      <c r="DX76" s="177"/>
      <c r="DY76" s="177"/>
      <c r="DZ76" s="177"/>
      <c r="EA76" s="177"/>
      <c r="EB76" s="177"/>
      <c r="EC76" s="178"/>
      <c r="ED76" s="179"/>
      <c r="EE76" s="177"/>
      <c r="EF76" s="177"/>
      <c r="EG76" s="177"/>
      <c r="EH76" s="177"/>
      <c r="EI76" s="177"/>
      <c r="EJ76" s="178"/>
      <c r="EK76" s="179"/>
      <c r="EL76" s="177"/>
      <c r="EM76" s="177"/>
      <c r="EN76" s="177"/>
      <c r="EO76" s="177"/>
      <c r="EP76" s="177"/>
      <c r="EQ76" s="178"/>
      <c r="ER76" s="179"/>
      <c r="ES76" s="177"/>
      <c r="ET76" s="177"/>
      <c r="EU76" s="177"/>
      <c r="EV76" s="177"/>
      <c r="EW76" s="177"/>
      <c r="EX76" s="178"/>
      <c r="EY76" s="179"/>
      <c r="EZ76" s="177"/>
      <c r="FA76" s="177"/>
      <c r="FB76" s="177"/>
      <c r="FC76" s="177"/>
      <c r="FD76" s="177"/>
      <c r="FE76" s="178"/>
      <c r="FF76" s="179"/>
      <c r="FG76" s="177"/>
      <c r="FH76" s="177"/>
      <c r="FI76" s="177"/>
      <c r="FJ76" s="177"/>
      <c r="FK76" s="177"/>
      <c r="FL76" s="178"/>
      <c r="FM76" s="179"/>
      <c r="FN76" s="177"/>
      <c r="FO76" s="177"/>
      <c r="FP76" s="177"/>
      <c r="FQ76" s="177"/>
      <c r="FR76" s="177"/>
      <c r="FS76" s="178"/>
      <c r="FT76" s="179"/>
      <c r="FU76" s="177"/>
      <c r="FV76" s="177"/>
      <c r="FW76" s="177"/>
      <c r="FX76" s="177"/>
      <c r="FY76" s="177"/>
      <c r="FZ76" s="178"/>
      <c r="GA76" s="179"/>
      <c r="GB76" s="177"/>
      <c r="GC76" s="177"/>
      <c r="GD76" s="177"/>
      <c r="GE76" s="177"/>
      <c r="GF76" s="177"/>
      <c r="GG76" s="178"/>
      <c r="GH76" s="179"/>
      <c r="GI76" s="177"/>
      <c r="GJ76" s="177"/>
      <c r="GK76" s="177"/>
      <c r="GL76" s="177"/>
      <c r="GM76" s="177"/>
      <c r="GN76" s="178"/>
      <c r="GO76" s="179"/>
      <c r="GP76" s="177"/>
      <c r="GQ76" s="177"/>
      <c r="GR76" s="177"/>
      <c r="GS76" s="177"/>
      <c r="GT76" s="177"/>
      <c r="GU76" s="178"/>
      <c r="GV76" s="179"/>
      <c r="GW76" s="177"/>
      <c r="GX76" s="177"/>
      <c r="GY76" s="177"/>
      <c r="GZ76" s="177"/>
      <c r="HA76" s="177"/>
      <c r="HB76" s="178"/>
      <c r="HC76" s="179"/>
      <c r="HD76" s="177"/>
      <c r="HE76" s="177"/>
      <c r="HF76" s="177"/>
      <c r="HG76" s="177"/>
      <c r="HH76" s="177"/>
      <c r="HI76" s="178"/>
      <c r="HJ76" s="179"/>
      <c r="HK76" s="177"/>
      <c r="HL76" s="177"/>
      <c r="HM76" s="177"/>
      <c r="HN76" s="177"/>
      <c r="HO76" s="177"/>
      <c r="HP76" s="178"/>
      <c r="HQ76" s="179"/>
      <c r="HR76" s="177"/>
      <c r="HS76" s="177"/>
      <c r="HT76" s="177"/>
      <c r="HU76" s="177"/>
      <c r="HV76" s="177"/>
      <c r="HW76" s="178"/>
      <c r="HX76" s="179"/>
      <c r="HY76" s="177"/>
      <c r="HZ76" s="177"/>
      <c r="IA76" s="177"/>
      <c r="IB76" s="177"/>
      <c r="IC76" s="177"/>
      <c r="ID76" s="178"/>
      <c r="IE76" s="179"/>
      <c r="IF76" s="177"/>
      <c r="IG76" s="177"/>
      <c r="IH76" s="177"/>
      <c r="II76" s="177"/>
      <c r="IJ76" s="177"/>
      <c r="IK76" s="178"/>
      <c r="IL76" s="179"/>
      <c r="IM76" s="177"/>
      <c r="IN76" s="177"/>
      <c r="IO76" s="177"/>
      <c r="IP76" s="177"/>
      <c r="IQ76" s="177"/>
      <c r="IR76" s="178"/>
      <c r="IS76" s="179"/>
      <c r="IT76" s="177"/>
      <c r="IU76" s="177"/>
      <c r="IV76" s="177"/>
    </row>
    <row r="77" spans="1:256" ht="12.75" x14ac:dyDescent="0.2">
      <c r="A77" s="269" t="s">
        <v>495</v>
      </c>
      <c r="B77" s="177"/>
      <c r="C77" s="177"/>
      <c r="D77" s="177"/>
      <c r="E77" s="177"/>
      <c r="F77" s="177"/>
      <c r="G77" s="178"/>
      <c r="H77" s="179"/>
      <c r="I77" s="177"/>
      <c r="J77" s="177"/>
      <c r="K77" s="177"/>
      <c r="L77" s="177"/>
      <c r="M77" s="177"/>
      <c r="N77" s="178"/>
      <c r="O77" s="179"/>
      <c r="P77" s="177"/>
      <c r="Q77" s="177"/>
      <c r="R77" s="177"/>
      <c r="S77" s="177"/>
      <c r="T77" s="177"/>
      <c r="U77" s="178"/>
      <c r="V77" s="179"/>
      <c r="W77" s="177"/>
      <c r="X77" s="177"/>
      <c r="Y77" s="177"/>
      <c r="Z77" s="177"/>
      <c r="AA77" s="177"/>
      <c r="AB77" s="178"/>
      <c r="AC77" s="179"/>
      <c r="AD77" s="177"/>
      <c r="AE77" s="177"/>
      <c r="AF77" s="177"/>
      <c r="AG77" s="177"/>
      <c r="AH77" s="177"/>
      <c r="AI77" s="178"/>
      <c r="AJ77" s="179"/>
      <c r="AK77" s="177"/>
      <c r="AL77" s="177"/>
      <c r="AM77" s="177"/>
      <c r="AN77" s="177"/>
      <c r="AO77" s="177"/>
      <c r="AP77" s="178"/>
      <c r="AQ77" s="179"/>
      <c r="AR77" s="177"/>
      <c r="AS77" s="177"/>
      <c r="AT77" s="177"/>
      <c r="AU77" s="177"/>
      <c r="AV77" s="177"/>
      <c r="AW77" s="178"/>
      <c r="AX77" s="179"/>
      <c r="AY77" s="177"/>
      <c r="AZ77" s="177"/>
      <c r="BA77" s="177"/>
      <c r="BB77" s="177"/>
      <c r="BC77" s="177"/>
      <c r="BD77" s="178"/>
      <c r="BE77" s="179"/>
      <c r="BF77" s="177"/>
      <c r="BG77" s="177"/>
      <c r="BH77" s="177"/>
      <c r="BI77" s="177"/>
      <c r="BJ77" s="177"/>
      <c r="BK77" s="178"/>
      <c r="BL77" s="179"/>
      <c r="BM77" s="177"/>
      <c r="BN77" s="177"/>
      <c r="BO77" s="177"/>
      <c r="BP77" s="177"/>
      <c r="BQ77" s="177"/>
      <c r="BR77" s="178"/>
      <c r="BS77" s="179"/>
      <c r="BT77" s="177"/>
      <c r="BU77" s="177"/>
      <c r="BV77" s="177"/>
      <c r="BW77" s="177"/>
      <c r="BX77" s="177"/>
      <c r="BY77" s="178"/>
      <c r="BZ77" s="179"/>
      <c r="CA77" s="177"/>
      <c r="CB77" s="177"/>
      <c r="CC77" s="177"/>
      <c r="CD77" s="177"/>
      <c r="CE77" s="177"/>
      <c r="CF77" s="178"/>
      <c r="CG77" s="179"/>
      <c r="CH77" s="177"/>
      <c r="CI77" s="177"/>
      <c r="CJ77" s="177"/>
      <c r="CK77" s="177"/>
      <c r="CL77" s="177"/>
      <c r="CM77" s="178"/>
      <c r="CN77" s="179"/>
      <c r="CO77" s="177"/>
      <c r="CP77" s="177"/>
      <c r="CQ77" s="177"/>
      <c r="CR77" s="177"/>
      <c r="CS77" s="177"/>
      <c r="CT77" s="178"/>
      <c r="CU77" s="179"/>
      <c r="CV77" s="177"/>
      <c r="CW77" s="177"/>
      <c r="CX77" s="177"/>
      <c r="CY77" s="177"/>
      <c r="CZ77" s="177"/>
      <c r="DA77" s="178"/>
      <c r="DB77" s="179"/>
      <c r="DC77" s="177"/>
      <c r="DD77" s="177"/>
      <c r="DE77" s="177"/>
      <c r="DF77" s="177"/>
      <c r="DG77" s="177"/>
      <c r="DH77" s="178"/>
      <c r="DI77" s="179"/>
      <c r="DJ77" s="177"/>
      <c r="DK77" s="177"/>
      <c r="DL77" s="177"/>
      <c r="DM77" s="177"/>
      <c r="DN77" s="177"/>
      <c r="DO77" s="178"/>
      <c r="DP77" s="179"/>
      <c r="DQ77" s="177"/>
      <c r="DR77" s="177"/>
      <c r="DS77" s="177"/>
      <c r="DT77" s="177"/>
      <c r="DU77" s="177"/>
      <c r="DV77" s="178"/>
      <c r="DW77" s="179"/>
      <c r="DX77" s="177"/>
      <c r="DY77" s="177"/>
      <c r="DZ77" s="177"/>
      <c r="EA77" s="177"/>
      <c r="EB77" s="177"/>
      <c r="EC77" s="178"/>
      <c r="ED77" s="179"/>
      <c r="EE77" s="177"/>
      <c r="EF77" s="177"/>
      <c r="EG77" s="177"/>
      <c r="EH77" s="177"/>
      <c r="EI77" s="177"/>
      <c r="EJ77" s="178"/>
      <c r="EK77" s="179"/>
      <c r="EL77" s="177"/>
      <c r="EM77" s="177"/>
      <c r="EN77" s="177"/>
      <c r="EO77" s="177"/>
      <c r="EP77" s="177"/>
      <c r="EQ77" s="178"/>
      <c r="ER77" s="179"/>
      <c r="ES77" s="177"/>
      <c r="ET77" s="177"/>
      <c r="EU77" s="177"/>
      <c r="EV77" s="177"/>
      <c r="EW77" s="177"/>
      <c r="EX77" s="178"/>
      <c r="EY77" s="179"/>
      <c r="EZ77" s="177"/>
      <c r="FA77" s="177"/>
      <c r="FB77" s="177"/>
      <c r="FC77" s="177"/>
      <c r="FD77" s="177"/>
      <c r="FE77" s="178"/>
      <c r="FF77" s="179"/>
      <c r="FG77" s="177"/>
      <c r="FH77" s="177"/>
      <c r="FI77" s="177"/>
      <c r="FJ77" s="177"/>
      <c r="FK77" s="177"/>
      <c r="FL77" s="178"/>
      <c r="FM77" s="179"/>
      <c r="FN77" s="177"/>
      <c r="FO77" s="177"/>
      <c r="FP77" s="177"/>
      <c r="FQ77" s="177"/>
      <c r="FR77" s="177"/>
      <c r="FS77" s="178"/>
      <c r="FT77" s="179"/>
      <c r="FU77" s="177"/>
      <c r="FV77" s="177"/>
      <c r="FW77" s="177"/>
      <c r="FX77" s="177"/>
      <c r="FY77" s="177"/>
      <c r="FZ77" s="178"/>
      <c r="GA77" s="179"/>
      <c r="GB77" s="177"/>
      <c r="GC77" s="177"/>
      <c r="GD77" s="177"/>
      <c r="GE77" s="177"/>
      <c r="GF77" s="177"/>
      <c r="GG77" s="178"/>
      <c r="GH77" s="179"/>
      <c r="GI77" s="177"/>
      <c r="GJ77" s="177"/>
      <c r="GK77" s="177"/>
      <c r="GL77" s="177"/>
      <c r="GM77" s="177"/>
      <c r="GN77" s="178"/>
      <c r="GO77" s="179"/>
      <c r="GP77" s="177"/>
      <c r="GQ77" s="177"/>
      <c r="GR77" s="177"/>
      <c r="GS77" s="177"/>
      <c r="GT77" s="177"/>
      <c r="GU77" s="178"/>
      <c r="GV77" s="179"/>
      <c r="GW77" s="177"/>
      <c r="GX77" s="177"/>
      <c r="GY77" s="177"/>
      <c r="GZ77" s="177"/>
      <c r="HA77" s="177"/>
      <c r="HB77" s="178"/>
      <c r="HC77" s="179"/>
      <c r="HD77" s="177"/>
      <c r="HE77" s="177"/>
      <c r="HF77" s="177"/>
      <c r="HG77" s="177"/>
      <c r="HH77" s="177"/>
      <c r="HI77" s="178"/>
      <c r="HJ77" s="179"/>
      <c r="HK77" s="177"/>
      <c r="HL77" s="177"/>
      <c r="HM77" s="177"/>
      <c r="HN77" s="177"/>
      <c r="HO77" s="177"/>
      <c r="HP77" s="178"/>
      <c r="HQ77" s="179"/>
      <c r="HR77" s="177"/>
      <c r="HS77" s="177"/>
      <c r="HT77" s="177"/>
      <c r="HU77" s="177"/>
      <c r="HV77" s="177"/>
      <c r="HW77" s="178"/>
      <c r="HX77" s="179"/>
      <c r="HY77" s="177"/>
      <c r="HZ77" s="177"/>
      <c r="IA77" s="177"/>
      <c r="IB77" s="177"/>
      <c r="IC77" s="177"/>
      <c r="ID77" s="178"/>
      <c r="IE77" s="179"/>
      <c r="IF77" s="177"/>
      <c r="IG77" s="177"/>
      <c r="IH77" s="177"/>
      <c r="II77" s="177"/>
      <c r="IJ77" s="177"/>
      <c r="IK77" s="178"/>
      <c r="IL77" s="179"/>
      <c r="IM77" s="177"/>
      <c r="IN77" s="177"/>
      <c r="IO77" s="177"/>
      <c r="IP77" s="177"/>
      <c r="IQ77" s="177"/>
      <c r="IR77" s="178"/>
      <c r="IS77" s="179"/>
      <c r="IT77" s="177"/>
      <c r="IU77" s="177"/>
      <c r="IV77" s="177"/>
    </row>
    <row r="78" spans="1:256" ht="12.75" thickBot="1" x14ac:dyDescent="0.25">
      <c r="A78" s="274"/>
      <c r="B78" s="181"/>
      <c r="C78" s="181"/>
      <c r="D78" s="181"/>
      <c r="E78" s="181"/>
      <c r="F78" s="181"/>
      <c r="G78" s="182"/>
      <c r="H78" s="179"/>
      <c r="I78" s="177"/>
      <c r="J78" s="177"/>
      <c r="K78" s="177"/>
      <c r="L78" s="177"/>
      <c r="M78" s="177"/>
      <c r="N78" s="178"/>
      <c r="O78" s="179"/>
      <c r="P78" s="177"/>
      <c r="Q78" s="177"/>
      <c r="R78" s="177"/>
      <c r="S78" s="177"/>
      <c r="T78" s="177"/>
      <c r="U78" s="178"/>
      <c r="V78" s="179"/>
      <c r="W78" s="177"/>
      <c r="X78" s="177"/>
      <c r="Y78" s="177"/>
      <c r="Z78" s="177"/>
      <c r="AA78" s="177"/>
      <c r="AB78" s="178"/>
      <c r="AC78" s="179"/>
      <c r="AD78" s="177"/>
      <c r="AE78" s="177"/>
      <c r="AF78" s="177"/>
      <c r="AG78" s="177"/>
      <c r="AH78" s="177"/>
      <c r="AI78" s="178"/>
      <c r="AJ78" s="179"/>
      <c r="AK78" s="177"/>
      <c r="AL78" s="177"/>
      <c r="AM78" s="177"/>
      <c r="AN78" s="177"/>
      <c r="AO78" s="177"/>
      <c r="AP78" s="178"/>
      <c r="AQ78" s="179"/>
      <c r="AR78" s="177"/>
      <c r="AS78" s="177"/>
      <c r="AT78" s="177"/>
      <c r="AU78" s="177"/>
      <c r="AV78" s="177"/>
      <c r="AW78" s="178"/>
      <c r="AX78" s="179"/>
      <c r="AY78" s="177"/>
      <c r="AZ78" s="177"/>
      <c r="BA78" s="177"/>
      <c r="BB78" s="177"/>
      <c r="BC78" s="177"/>
      <c r="BD78" s="178"/>
      <c r="BE78" s="179"/>
      <c r="BF78" s="177"/>
      <c r="BG78" s="177"/>
      <c r="BH78" s="177"/>
      <c r="BI78" s="177"/>
      <c r="BJ78" s="177"/>
      <c r="BK78" s="178"/>
      <c r="BL78" s="179"/>
      <c r="BM78" s="177"/>
      <c r="BN78" s="177"/>
      <c r="BO78" s="177"/>
      <c r="BP78" s="177"/>
      <c r="BQ78" s="177"/>
      <c r="BR78" s="178"/>
      <c r="BS78" s="179"/>
      <c r="BT78" s="177"/>
      <c r="BU78" s="177"/>
      <c r="BV78" s="177"/>
      <c r="BW78" s="177"/>
      <c r="BX78" s="177"/>
      <c r="BY78" s="178"/>
      <c r="BZ78" s="179"/>
      <c r="CA78" s="177"/>
      <c r="CB78" s="177"/>
      <c r="CC78" s="177"/>
      <c r="CD78" s="177"/>
      <c r="CE78" s="177"/>
      <c r="CF78" s="178"/>
      <c r="CG78" s="179"/>
      <c r="CH78" s="177"/>
      <c r="CI78" s="177"/>
      <c r="CJ78" s="177"/>
      <c r="CK78" s="177"/>
      <c r="CL78" s="177"/>
      <c r="CM78" s="178"/>
      <c r="CN78" s="179"/>
      <c r="CO78" s="177"/>
      <c r="CP78" s="177"/>
      <c r="CQ78" s="177"/>
      <c r="CR78" s="177"/>
      <c r="CS78" s="177"/>
      <c r="CT78" s="178"/>
      <c r="CU78" s="179"/>
      <c r="CV78" s="177"/>
      <c r="CW78" s="177"/>
      <c r="CX78" s="177"/>
      <c r="CY78" s="177"/>
      <c r="CZ78" s="177"/>
      <c r="DA78" s="178"/>
      <c r="DB78" s="179"/>
      <c r="DC78" s="177"/>
      <c r="DD78" s="177"/>
      <c r="DE78" s="177"/>
      <c r="DF78" s="177"/>
      <c r="DG78" s="177"/>
      <c r="DH78" s="178"/>
      <c r="DI78" s="179"/>
      <c r="DJ78" s="177"/>
      <c r="DK78" s="177"/>
      <c r="DL78" s="177"/>
      <c r="DM78" s="177"/>
      <c r="DN78" s="177"/>
      <c r="DO78" s="178"/>
      <c r="DP78" s="179"/>
      <c r="DQ78" s="177"/>
      <c r="DR78" s="177"/>
      <c r="DS78" s="177"/>
      <c r="DT78" s="177"/>
      <c r="DU78" s="177"/>
      <c r="DV78" s="178"/>
      <c r="DW78" s="179"/>
      <c r="DX78" s="177"/>
      <c r="DY78" s="177"/>
      <c r="DZ78" s="177"/>
      <c r="EA78" s="177"/>
      <c r="EB78" s="177"/>
      <c r="EC78" s="178"/>
      <c r="ED78" s="179"/>
      <c r="EE78" s="177"/>
      <c r="EF78" s="177"/>
      <c r="EG78" s="177"/>
      <c r="EH78" s="177"/>
      <c r="EI78" s="177"/>
      <c r="EJ78" s="178"/>
      <c r="EK78" s="179"/>
      <c r="EL78" s="177"/>
      <c r="EM78" s="177"/>
      <c r="EN78" s="177"/>
      <c r="EO78" s="177"/>
      <c r="EP78" s="177"/>
      <c r="EQ78" s="178"/>
      <c r="ER78" s="179"/>
      <c r="ES78" s="177"/>
      <c r="ET78" s="177"/>
      <c r="EU78" s="177"/>
      <c r="EV78" s="177"/>
      <c r="EW78" s="177"/>
      <c r="EX78" s="178"/>
      <c r="EY78" s="179"/>
      <c r="EZ78" s="177"/>
      <c r="FA78" s="177"/>
      <c r="FB78" s="177"/>
      <c r="FC78" s="177"/>
      <c r="FD78" s="177"/>
      <c r="FE78" s="178"/>
      <c r="FF78" s="179"/>
      <c r="FG78" s="177"/>
      <c r="FH78" s="177"/>
      <c r="FI78" s="177"/>
      <c r="FJ78" s="177"/>
      <c r="FK78" s="177"/>
      <c r="FL78" s="178"/>
      <c r="FM78" s="179"/>
      <c r="FN78" s="177"/>
      <c r="FO78" s="177"/>
      <c r="FP78" s="177"/>
      <c r="FQ78" s="177"/>
      <c r="FR78" s="177"/>
      <c r="FS78" s="178"/>
      <c r="FT78" s="179"/>
      <c r="FU78" s="177"/>
      <c r="FV78" s="177"/>
      <c r="FW78" s="177"/>
      <c r="FX78" s="177"/>
      <c r="FY78" s="177"/>
      <c r="FZ78" s="178"/>
      <c r="GA78" s="179"/>
      <c r="GB78" s="177"/>
      <c r="GC78" s="177"/>
      <c r="GD78" s="177"/>
      <c r="GE78" s="177"/>
      <c r="GF78" s="177"/>
      <c r="GG78" s="178"/>
      <c r="GH78" s="179"/>
      <c r="GI78" s="177"/>
      <c r="GJ78" s="177"/>
      <c r="GK78" s="177"/>
      <c r="GL78" s="177"/>
      <c r="GM78" s="177"/>
      <c r="GN78" s="178"/>
      <c r="GO78" s="179"/>
      <c r="GP78" s="177"/>
      <c r="GQ78" s="177"/>
      <c r="GR78" s="177"/>
      <c r="GS78" s="177"/>
      <c r="GT78" s="177"/>
      <c r="GU78" s="178"/>
      <c r="GV78" s="179"/>
      <c r="GW78" s="177"/>
      <c r="GX78" s="177"/>
      <c r="GY78" s="177"/>
      <c r="GZ78" s="177"/>
      <c r="HA78" s="177"/>
      <c r="HB78" s="178"/>
      <c r="HC78" s="179"/>
      <c r="HD78" s="177"/>
      <c r="HE78" s="177"/>
      <c r="HF78" s="177"/>
      <c r="HG78" s="177"/>
      <c r="HH78" s="177"/>
      <c r="HI78" s="178"/>
      <c r="HJ78" s="179"/>
      <c r="HK78" s="177"/>
      <c r="HL78" s="177"/>
      <c r="HM78" s="177"/>
      <c r="HN78" s="177"/>
      <c r="HO78" s="177"/>
      <c r="HP78" s="178"/>
      <c r="HQ78" s="179"/>
      <c r="HR78" s="177"/>
      <c r="HS78" s="177"/>
      <c r="HT78" s="177"/>
      <c r="HU78" s="177"/>
      <c r="HV78" s="177"/>
      <c r="HW78" s="178"/>
      <c r="HX78" s="179"/>
      <c r="HY78" s="177"/>
      <c r="HZ78" s="177"/>
      <c r="IA78" s="177"/>
      <c r="IB78" s="177"/>
      <c r="IC78" s="177"/>
      <c r="ID78" s="178"/>
      <c r="IE78" s="179"/>
      <c r="IF78" s="177"/>
      <c r="IG78" s="177"/>
      <c r="IH78" s="177"/>
      <c r="II78" s="177"/>
      <c r="IJ78" s="177"/>
      <c r="IK78" s="178"/>
      <c r="IL78" s="179"/>
      <c r="IM78" s="177"/>
      <c r="IN78" s="177"/>
      <c r="IO78" s="177"/>
      <c r="IP78" s="177"/>
      <c r="IQ78" s="177"/>
      <c r="IR78" s="178"/>
      <c r="IS78" s="179"/>
      <c r="IT78" s="177"/>
      <c r="IU78" s="177"/>
      <c r="IV78" s="177"/>
    </row>
    <row r="79" spans="1:256" ht="12.75" customHeight="1" x14ac:dyDescent="0.2"/>
    <row r="80" spans="1:256"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password="C637" sheet="1" objects="1" scenarios="1"/>
  <mergeCells count="21">
    <mergeCell ref="A1:G1"/>
    <mergeCell ref="B3:D3"/>
    <mergeCell ref="B5:F5"/>
    <mergeCell ref="G2:G4"/>
    <mergeCell ref="A28:G28"/>
    <mergeCell ref="A9:G11"/>
    <mergeCell ref="A12:G14"/>
    <mergeCell ref="A8:G8"/>
    <mergeCell ref="A17:G19"/>
    <mergeCell ref="A15:G15"/>
    <mergeCell ref="A49:G50"/>
    <mergeCell ref="A21:G21"/>
    <mergeCell ref="A75:G76"/>
    <mergeCell ref="A31:G32"/>
    <mergeCell ref="A45:G45"/>
    <mergeCell ref="A60:G62"/>
    <mergeCell ref="A65:G66"/>
    <mergeCell ref="A23:G23"/>
    <mergeCell ref="A67:G68"/>
    <mergeCell ref="A25:G25"/>
    <mergeCell ref="A69:G70"/>
  </mergeCells>
  <phoneticPr fontId="1" type="noConversion"/>
  <printOptions horizontalCentered="1"/>
  <pageMargins left="0.59055118110236227" right="0.59055118110236227" top="0.43307086614173229" bottom="0.39370078740157483" header="0.23622047244094491" footer="0.23622047244094491"/>
  <pageSetup paperSize="14" scale="50" orientation="portrait" blackAndWhite="1" horizontalDpi="300" verticalDpi="300" r:id="rId1"/>
  <headerFooter alignWithMargins="0">
    <oddFooter>&amp;CPágina &amp;P de &amp;N&amp;RDireccion Financiera y Administrativa DSSA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0"/>
  <sheetViews>
    <sheetView showGridLines="0" topLeftCell="Z1" zoomScale="87" zoomScaleNormal="87"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6" width="14.42578125" style="339" customWidth="1"/>
    <col min="7" max="7" width="15.28515625" style="339" customWidth="1"/>
    <col min="8" max="9" width="14.42578125" style="339" customWidth="1"/>
    <col min="10" max="10" width="16.28515625" style="339" customWidth="1"/>
    <col min="11"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7</v>
      </c>
      <c r="AP2" s="349" t="s">
        <v>8</v>
      </c>
      <c r="AQ2" s="350"/>
      <c r="AR2" s="4"/>
      <c r="AS2" s="4"/>
      <c r="AT2" s="4"/>
      <c r="AU2" s="4"/>
      <c r="AV2" s="4"/>
      <c r="AW2" s="4"/>
      <c r="AX2" s="4"/>
      <c r="AY2" s="4"/>
      <c r="AZ2" s="5"/>
      <c r="BB2" s="952" t="s">
        <v>423</v>
      </c>
      <c r="BC2" s="969"/>
      <c r="BD2" s="69" t="s">
        <v>409</v>
      </c>
      <c r="BE2" s="347" t="str">
        <f>+L3</f>
        <v>JULIO</v>
      </c>
      <c r="BF2" s="340"/>
      <c r="BG2" s="952" t="s">
        <v>424</v>
      </c>
      <c r="BH2" s="969"/>
      <c r="BI2" s="969"/>
      <c r="BJ2" s="69" t="s">
        <v>409</v>
      </c>
      <c r="BK2" s="347" t="str">
        <f>+BE2</f>
        <v>JULIO</v>
      </c>
      <c r="BM2" s="952" t="s">
        <v>424</v>
      </c>
      <c r="BN2" s="969"/>
      <c r="BO2" s="969"/>
      <c r="BP2" s="69" t="s">
        <v>409</v>
      </c>
      <c r="BQ2" s="347" t="str">
        <f>+BK2</f>
        <v>JULIO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391</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JULIO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JULIO</v>
      </c>
      <c r="AS6" s="387" t="str">
        <f>AR6</f>
        <v>JULIO</v>
      </c>
      <c r="AT6" s="387" t="str">
        <f>AR6</f>
        <v>JULIO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234534494</v>
      </c>
      <c r="AS7" s="401">
        <f>L22</f>
        <v>102102999</v>
      </c>
      <c r="AT7" s="15"/>
      <c r="AU7" s="402">
        <f t="shared" ref="AU7:AU17" si="0">IF(AQ7=0," ",AR7/AQ7)</f>
        <v>0.99616126991890419</v>
      </c>
      <c r="AV7" s="402">
        <f t="shared" ref="AV7:AV17" si="1">IF(AQ7=0," ",AS7/AQ7)</f>
        <v>0.43367204291224049</v>
      </c>
      <c r="AW7" s="401">
        <f>I23/AO$2*12+I24</f>
        <v>351485604.71428573</v>
      </c>
      <c r="AX7" s="401">
        <f>L23/AO$2*12+L24</f>
        <v>124460184.71428572</v>
      </c>
      <c r="AY7" s="401">
        <f t="shared" ref="AY7:AY16" si="2">AW7-AQ7</f>
        <v>116047326.71428573</v>
      </c>
      <c r="AZ7" s="403">
        <f t="shared" ref="AZ7:AZ16" si="3">AX7-AQ7</f>
        <v>-110978093.28571428</v>
      </c>
      <c r="BB7" s="404" t="s">
        <v>55</v>
      </c>
      <c r="BC7" s="72">
        <f>F10</f>
        <v>133074115</v>
      </c>
      <c r="BD7" s="73">
        <f>I10</f>
        <v>133074115</v>
      </c>
      <c r="BE7" s="74">
        <f>K10</f>
        <v>0</v>
      </c>
      <c r="BF7" s="75"/>
      <c r="BG7" s="109" t="s">
        <v>56</v>
      </c>
      <c r="BH7" s="135">
        <f>+SUM(BH8:BH11)</f>
        <v>3159128778</v>
      </c>
      <c r="BI7" s="135">
        <f>+SUM(BI8:BI11)</f>
        <v>1664657057</v>
      </c>
      <c r="BJ7" s="135">
        <f>+SUM(BJ8:BJ11)</f>
        <v>1664657055</v>
      </c>
      <c r="BK7" s="135">
        <f>+SUM(BK8:BK11)</f>
        <v>322951287</v>
      </c>
      <c r="BM7" s="79" t="s">
        <v>56</v>
      </c>
      <c r="BN7" s="80">
        <f>BN8+BN15+BN22</f>
        <v>3159128778</v>
      </c>
      <c r="BO7" s="81">
        <f>BO8+BO15+BO22</f>
        <v>1664657057</v>
      </c>
      <c r="BP7" s="81">
        <f>BP8+BP15+BP22</f>
        <v>1664657055</v>
      </c>
      <c r="BQ7" s="82">
        <f>BQ8+BQ15+BQ22</f>
        <v>322951287</v>
      </c>
    </row>
    <row r="8" spans="1:69" s="10" customFormat="1" ht="24" thickBot="1" x14ac:dyDescent="0.3">
      <c r="A8" s="405">
        <f>+IF(JUNIO!A8=0,"",JUNIO!A8)</f>
        <v>1</v>
      </c>
      <c r="B8" s="670" t="str">
        <f>+IF(JUNIO!B8=0,"",JUNIO!B8)</f>
        <v>INGRESOS</v>
      </c>
      <c r="C8" s="407">
        <f>C10+C17+C108</f>
        <v>3631501012</v>
      </c>
      <c r="D8" s="407">
        <f t="shared" ref="D8:N8" si="4">D10+D17+D108</f>
        <v>0</v>
      </c>
      <c r="E8" s="407">
        <f t="shared" si="4"/>
        <v>207633323</v>
      </c>
      <c r="F8" s="407">
        <f t="shared" si="4"/>
        <v>3839134335</v>
      </c>
      <c r="G8" s="407">
        <f t="shared" si="4"/>
        <v>2161132289</v>
      </c>
      <c r="H8" s="407">
        <f t="shared" si="4"/>
        <v>319148926</v>
      </c>
      <c r="I8" s="407">
        <f t="shared" si="4"/>
        <v>2480281215</v>
      </c>
      <c r="J8" s="407">
        <f t="shared" si="4"/>
        <v>1781028903</v>
      </c>
      <c r="K8" s="407">
        <f t="shared" si="4"/>
        <v>286909284</v>
      </c>
      <c r="L8" s="407">
        <f t="shared" si="4"/>
        <v>2067938187</v>
      </c>
      <c r="M8" s="407">
        <f t="shared" si="4"/>
        <v>1358853120</v>
      </c>
      <c r="N8" s="408">
        <f t="shared" si="4"/>
        <v>1771196148</v>
      </c>
      <c r="O8" s="409"/>
      <c r="P8" s="410">
        <f>P10+P17+P108</f>
        <v>0</v>
      </c>
      <c r="Q8" s="408">
        <f>Q10+Q17+Q108</f>
        <v>149110140</v>
      </c>
      <c r="S8" s="206" t="str">
        <f>+IF(JUNIO!S8=0,"",JUNIO!S8)</f>
        <v/>
      </c>
      <c r="T8" s="411" t="str">
        <f>+IF(JUNIO!T8=0,"",JUNIO!T8)</f>
        <v>GASTOS</v>
      </c>
      <c r="U8" s="412">
        <f t="shared" ref="U8:AM8" si="5">U10+U207+U220+U232</f>
        <v>3631501012</v>
      </c>
      <c r="V8" s="413">
        <f t="shared" si="5"/>
        <v>0</v>
      </c>
      <c r="W8" s="413">
        <f t="shared" si="5"/>
        <v>207633323</v>
      </c>
      <c r="X8" s="414">
        <f t="shared" si="5"/>
        <v>3839134335</v>
      </c>
      <c r="Y8" s="415">
        <f t="shared" si="5"/>
        <v>1772727711</v>
      </c>
      <c r="Z8" s="413">
        <f t="shared" si="5"/>
        <v>329017953</v>
      </c>
      <c r="AA8" s="414">
        <f t="shared" si="5"/>
        <v>2101745664</v>
      </c>
      <c r="AB8" s="415">
        <f t="shared" si="5"/>
        <v>1772700698</v>
      </c>
      <c r="AC8" s="413">
        <f t="shared" si="5"/>
        <v>329016422</v>
      </c>
      <c r="AD8" s="414">
        <f t="shared" si="5"/>
        <v>2101717120</v>
      </c>
      <c r="AE8" s="415">
        <f t="shared" si="5"/>
        <v>1480741062</v>
      </c>
      <c r="AF8" s="413">
        <f t="shared" si="5"/>
        <v>391869516</v>
      </c>
      <c r="AG8" s="414">
        <f t="shared" si="5"/>
        <v>1872610578</v>
      </c>
      <c r="AH8" s="415">
        <f t="shared" si="5"/>
        <v>1737388671</v>
      </c>
      <c r="AI8" s="413">
        <f t="shared" si="5"/>
        <v>1737417215</v>
      </c>
      <c r="AJ8" s="416">
        <f t="shared" si="5"/>
        <v>1966523757</v>
      </c>
      <c r="AL8" s="417">
        <f t="shared" si="5"/>
        <v>0</v>
      </c>
      <c r="AM8" s="418">
        <f t="shared" si="5"/>
        <v>149110140</v>
      </c>
      <c r="AO8" s="23"/>
      <c r="AP8" s="13" t="s">
        <v>58</v>
      </c>
      <c r="AQ8" s="14">
        <f>F25</f>
        <v>2553198704</v>
      </c>
      <c r="AR8" s="14">
        <f>I25</f>
        <v>1630281120</v>
      </c>
      <c r="AS8" s="14">
        <f>L25</f>
        <v>1412610891</v>
      </c>
      <c r="AT8" s="15"/>
      <c r="AU8" s="419">
        <f t="shared" si="0"/>
        <v>0.63852496769871459</v>
      </c>
      <c r="AV8" s="419">
        <f t="shared" si="1"/>
        <v>0.55327103557859236</v>
      </c>
      <c r="AW8" s="14">
        <f>I26/AO$2*12+I27</f>
        <v>2645910729.2857141</v>
      </c>
      <c r="AX8" s="14">
        <f>L26/AO$2*12+L27</f>
        <v>2272761765.2857141</v>
      </c>
      <c r="AY8" s="14">
        <f t="shared" si="2"/>
        <v>92712025.285714149</v>
      </c>
      <c r="AZ8" s="420">
        <f t="shared" si="3"/>
        <v>-280436938.71428585</v>
      </c>
      <c r="BB8" s="167" t="s">
        <v>59</v>
      </c>
      <c r="BC8" s="83">
        <f>BC9+BC19</f>
        <v>3390927588</v>
      </c>
      <c r="BD8" s="84">
        <f>BD9+BD19</f>
        <v>2001383998</v>
      </c>
      <c r="BE8" s="85">
        <f>BE9+BE19</f>
        <v>250052396</v>
      </c>
      <c r="BF8" s="75"/>
      <c r="BG8" s="86" t="s">
        <v>60</v>
      </c>
      <c r="BH8" s="87">
        <f>BN9+BN13</f>
        <v>2162482035</v>
      </c>
      <c r="BI8" s="87">
        <f>BO9+BO13</f>
        <v>1146179253</v>
      </c>
      <c r="BJ8" s="87">
        <f>BP9+BP13</f>
        <v>1146179253</v>
      </c>
      <c r="BK8" s="87">
        <f>BQ9+BQ13</f>
        <v>227457380</v>
      </c>
      <c r="BM8" s="89" t="s">
        <v>61</v>
      </c>
      <c r="BN8" s="90">
        <f>BN9+BN14+BN13</f>
        <v>2338916990</v>
      </c>
      <c r="BO8" s="87">
        <f>BO9+BO14+BO13</f>
        <v>1210112234</v>
      </c>
      <c r="BP8" s="87">
        <f>BP9+BP14+BP13</f>
        <v>1210112234</v>
      </c>
      <c r="BQ8" s="88">
        <f>BQ9+BQ14+BQ13</f>
        <v>237871069</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32860005</v>
      </c>
      <c r="AS9" s="14">
        <f>L28+L75</f>
        <v>32860005</v>
      </c>
      <c r="AT9" s="15"/>
      <c r="AU9" s="429">
        <f t="shared" si="0"/>
        <v>29.872731818181819</v>
      </c>
      <c r="AV9" s="429">
        <f t="shared" si="1"/>
        <v>29.872731818181819</v>
      </c>
      <c r="AW9" s="430">
        <f>(I30+I33+I36+I76)/AO$2*12+I31+I34+I37+I38+I39+I40+I77</f>
        <v>56331437.142857134</v>
      </c>
      <c r="AX9" s="430">
        <f>(L30+L33+L36+L76)/AO$2*12+L31+L34+L37+L38+L39+L40+L77</f>
        <v>56331437.142857134</v>
      </c>
      <c r="AY9" s="430">
        <f t="shared" si="2"/>
        <v>55231437.142857134</v>
      </c>
      <c r="AZ9" s="431">
        <f t="shared" si="3"/>
        <v>55231437.142857134</v>
      </c>
      <c r="BB9" s="432" t="s">
        <v>456</v>
      </c>
      <c r="BC9" s="91">
        <f>BC10+BC18</f>
        <v>3275748559</v>
      </c>
      <c r="BD9" s="92">
        <f>BD10+BD18</f>
        <v>1906574086</v>
      </c>
      <c r="BE9" s="93">
        <f>BE10+BE18</f>
        <v>234877084</v>
      </c>
      <c r="BF9" s="94"/>
      <c r="BG9" s="95" t="s">
        <v>64</v>
      </c>
      <c r="BH9" s="96">
        <f t="shared" ref="BH9:BK10" si="6">BN14</f>
        <v>176434955</v>
      </c>
      <c r="BI9" s="96">
        <f t="shared" si="6"/>
        <v>63932981</v>
      </c>
      <c r="BJ9" s="96">
        <f t="shared" si="6"/>
        <v>63932981</v>
      </c>
      <c r="BK9" s="96">
        <f t="shared" si="6"/>
        <v>10413689</v>
      </c>
      <c r="BM9" s="164" t="s">
        <v>65</v>
      </c>
      <c r="BN9" s="98">
        <f>SUM(BN10:BN12)</f>
        <v>1595742067</v>
      </c>
      <c r="BO9" s="96">
        <f>SUM(BO10:BO12)</f>
        <v>829083670</v>
      </c>
      <c r="BP9" s="96">
        <f>SUM(BP10:BP12)</f>
        <v>829083670</v>
      </c>
      <c r="BQ9" s="97">
        <f>SUM(BQ10:BQ12)</f>
        <v>178444665</v>
      </c>
    </row>
    <row r="10" spans="1:69" s="10" customFormat="1" ht="19.5" x14ac:dyDescent="0.2">
      <c r="A10" s="433">
        <f>+IF(JUNIO!A10=0,"",JUNIO!A10)</f>
        <v>10</v>
      </c>
      <c r="B10" s="434" t="str">
        <f>+IF(JUNIO!B10=0,"",JUNIO!B10)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+IF(JUNIO!S10=0,"",JUNIO!S10)</f>
        <v>A</v>
      </c>
      <c r="T10" s="439" t="str">
        <f>+IF(JUNIO!T10=0,"",JUNIO!T10)</f>
        <v>GASTOS DE FUNCIONAMIENTO</v>
      </c>
      <c r="U10" s="440">
        <f t="shared" ref="U10:AJ10" si="8">U12+U110+U170+U193</f>
        <v>3509937912</v>
      </c>
      <c r="V10" s="441">
        <f t="shared" si="8"/>
        <v>1563100</v>
      </c>
      <c r="W10" s="441">
        <f t="shared" si="8"/>
        <v>122223183</v>
      </c>
      <c r="X10" s="444">
        <f t="shared" si="8"/>
        <v>3633724195</v>
      </c>
      <c r="Y10" s="443">
        <f t="shared" si="8"/>
        <v>1677433250</v>
      </c>
      <c r="Z10" s="441">
        <f t="shared" si="8"/>
        <v>293975539</v>
      </c>
      <c r="AA10" s="444">
        <f t="shared" si="8"/>
        <v>1971408789</v>
      </c>
      <c r="AB10" s="443">
        <f t="shared" si="8"/>
        <v>1677406237</v>
      </c>
      <c r="AC10" s="441">
        <f t="shared" si="8"/>
        <v>293975237</v>
      </c>
      <c r="AD10" s="444">
        <f t="shared" si="8"/>
        <v>1971381474</v>
      </c>
      <c r="AE10" s="443">
        <f t="shared" si="8"/>
        <v>1408151094</v>
      </c>
      <c r="AF10" s="441">
        <f t="shared" si="8"/>
        <v>352637760</v>
      </c>
      <c r="AG10" s="444">
        <f t="shared" si="8"/>
        <v>1760788854</v>
      </c>
      <c r="AH10" s="443">
        <f t="shared" si="8"/>
        <v>1662315406</v>
      </c>
      <c r="AI10" s="441">
        <f t="shared" si="8"/>
        <v>1662342721</v>
      </c>
      <c r="AJ10" s="442">
        <f t="shared" si="8"/>
        <v>1872935341</v>
      </c>
      <c r="AL10" s="445">
        <f>AL12+AL110+AL170+AL193</f>
        <v>0</v>
      </c>
      <c r="AM10" s="446">
        <f>AM12+AM110+AM170+AM193</f>
        <v>63700000</v>
      </c>
      <c r="AO10" s="428"/>
      <c r="AP10" s="13" t="s">
        <v>67</v>
      </c>
      <c r="AQ10" s="14">
        <f>F42</f>
        <v>125397398</v>
      </c>
      <c r="AR10" s="14">
        <f>I42</f>
        <v>60206786</v>
      </c>
      <c r="AS10" s="14">
        <f>L42</f>
        <v>32987732</v>
      </c>
      <c r="AT10" s="15"/>
      <c r="AU10" s="429">
        <f t="shared" si="0"/>
        <v>0.4801278731477347</v>
      </c>
      <c r="AV10" s="429">
        <f t="shared" si="1"/>
        <v>0.26306552230055047</v>
      </c>
      <c r="AW10" s="430">
        <f>I43/AO$2*12+I44</f>
        <v>103211633.14285715</v>
      </c>
      <c r="AX10" s="430">
        <f>L43/AO$2*12+L44</f>
        <v>56550397.714285716</v>
      </c>
      <c r="AY10" s="430">
        <f t="shared" si="2"/>
        <v>-22185764.857142851</v>
      </c>
      <c r="AZ10" s="431">
        <f t="shared" si="3"/>
        <v>-68847000.285714284</v>
      </c>
      <c r="BB10" s="447" t="s">
        <v>457</v>
      </c>
      <c r="BC10" s="91">
        <f>BC11+BC12+BC13+BC14+BC16+BC17+BC15</f>
        <v>3023223118</v>
      </c>
      <c r="BD10" s="92">
        <f>BD11+BD12+BD13+BD14+BD16+BD17+BD15</f>
        <v>1759267596</v>
      </c>
      <c r="BE10" s="93">
        <f>BE11+BE12+BE13+BE14+BE16+BE17+BE15</f>
        <v>213833315</v>
      </c>
      <c r="BF10" s="94"/>
      <c r="BG10" s="86" t="s">
        <v>68</v>
      </c>
      <c r="BH10" s="99">
        <f t="shared" si="6"/>
        <v>622444299</v>
      </c>
      <c r="BI10" s="99">
        <f t="shared" si="6"/>
        <v>374234877</v>
      </c>
      <c r="BJ10" s="99">
        <f t="shared" si="6"/>
        <v>374234875</v>
      </c>
      <c r="BK10" s="99">
        <f t="shared" si="6"/>
        <v>66465771</v>
      </c>
      <c r="BM10" s="161" t="s">
        <v>470</v>
      </c>
      <c r="BN10" s="101">
        <f>X17+X66</f>
        <v>1269481968</v>
      </c>
      <c r="BO10" s="99">
        <f>AA17+AA66</f>
        <v>730213652</v>
      </c>
      <c r="BP10" s="99">
        <f>AD17+AD66</f>
        <v>730213652</v>
      </c>
      <c r="BQ10" s="100">
        <f>AF17+AF66</f>
        <v>149634166</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0.58333333333333337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1421881453</v>
      </c>
      <c r="BE11" s="93">
        <f>K26</f>
        <v>180801164</v>
      </c>
      <c r="BF11" s="94"/>
      <c r="BG11" s="86" t="s">
        <v>69</v>
      </c>
      <c r="BH11" s="102">
        <f>BN22</f>
        <v>197767489</v>
      </c>
      <c r="BI11" s="102">
        <f>BO22</f>
        <v>80309946</v>
      </c>
      <c r="BJ11" s="102">
        <f>BP22</f>
        <v>80309946</v>
      </c>
      <c r="BK11" s="102">
        <f>BQ22</f>
        <v>18614447</v>
      </c>
      <c r="BM11" s="162" t="s">
        <v>471</v>
      </c>
      <c r="BN11" s="104">
        <f>X18+X67</f>
        <v>136976782</v>
      </c>
      <c r="BO11" s="102">
        <f>AA18+AA67</f>
        <v>60518204</v>
      </c>
      <c r="BP11" s="102">
        <f>AD18+AD67</f>
        <v>60518204</v>
      </c>
      <c r="BQ11" s="103">
        <f>AF18+AF67</f>
        <v>10248154</v>
      </c>
    </row>
    <row r="12" spans="1:69" s="10" customFormat="1" ht="25.5" x14ac:dyDescent="0.2">
      <c r="A12" s="203">
        <f>+IF(JUNIO!A12=0,"",JUNIO!A12)</f>
        <v>1001</v>
      </c>
      <c r="B12" s="251" t="str">
        <f>+IF(JUNIO!B12=0,"",JUNIO!B12)</f>
        <v>Bienestar Social (Caja, Bancos, Inversiones Tempor.) a Dic-31-2013</v>
      </c>
      <c r="C12" s="283">
        <f>+ENERO!C12</f>
        <v>0</v>
      </c>
      <c r="D12" s="456">
        <f>JUNIO!D12+JULIO!P12</f>
        <v>0</v>
      </c>
      <c r="E12" s="456">
        <f>JUNIO!E12+JULIO!Q12</f>
        <v>0</v>
      </c>
      <c r="F12" s="170">
        <f>SUM(C12:E12)</f>
        <v>0</v>
      </c>
      <c r="G12" s="283">
        <f>JUNIO!I12</f>
        <v>0</v>
      </c>
      <c r="H12" s="154">
        <v>0</v>
      </c>
      <c r="I12" s="170">
        <f>SUM(G12:H12)</f>
        <v>0</v>
      </c>
      <c r="J12" s="283">
        <f>JUNIO!L12</f>
        <v>0</v>
      </c>
      <c r="K12" s="154">
        <v>0</v>
      </c>
      <c r="L12" s="170">
        <f>SUM(J12:K12)</f>
        <v>0</v>
      </c>
      <c r="M12" s="283">
        <f>F12-I12</f>
        <v>0</v>
      </c>
      <c r="N12" s="170">
        <f>F12-L12</f>
        <v>0</v>
      </c>
      <c r="O12" s="365"/>
      <c r="P12" s="455">
        <v>0</v>
      </c>
      <c r="Q12" s="458">
        <v>0</v>
      </c>
      <c r="S12" s="459">
        <f>+IF(JUNIO!S12=0,"",JUNIO!S12)</f>
        <v>1000000</v>
      </c>
      <c r="T12" s="460" t="str">
        <f>+IF(JUNIO!T12=0,"",JUNIO!T12)</f>
        <v>GASTOS DE PERSONAL</v>
      </c>
      <c r="U12" s="461">
        <f t="shared" ref="U12:AJ12" si="9">U14+U63</f>
        <v>2360005696</v>
      </c>
      <c r="V12" s="462">
        <f t="shared" si="9"/>
        <v>0</v>
      </c>
      <c r="W12" s="462">
        <f t="shared" si="9"/>
        <v>19989110</v>
      </c>
      <c r="X12" s="463">
        <f t="shared" si="9"/>
        <v>2379994806</v>
      </c>
      <c r="Y12" s="445">
        <f t="shared" si="9"/>
        <v>1069315008</v>
      </c>
      <c r="Z12" s="462">
        <f t="shared" si="9"/>
        <v>181410042</v>
      </c>
      <c r="AA12" s="463">
        <f t="shared" si="9"/>
        <v>1250725050</v>
      </c>
      <c r="AB12" s="445">
        <f t="shared" si="9"/>
        <v>1069315008</v>
      </c>
      <c r="AC12" s="462">
        <f t="shared" si="9"/>
        <v>181410042</v>
      </c>
      <c r="AD12" s="463">
        <f t="shared" si="9"/>
        <v>1250725050</v>
      </c>
      <c r="AE12" s="445">
        <f t="shared" si="9"/>
        <v>962242586</v>
      </c>
      <c r="AF12" s="462">
        <f t="shared" si="9"/>
        <v>238358217</v>
      </c>
      <c r="AG12" s="463">
        <f t="shared" si="9"/>
        <v>1200600803</v>
      </c>
      <c r="AH12" s="445">
        <f t="shared" si="9"/>
        <v>1129269756</v>
      </c>
      <c r="AI12" s="462">
        <f t="shared" si="9"/>
        <v>1129269756</v>
      </c>
      <c r="AJ12" s="446">
        <f t="shared" si="9"/>
        <v>1179394003</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163731555</v>
      </c>
      <c r="BE12" s="93">
        <f>K23</f>
        <v>20673291</v>
      </c>
      <c r="BF12" s="94"/>
      <c r="BG12" s="466" t="s">
        <v>412</v>
      </c>
      <c r="BH12" s="102">
        <f>BN25</f>
        <v>328675926</v>
      </c>
      <c r="BI12" s="17">
        <f>BO25</f>
        <v>161298241</v>
      </c>
      <c r="BJ12" s="102">
        <f>BP25</f>
        <v>161270928</v>
      </c>
      <c r="BK12" s="102">
        <f>BQ25</f>
        <v>24933887</v>
      </c>
      <c r="BM12" s="163" t="s">
        <v>472</v>
      </c>
      <c r="BN12" s="104">
        <f>X16+X65-X81-X33-BN10-BN11</f>
        <v>189283317</v>
      </c>
      <c r="BO12" s="102">
        <f>AA16+AA65-AA81-AA33-BO10-BO11</f>
        <v>38351814</v>
      </c>
      <c r="BP12" s="102">
        <f>AD16+AD65-AD81-AD33-BP10-BP11</f>
        <v>38351814</v>
      </c>
      <c r="BQ12" s="103">
        <f>AF16+AF65-AF81-AF33-BQ10-BQ11</f>
        <v>18562345</v>
      </c>
    </row>
    <row r="13" spans="1:69" s="10" customFormat="1" ht="25.5" x14ac:dyDescent="0.25">
      <c r="A13" s="203">
        <f>+IF(JUNIO!A13=0,"",JUNIO!A13)</f>
        <v>1002</v>
      </c>
      <c r="B13" s="251" t="str">
        <f>+IF(JUNIO!B13=0,"",JUNIO!B13)</f>
        <v>Fondo Vivienda (Caja, Bancos, Inversiones Tempor.) a Dic-31-2013</v>
      </c>
      <c r="C13" s="283">
        <f>+ENERO!C13</f>
        <v>0</v>
      </c>
      <c r="D13" s="456">
        <f>JUNIO!D13+JULIO!P13</f>
        <v>0</v>
      </c>
      <c r="E13" s="456">
        <f>JUNIO!E13+JULIO!Q13</f>
        <v>0</v>
      </c>
      <c r="F13" s="170">
        <f>SUM(C13:E13)</f>
        <v>0</v>
      </c>
      <c r="G13" s="283">
        <f>JUNIO!I13</f>
        <v>0</v>
      </c>
      <c r="H13" s="154">
        <v>0</v>
      </c>
      <c r="I13" s="170">
        <f>SUM(G13:H13)</f>
        <v>0</v>
      </c>
      <c r="J13" s="283">
        <f>JUNIO!L13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205410140</v>
      </c>
      <c r="BI13" s="102">
        <f t="shared" si="10"/>
        <v>130336875</v>
      </c>
      <c r="BJ13" s="102">
        <f t="shared" si="10"/>
        <v>130335646</v>
      </c>
      <c r="BK13" s="102">
        <f t="shared" si="10"/>
        <v>39231756</v>
      </c>
      <c r="BM13" s="166" t="s">
        <v>473</v>
      </c>
      <c r="BN13" s="101">
        <f>X43-X55+X57-X61+X90-X102+X104-X108</f>
        <v>566739968</v>
      </c>
      <c r="BO13" s="99">
        <f>AA43-AA55+AA57-AA61+AA90-AA102+AA104-AA108</f>
        <v>317095583</v>
      </c>
      <c r="BP13" s="99">
        <f>AD43-AD55+AD57-AD61+AD90-AD102+AD104-AD108</f>
        <v>317095583</v>
      </c>
      <c r="BQ13" s="100">
        <f>AF43-AF55+AF57-AF61+AF90-AF102+AF104-AF108</f>
        <v>49012715</v>
      </c>
    </row>
    <row r="14" spans="1:69" s="10" customFormat="1" ht="15.75" x14ac:dyDescent="0.25">
      <c r="A14" s="203">
        <f>+IF(JUNIO!A14=0,"",JUNIO!A14)</f>
        <v>1003</v>
      </c>
      <c r="B14" s="251" t="str">
        <f>+IF(JUNIO!B14=0,"",JUNIO!B14)</f>
        <v>Fondos Comunes y Especiales (Caja, Bancos, Invers. Tempor.) a Dic-31-2013</v>
      </c>
      <c r="C14" s="283">
        <f>+ENERO!C14</f>
        <v>80000000</v>
      </c>
      <c r="D14" s="456">
        <f>JUNIO!D14+JULIO!P14</f>
        <v>0</v>
      </c>
      <c r="E14" s="456">
        <f>JUNIO!E14+JULIO!Q14</f>
        <v>33074115</v>
      </c>
      <c r="F14" s="170">
        <f>SUM(C14:E14)</f>
        <v>113074115</v>
      </c>
      <c r="G14" s="283">
        <f>JUNIO!I14</f>
        <v>113074115</v>
      </c>
      <c r="H14" s="154">
        <v>0</v>
      </c>
      <c r="I14" s="170">
        <f>SUM(G14:H14)</f>
        <v>113074115</v>
      </c>
      <c r="J14" s="283">
        <f>JUNIO!L14</f>
        <v>113074115</v>
      </c>
      <c r="K14" s="154">
        <v>0</v>
      </c>
      <c r="L14" s="170">
        <f>SUM(J14:K14)</f>
        <v>113074115</v>
      </c>
      <c r="M14" s="283">
        <f>F14-I14</f>
        <v>0</v>
      </c>
      <c r="N14" s="170">
        <f>F14-L14</f>
        <v>0</v>
      </c>
      <c r="O14" s="467"/>
      <c r="P14" s="455">
        <v>0</v>
      </c>
      <c r="Q14" s="458">
        <v>0</v>
      </c>
      <c r="S14" s="469">
        <f>+IF(JUNIO!S14=0,"",JUNIO!S14)</f>
        <v>1010000</v>
      </c>
      <c r="T14" s="470" t="str">
        <f>+IF(JUNIO!T14=0,"",JUNIO!T14)</f>
        <v>Gastos de Administración</v>
      </c>
      <c r="U14" s="157">
        <f t="shared" ref="U14:AJ14" si="11">U16+U35+U43+U57</f>
        <v>703883287</v>
      </c>
      <c r="V14" s="144">
        <f t="shared" si="11"/>
        <v>-5657703</v>
      </c>
      <c r="W14" s="144">
        <f t="shared" si="11"/>
        <v>1200000</v>
      </c>
      <c r="X14" s="152">
        <f t="shared" si="11"/>
        <v>699425584</v>
      </c>
      <c r="Y14" s="151">
        <f t="shared" si="11"/>
        <v>309279474</v>
      </c>
      <c r="Z14" s="144">
        <f t="shared" si="11"/>
        <v>41659418</v>
      </c>
      <c r="AA14" s="152">
        <f t="shared" si="11"/>
        <v>350938892</v>
      </c>
      <c r="AB14" s="151">
        <f t="shared" si="11"/>
        <v>309279474</v>
      </c>
      <c r="AC14" s="144">
        <f t="shared" si="11"/>
        <v>41659418</v>
      </c>
      <c r="AD14" s="152">
        <f t="shared" si="11"/>
        <v>350938892</v>
      </c>
      <c r="AE14" s="151">
        <f t="shared" si="11"/>
        <v>274506378</v>
      </c>
      <c r="AF14" s="144">
        <f t="shared" si="11"/>
        <v>58450697</v>
      </c>
      <c r="AG14" s="152">
        <f t="shared" si="11"/>
        <v>332957075</v>
      </c>
      <c r="AH14" s="151">
        <f t="shared" si="11"/>
        <v>348486692</v>
      </c>
      <c r="AI14" s="144">
        <f t="shared" si="11"/>
        <v>348486692</v>
      </c>
      <c r="AJ14" s="153">
        <f t="shared" si="11"/>
        <v>366468509</v>
      </c>
      <c r="AK14" s="12"/>
      <c r="AL14" s="151">
        <f>AL16+AL35+AL43+AL57</f>
        <v>0</v>
      </c>
      <c r="AM14" s="153">
        <f>AM16+AM35+AM43+AM57</f>
        <v>0</v>
      </c>
      <c r="AO14" s="23"/>
      <c r="AP14" s="13" t="s">
        <v>75</v>
      </c>
      <c r="AQ14" s="14">
        <f>F19-AQ7-AQ8-AQ9-AQ10-AQ11-AQ12-AQ13</f>
        <v>387837872</v>
      </c>
      <c r="AR14" s="14">
        <f>I19-AR7-AR8-AR9-AR10-AR11-AR12-AR13</f>
        <v>239711582</v>
      </c>
      <c r="AS14" s="14">
        <f>L19-AS7-AS8-AS9-AS10-AS11-AS12-AS13</f>
        <v>204689332</v>
      </c>
      <c r="AT14" s="467"/>
      <c r="AU14" s="429">
        <f t="shared" si="0"/>
        <v>0.61807162040121755</v>
      </c>
      <c r="AV14" s="429">
        <f t="shared" si="1"/>
        <v>0.52777035657827664</v>
      </c>
      <c r="AW14" s="430">
        <f>(I41+I46+I49+I52+I55+I58+I61+I64+I67+I70+I73+I78+I81+I82+I83+I86+I87+I93)/AO$2*12+I47+I50+I53+I56+I59+I62+I65+I68+I71+I74</f>
        <v>364995659.85714287</v>
      </c>
      <c r="AX14" s="430">
        <f>(L41+L46+L49+L52+L55+L58+L61+L64+L67+L70+L73+L78+L81+L82+L83+L86+L87+L93)/AO$2*12+L47+L50+L53+L56+L59+L62+L65+L68+L71+L74</f>
        <v>304957517</v>
      </c>
      <c r="AY14" s="430">
        <f t="shared" si="2"/>
        <v>-22842212.142857134</v>
      </c>
      <c r="AZ14" s="431">
        <f t="shared" si="3"/>
        <v>-82880355</v>
      </c>
      <c r="BB14" s="468" t="s">
        <v>461</v>
      </c>
      <c r="BC14" s="110">
        <f>+F64</f>
        <v>40103182</v>
      </c>
      <c r="BD14" s="111">
        <f>+I64</f>
        <v>18612760</v>
      </c>
      <c r="BE14" s="112">
        <f>K64</f>
        <v>892937</v>
      </c>
      <c r="BF14" s="113"/>
      <c r="BG14" s="109" t="s">
        <v>76</v>
      </c>
      <c r="BH14" s="99">
        <f t="shared" si="10"/>
        <v>0</v>
      </c>
      <c r="BI14" s="99">
        <f t="shared" si="10"/>
        <v>0</v>
      </c>
      <c r="BJ14" s="99">
        <f t="shared" si="10"/>
        <v>0</v>
      </c>
      <c r="BK14" s="99">
        <f t="shared" si="10"/>
        <v>0</v>
      </c>
      <c r="BM14" s="165" t="s">
        <v>469</v>
      </c>
      <c r="BN14" s="104">
        <f>X35-X41+X83-X88</f>
        <v>176434955</v>
      </c>
      <c r="BO14" s="102">
        <f>AA35-AA41+AA83-AA88</f>
        <v>63932981</v>
      </c>
      <c r="BP14" s="102">
        <f>AD35-AD41+AD83-AD88</f>
        <v>63932981</v>
      </c>
      <c r="BQ14" s="103">
        <f>AF35-AF41+AF83-AF88</f>
        <v>10413689</v>
      </c>
    </row>
    <row r="15" spans="1:69" s="10" customFormat="1" ht="16.5" thickBot="1" x14ac:dyDescent="0.3">
      <c r="A15" s="204">
        <f>+IF(JUNIO!A15=0,"",JUNIO!A15)</f>
        <v>1004</v>
      </c>
      <c r="B15" s="677" t="str">
        <f>+IF(JUNIO!B15=0,"",JUNIO!B15)</f>
        <v>Cesantias Ley 50/1990 a Dic-31-2013</v>
      </c>
      <c r="C15" s="474">
        <f>+ENERO!C15</f>
        <v>20000000</v>
      </c>
      <c r="D15" s="472">
        <f>JUNIO!D15+JULIO!P15</f>
        <v>0</v>
      </c>
      <c r="E15" s="472">
        <f>JUNIO!E15+JULIO!Q15</f>
        <v>0</v>
      </c>
      <c r="F15" s="473">
        <f>SUM(C15:E15)</f>
        <v>20000000</v>
      </c>
      <c r="G15" s="474">
        <f>JUNIO!I15</f>
        <v>20000000</v>
      </c>
      <c r="H15" s="197">
        <v>0</v>
      </c>
      <c r="I15" s="473">
        <f>SUM(G15:H15)</f>
        <v>20000000</v>
      </c>
      <c r="J15" s="474">
        <f>JUNIO!L15</f>
        <v>20000000</v>
      </c>
      <c r="K15" s="197">
        <v>0</v>
      </c>
      <c r="L15" s="473">
        <f>SUM(J15:K15)</f>
        <v>20000000</v>
      </c>
      <c r="M15" s="474">
        <f>F15-I15</f>
        <v>0</v>
      </c>
      <c r="N15" s="473">
        <f>F15-L15</f>
        <v>0</v>
      </c>
      <c r="O15" s="467"/>
      <c r="P15" s="471">
        <v>0</v>
      </c>
      <c r="Q15" s="476">
        <v>0</v>
      </c>
      <c r="S15" s="448" t="str">
        <f>+IF(JUNIO!S15=0,"",JUNIO!S15)</f>
        <v/>
      </c>
      <c r="T15" s="649" t="str">
        <f>+IF(JUNIO!T15=0,"",JUNIO!T15)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2306623</v>
      </c>
      <c r="AS15" s="14">
        <f>L108</f>
        <v>2306623</v>
      </c>
      <c r="AT15" s="15"/>
      <c r="AU15" s="419">
        <f t="shared" si="0"/>
        <v>1.5320033782376674E-2</v>
      </c>
      <c r="AV15" s="429">
        <f t="shared" si="1"/>
        <v>1.5320033782376674E-2</v>
      </c>
      <c r="AW15" s="14">
        <f>AQ15</f>
        <v>150562527</v>
      </c>
      <c r="AX15" s="14">
        <f>AR15</f>
        <v>2306623</v>
      </c>
      <c r="AY15" s="14">
        <f t="shared" si="2"/>
        <v>0</v>
      </c>
      <c r="AZ15" s="420">
        <f t="shared" si="3"/>
        <v>-148255904</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4752586</v>
      </c>
      <c r="BM15" s="89" t="s">
        <v>68</v>
      </c>
      <c r="BN15" s="101">
        <f>SUM(BN16:BN21)</f>
        <v>622444299</v>
      </c>
      <c r="BO15" s="99">
        <f>SUM(BO16:BO21)</f>
        <v>374234877</v>
      </c>
      <c r="BP15" s="99">
        <f>SUM(BP16:BP21)</f>
        <v>374234875</v>
      </c>
      <c r="BQ15" s="100">
        <f>SUM(BQ16:BQ21)</f>
        <v>66465771</v>
      </c>
    </row>
    <row r="16" spans="1:69" s="10" customFormat="1" ht="15.75" thickBot="1" x14ac:dyDescent="0.3">
      <c r="A16" s="198" t="str">
        <f>+IF(JUNIO!A16=0,"",JUNIO!A16)</f>
        <v/>
      </c>
      <c r="B16" s="477" t="str">
        <f>+IF(JUNIO!B16=0,"",JUNIO!B16)</f>
        <v/>
      </c>
      <c r="C16" s="478"/>
      <c r="D16" s="478"/>
      <c r="E16" s="478"/>
      <c r="F16" s="478"/>
      <c r="G16" s="478"/>
      <c r="H16" s="478"/>
      <c r="I16" s="478"/>
      <c r="J16" s="478"/>
      <c r="K16" s="478"/>
      <c r="L16" s="478"/>
      <c r="M16" s="478"/>
      <c r="N16" s="479"/>
      <c r="O16" s="467"/>
      <c r="P16" s="480"/>
      <c r="Q16" s="481"/>
      <c r="S16" s="34">
        <f>+IF(JUNIO!S16=0,"",JUNIO!S16)</f>
        <v>1010100</v>
      </c>
      <c r="T16" s="158" t="str">
        <f>+IF(JUNIO!T16=0,"",JUNIO!T16)</f>
        <v>Servicios Personales Asociados a Nómina</v>
      </c>
      <c r="U16" s="157">
        <f t="shared" ref="U16:AJ16" si="12">SUM(U17:U20)+U33</f>
        <v>451022301</v>
      </c>
      <c r="V16" s="144">
        <f t="shared" si="12"/>
        <v>-3476851</v>
      </c>
      <c r="W16" s="144">
        <f t="shared" si="12"/>
        <v>0</v>
      </c>
      <c r="X16" s="152">
        <f t="shared" si="12"/>
        <v>447545450</v>
      </c>
      <c r="Y16" s="151">
        <f t="shared" si="12"/>
        <v>196204861</v>
      </c>
      <c r="Z16" s="144">
        <f t="shared" si="12"/>
        <v>27372085</v>
      </c>
      <c r="AA16" s="152">
        <f t="shared" si="12"/>
        <v>223576946</v>
      </c>
      <c r="AB16" s="151">
        <f t="shared" si="12"/>
        <v>196204861</v>
      </c>
      <c r="AC16" s="144">
        <f t="shared" si="12"/>
        <v>27372085</v>
      </c>
      <c r="AD16" s="152">
        <f t="shared" si="12"/>
        <v>223576946</v>
      </c>
      <c r="AE16" s="151">
        <f t="shared" si="12"/>
        <v>172635532</v>
      </c>
      <c r="AF16" s="144">
        <f t="shared" si="12"/>
        <v>45851570</v>
      </c>
      <c r="AG16" s="152">
        <f t="shared" si="12"/>
        <v>218487102</v>
      </c>
      <c r="AH16" s="151">
        <f t="shared" si="12"/>
        <v>223968504</v>
      </c>
      <c r="AI16" s="144">
        <f t="shared" si="12"/>
        <v>223968504</v>
      </c>
      <c r="AJ16" s="153">
        <f t="shared" si="12"/>
        <v>229058348</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60206786</v>
      </c>
      <c r="BE16" s="93">
        <f>K43</f>
        <v>101624</v>
      </c>
      <c r="BF16" s="94"/>
      <c r="BG16" s="109" t="s">
        <v>84</v>
      </c>
      <c r="BH16" s="114">
        <f>BH7+BH12+BH13+BH14+BH15</f>
        <v>3839134335</v>
      </c>
      <c r="BI16" s="114">
        <f>BI7+BI12+BI13+BI14+BI15</f>
        <v>2101745664</v>
      </c>
      <c r="BJ16" s="114">
        <f>BJ7+BJ12+BJ13+BJ14+BJ15</f>
        <v>2101717120</v>
      </c>
      <c r="BK16" s="114">
        <f>BK7+BK12+BK13+BK14+BK15</f>
        <v>391869516</v>
      </c>
      <c r="BM16" s="164" t="s">
        <v>85</v>
      </c>
      <c r="BN16" s="101">
        <f>X114-X121+X147-X148-X153</f>
        <v>157592049</v>
      </c>
      <c r="BO16" s="99">
        <f>AA114-AA121+AA147-AA148-AA153</f>
        <v>119507054</v>
      </c>
      <c r="BP16" s="99">
        <f>AD114-AD121+AD147-AD148-AD153</f>
        <v>119507052</v>
      </c>
      <c r="BQ16" s="100">
        <f>AF114-AF121+AF147-AF148-AF153</f>
        <v>18172937</v>
      </c>
    </row>
    <row r="17" spans="1:70" s="467" customFormat="1" ht="17.25" thickBot="1" x14ac:dyDescent="0.3">
      <c r="A17" s="433">
        <f>+IF(JUNIO!A17=0,"",JUNIO!A17)</f>
        <v>11</v>
      </c>
      <c r="B17" s="439" t="str">
        <f>+IF(JUNIO!B17=0,"",JUNIO!B17)</f>
        <v>INGRESOS  CORRIENTES</v>
      </c>
      <c r="C17" s="435">
        <f>C19+C99</f>
        <v>3530048625</v>
      </c>
      <c r="D17" s="435">
        <f t="shared" ref="D17:N17" si="13">D19+D99</f>
        <v>0</v>
      </c>
      <c r="E17" s="435">
        <f t="shared" si="13"/>
        <v>25449068</v>
      </c>
      <c r="F17" s="435">
        <f t="shared" si="13"/>
        <v>3555497693</v>
      </c>
      <c r="G17" s="435">
        <f t="shared" si="13"/>
        <v>2026075434</v>
      </c>
      <c r="H17" s="435">
        <f t="shared" si="13"/>
        <v>318825043</v>
      </c>
      <c r="I17" s="435">
        <f t="shared" si="13"/>
        <v>2344900477</v>
      </c>
      <c r="J17" s="435">
        <f t="shared" si="13"/>
        <v>1645972048</v>
      </c>
      <c r="K17" s="435">
        <f t="shared" si="13"/>
        <v>286585401</v>
      </c>
      <c r="L17" s="435">
        <f t="shared" si="13"/>
        <v>1932557449</v>
      </c>
      <c r="M17" s="435">
        <f t="shared" si="13"/>
        <v>1210597216</v>
      </c>
      <c r="N17" s="216">
        <f t="shared" si="13"/>
        <v>1622940244</v>
      </c>
      <c r="P17" s="215">
        <f>P19+P99</f>
        <v>0</v>
      </c>
      <c r="Q17" s="216">
        <f>Q19+Q99</f>
        <v>0</v>
      </c>
      <c r="R17" s="10"/>
      <c r="S17" s="155">
        <f>+IF(JUNIO!S17=0,"",JUNIO!S17)</f>
        <v>1010101</v>
      </c>
      <c r="T17" s="159" t="str">
        <f>+IF(JUNIO!T17=0,"",JUNIO!T17)</f>
        <v>Sueldos del Personal de nómina</v>
      </c>
      <c r="U17" s="29">
        <f>+ENERO!U17</f>
        <v>368370792</v>
      </c>
      <c r="V17" s="17">
        <f>JUNIO!V17+JULIO!AL17</f>
        <v>0</v>
      </c>
      <c r="W17" s="17">
        <f>JUNIO!W17+JULIO!AM17</f>
        <v>0</v>
      </c>
      <c r="X17" s="20">
        <f>SUM(U17:W17)</f>
        <v>368370792</v>
      </c>
      <c r="Y17" s="21">
        <f>JUNIO!AA17</f>
        <v>176924645</v>
      </c>
      <c r="Z17" s="457">
        <v>24871481</v>
      </c>
      <c r="AA17" s="20">
        <f>SUM(Y17:Z17)</f>
        <v>201796126</v>
      </c>
      <c r="AB17" s="21">
        <f>JUNIO!AD17</f>
        <v>176924645</v>
      </c>
      <c r="AC17" s="457">
        <v>24871481</v>
      </c>
      <c r="AD17" s="20">
        <f>SUM(AB17:AC17)</f>
        <v>201796126</v>
      </c>
      <c r="AE17" s="21">
        <f>JUNIO!AG17</f>
        <v>156751518</v>
      </c>
      <c r="AF17" s="457">
        <v>39954764</v>
      </c>
      <c r="AG17" s="20">
        <f>SUM(AE17:AF17)</f>
        <v>196706282</v>
      </c>
      <c r="AH17" s="21">
        <f>X17-AA17</f>
        <v>166574666</v>
      </c>
      <c r="AI17" s="17">
        <f>X17-AD17</f>
        <v>166574666</v>
      </c>
      <c r="AJ17" s="18">
        <f>X17-AG17</f>
        <v>171664510</v>
      </c>
      <c r="AK17" s="10"/>
      <c r="AL17" s="455">
        <v>0</v>
      </c>
      <c r="AM17" s="458">
        <v>0</v>
      </c>
      <c r="AN17" s="10"/>
      <c r="AO17" s="428"/>
      <c r="AP17" s="488" t="s">
        <v>87</v>
      </c>
      <c r="AQ17" s="489">
        <f>SUM(AQ7:AQ16)</f>
        <v>3586608894</v>
      </c>
      <c r="AR17" s="490">
        <f>SUM(AR7:AR16)</f>
        <v>2332974725</v>
      </c>
      <c r="AS17" s="491">
        <f>SUM(AS7:AS16)</f>
        <v>1920631697</v>
      </c>
      <c r="AT17" s="492"/>
      <c r="AU17" s="490">
        <f t="shared" si="0"/>
        <v>0.65046811457552811</v>
      </c>
      <c r="AV17" s="490">
        <f t="shared" si="1"/>
        <v>0.53550073447177482</v>
      </c>
      <c r="AW17" s="493">
        <f>SUM(AX7:AX16)</f>
        <v>2950442039.8571429</v>
      </c>
      <c r="AX17" s="493">
        <f>SUM(AX7:AX16)</f>
        <v>2950442039.8571429</v>
      </c>
      <c r="AY17" s="493">
        <f>SUM(AY7:AY16)</f>
        <v>218962812.14285702</v>
      </c>
      <c r="AZ17" s="494">
        <f>SUM(AZ7:AZ16)</f>
        <v>-636166854.14285731</v>
      </c>
      <c r="BA17" s="10"/>
      <c r="BB17" s="468" t="s">
        <v>463</v>
      </c>
      <c r="BC17" s="91">
        <f>F41+F52+F55+F58+F61+F67+F70+F73+F76+F79+F82+F88+F89+F90+F91</f>
        <v>177489895</v>
      </c>
      <c r="BD17" s="92">
        <f>I41+I52+I55+I58+I61+I67+I70+I73+I76+I79+I82+I88+I89+I90+I91</f>
        <v>94835042</v>
      </c>
      <c r="BE17" s="93">
        <f>K41+K52+K55+K58+K61+K67+K70+K73+K76+K79+K82+K88+K89+K90+K91</f>
        <v>11364299</v>
      </c>
      <c r="BF17" s="94"/>
      <c r="BG17" s="116" t="s">
        <v>88</v>
      </c>
      <c r="BH17" s="117">
        <f>BC23-BH16</f>
        <v>0</v>
      </c>
      <c r="BI17" s="117"/>
      <c r="BJ17" s="117"/>
      <c r="BK17" s="117"/>
      <c r="BM17" s="164" t="s">
        <v>479</v>
      </c>
      <c r="BN17" s="101">
        <f>X123-X126-X139+X155-X156-X167-X168</f>
        <v>191636548</v>
      </c>
      <c r="BO17" s="99">
        <f>AA123-AA126-AA139+AA155-AA156-AA167-AA168</f>
        <v>104809907</v>
      </c>
      <c r="BP17" s="99">
        <f>AD123-AD126-AD139+AD155-AD156-AD167-AD168</f>
        <v>104809907</v>
      </c>
      <c r="BQ17" s="100">
        <f>AF123-AF126-AF139+AF155-AF156-AF167-AF168</f>
        <v>20507187</v>
      </c>
      <c r="BR17" s="10"/>
    </row>
    <row r="18" spans="1:70" s="10" customFormat="1" ht="15" thickBot="1" x14ac:dyDescent="0.25">
      <c r="A18" s="202" t="str">
        <f>+IF(JUNIO!A18=0,"",JUNIO!A18)</f>
        <v/>
      </c>
      <c r="B18" s="201" t="str">
        <f>+IF(JUNIO!B18=0,"",JUNIO!B18)</f>
        <v/>
      </c>
      <c r="C18" s="495"/>
      <c r="D18" s="495"/>
      <c r="E18" s="495"/>
      <c r="F18" s="495"/>
      <c r="G18" s="495"/>
      <c r="H18" s="495"/>
      <c r="I18" s="495"/>
      <c r="J18" s="495"/>
      <c r="K18" s="495"/>
      <c r="L18" s="495"/>
      <c r="M18" s="495"/>
      <c r="N18" s="496"/>
      <c r="P18" s="497"/>
      <c r="Q18" s="496"/>
      <c r="S18" s="155">
        <f>+IF(JUNIO!S18=0,"",JUNIO!S18)</f>
        <v>1010102</v>
      </c>
      <c r="T18" s="159" t="str">
        <f>+IF(JUNIO!T18=0,"",JUNIO!T18)</f>
        <v>Horas Extras,Dominic.,Festivos y Rec. Nocturnos</v>
      </c>
      <c r="U18" s="29">
        <f>+ENERO!U18</f>
        <v>20119405</v>
      </c>
      <c r="V18" s="17">
        <f>JUNIO!V18+JULIO!AL18</f>
        <v>0</v>
      </c>
      <c r="W18" s="17">
        <f>JUNIO!W18+JULIO!AM18</f>
        <v>0</v>
      </c>
      <c r="X18" s="20">
        <f>SUM(U18:W18)</f>
        <v>20119405</v>
      </c>
      <c r="Y18" s="21">
        <f>JUNIO!AA18</f>
        <v>5696983</v>
      </c>
      <c r="Z18" s="457">
        <v>1163248</v>
      </c>
      <c r="AA18" s="20">
        <f>SUM(Y18:Z18)</f>
        <v>6860231</v>
      </c>
      <c r="AB18" s="21">
        <f>JUNIO!AD18</f>
        <v>5696983</v>
      </c>
      <c r="AC18" s="457">
        <v>1163248</v>
      </c>
      <c r="AD18" s="20">
        <f>SUM(AB18:AC18)</f>
        <v>6860231</v>
      </c>
      <c r="AE18" s="21">
        <f>JUNIO!AG18</f>
        <v>5696983</v>
      </c>
      <c r="AF18" s="457">
        <v>1163248</v>
      </c>
      <c r="AG18" s="20">
        <f>SUM(AE18:AF18)</f>
        <v>6860231</v>
      </c>
      <c r="AH18" s="21">
        <f>X18-AA18</f>
        <v>13259174</v>
      </c>
      <c r="AI18" s="17">
        <f>X18-AD18</f>
        <v>13259174</v>
      </c>
      <c r="AJ18" s="18">
        <f>X18-AG18</f>
        <v>13259174</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147306490</v>
      </c>
      <c r="BE18" s="93">
        <f>K100+K101+K102+K105</f>
        <v>21043769</v>
      </c>
      <c r="BF18" s="113"/>
      <c r="BM18" s="164" t="s">
        <v>89</v>
      </c>
      <c r="BN18" s="101">
        <f>X148+X156</f>
        <v>222935242</v>
      </c>
      <c r="BO18" s="99">
        <f>AA148+AA156</f>
        <v>118554243</v>
      </c>
      <c r="BP18" s="99">
        <f>AD148+AD156</f>
        <v>118554243</v>
      </c>
      <c r="BQ18" s="100">
        <f>AF148+AF156</f>
        <v>21568259</v>
      </c>
      <c r="BR18" s="467"/>
    </row>
    <row r="19" spans="1:70" s="10" customFormat="1" ht="15.75" x14ac:dyDescent="0.25">
      <c r="A19" s="498">
        <f>+IF(JUNIO!A19=0,"",JUNIO!A19)</f>
        <v>113</v>
      </c>
      <c r="B19" s="499" t="str">
        <f>+IF(JUNIO!B19=0,"",JUNIO!B19)</f>
        <v>VENTA DE SERVICIOS</v>
      </c>
      <c r="C19" s="53">
        <f t="shared" ref="C19:N19" si="14">C21+C85</f>
        <v>3530048625</v>
      </c>
      <c r="D19" s="53">
        <f t="shared" si="14"/>
        <v>-227076373</v>
      </c>
      <c r="E19" s="53">
        <f t="shared" si="14"/>
        <v>0</v>
      </c>
      <c r="F19" s="54">
        <f t="shared" si="14"/>
        <v>3302972252</v>
      </c>
      <c r="G19" s="52">
        <f t="shared" si="14"/>
        <v>1899812713</v>
      </c>
      <c r="H19" s="53">
        <f t="shared" si="14"/>
        <v>297781274</v>
      </c>
      <c r="I19" s="54">
        <f t="shared" si="14"/>
        <v>2197593987</v>
      </c>
      <c r="J19" s="52">
        <f t="shared" si="14"/>
        <v>1519709327</v>
      </c>
      <c r="K19" s="53">
        <f t="shared" si="14"/>
        <v>265541632</v>
      </c>
      <c r="L19" s="54">
        <f t="shared" si="14"/>
        <v>1785250959</v>
      </c>
      <c r="M19" s="52">
        <f t="shared" si="14"/>
        <v>1105378265</v>
      </c>
      <c r="N19" s="54">
        <f t="shared" si="14"/>
        <v>1517721293</v>
      </c>
      <c r="O19" s="467"/>
      <c r="P19" s="52">
        <f>P21+P85</f>
        <v>0</v>
      </c>
      <c r="Q19" s="54">
        <f>Q21+Q85</f>
        <v>0</v>
      </c>
      <c r="S19" s="155">
        <f>+IF(JUNIO!S19=0,"",JUNIO!S19)</f>
        <v>1010103</v>
      </c>
      <c r="T19" s="159" t="str">
        <f>+IF(JUNIO!T19=0,"",JUNIO!T19)</f>
        <v>Prima Técnica</v>
      </c>
      <c r="U19" s="29">
        <f>+ENERO!U19</f>
        <v>0</v>
      </c>
      <c r="V19" s="17">
        <f>JUNIO!V19+JULIO!AL19</f>
        <v>0</v>
      </c>
      <c r="W19" s="17">
        <f>JUNIO!W19+JULIO!AM19</f>
        <v>0</v>
      </c>
      <c r="X19" s="20">
        <f>SUM(U19:W19)</f>
        <v>0</v>
      </c>
      <c r="Y19" s="21">
        <f>JUNIO!AA19</f>
        <v>0</v>
      </c>
      <c r="Z19" s="457">
        <v>0</v>
      </c>
      <c r="AA19" s="20">
        <f>SUM(Y19:Z19)</f>
        <v>0</v>
      </c>
      <c r="AB19" s="21">
        <f>JUNIO!AD19</f>
        <v>0</v>
      </c>
      <c r="AC19" s="457">
        <v>0</v>
      </c>
      <c r="AD19" s="20">
        <f>SUM(AB19:AC19)</f>
        <v>0</v>
      </c>
      <c r="AE19" s="21">
        <f>JUNIO!AG19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94809912</v>
      </c>
      <c r="BE19" s="112">
        <f>K86+K87+K93+K103+K104</f>
        <v>15175312</v>
      </c>
      <c r="BF19" s="75"/>
      <c r="BG19" s="467"/>
      <c r="BH19" s="467">
        <f>BN33</f>
        <v>0</v>
      </c>
      <c r="BI19" s="467"/>
      <c r="BJ19" s="467"/>
      <c r="BK19" s="467"/>
      <c r="BM19" s="164" t="s">
        <v>96</v>
      </c>
      <c r="BN19" s="101">
        <f>X126+X167</f>
        <v>49280460</v>
      </c>
      <c r="BO19" s="99">
        <f>AA126+AA167</f>
        <v>31363673</v>
      </c>
      <c r="BP19" s="99">
        <f>AD126+AD167</f>
        <v>31363673</v>
      </c>
      <c r="BQ19" s="100">
        <f>AF126+AF167</f>
        <v>6217388</v>
      </c>
    </row>
    <row r="20" spans="1:70" s="514" customFormat="1" ht="15" x14ac:dyDescent="0.25">
      <c r="A20" s="202" t="str">
        <f>+IF(JUNIO!A20=0,"",JUNIO!A20)</f>
        <v/>
      </c>
      <c r="B20" s="201" t="str">
        <f>+IF(JUNIO!B20=0,"",JUNIO!B20)</f>
        <v/>
      </c>
      <c r="C20" s="495"/>
      <c r="D20" s="495"/>
      <c r="E20" s="495"/>
      <c r="F20" s="495"/>
      <c r="G20" s="495"/>
      <c r="H20" s="495"/>
      <c r="I20" s="495"/>
      <c r="J20" s="495"/>
      <c r="K20" s="495"/>
      <c r="L20" s="495"/>
      <c r="M20" s="495"/>
      <c r="N20" s="496"/>
      <c r="O20" s="10"/>
      <c r="P20" s="497"/>
      <c r="Q20" s="496"/>
      <c r="R20" s="10"/>
      <c r="S20" s="155">
        <f>+IF(JUNIO!S20=0,"",JUNIO!S20)</f>
        <v>1010104</v>
      </c>
      <c r="T20" s="159" t="str">
        <f>+IF(JUNIO!T20=0,"",JUNIO!T20)</f>
        <v>Otros</v>
      </c>
      <c r="U20" s="29">
        <f t="shared" ref="U20:AJ20" si="15">SUM(U21:U32)</f>
        <v>58502253</v>
      </c>
      <c r="V20" s="17">
        <f t="shared" si="15"/>
        <v>0</v>
      </c>
      <c r="W20" s="17">
        <f t="shared" si="15"/>
        <v>0</v>
      </c>
      <c r="X20" s="20">
        <f t="shared" si="15"/>
        <v>58502253</v>
      </c>
      <c r="Y20" s="21">
        <f t="shared" si="15"/>
        <v>13030233</v>
      </c>
      <c r="Z20" s="169">
        <f t="shared" si="15"/>
        <v>1337356</v>
      </c>
      <c r="AA20" s="20">
        <f t="shared" si="15"/>
        <v>14367589</v>
      </c>
      <c r="AB20" s="21">
        <f t="shared" si="15"/>
        <v>13030233</v>
      </c>
      <c r="AC20" s="169">
        <f t="shared" si="15"/>
        <v>1337356</v>
      </c>
      <c r="AD20" s="20">
        <f t="shared" si="15"/>
        <v>14367589</v>
      </c>
      <c r="AE20" s="21">
        <f t="shared" si="15"/>
        <v>9634031</v>
      </c>
      <c r="AF20" s="169">
        <f t="shared" si="15"/>
        <v>4733558</v>
      </c>
      <c r="AG20" s="20">
        <f t="shared" si="15"/>
        <v>14367589</v>
      </c>
      <c r="AH20" s="21">
        <f t="shared" si="15"/>
        <v>44134664</v>
      </c>
      <c r="AI20" s="17">
        <f t="shared" si="15"/>
        <v>44134664</v>
      </c>
      <c r="AJ20" s="18">
        <f t="shared" si="15"/>
        <v>44134664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232717</v>
      </c>
      <c r="BE20" s="85">
        <f>+K109+K111+K113+K114+K115</f>
        <v>7483</v>
      </c>
      <c r="BF20" s="75"/>
      <c r="BG20" s="467"/>
      <c r="BH20" s="467">
        <f>BH19-BH16</f>
        <v>-3839134335</v>
      </c>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+IF(JUNIO!A21=0,"",JUNIO!A21)</f>
        <v>11301</v>
      </c>
      <c r="B21" s="516" t="str">
        <f>+IF(JUNIO!B21=0,"",JUNIO!B21)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1820178113</v>
      </c>
      <c r="H21" s="518">
        <f t="shared" si="16"/>
        <v>282605962</v>
      </c>
      <c r="I21" s="519">
        <f t="shared" si="16"/>
        <v>2102784075</v>
      </c>
      <c r="J21" s="517">
        <f t="shared" si="16"/>
        <v>1440074727</v>
      </c>
      <c r="K21" s="518">
        <f t="shared" si="16"/>
        <v>250366320</v>
      </c>
      <c r="L21" s="519">
        <f t="shared" si="16"/>
        <v>1690441047</v>
      </c>
      <c r="M21" s="517">
        <f t="shared" si="16"/>
        <v>1085009148</v>
      </c>
      <c r="N21" s="519">
        <f t="shared" si="16"/>
        <v>1497352176</v>
      </c>
      <c r="O21" s="467"/>
      <c r="P21" s="52">
        <f>P22+P25+P28+P41+P42+P45+P48+P51+P54+P57+P60+P63+P66+P69+P72+P75+P78+P81</f>
        <v>0</v>
      </c>
      <c r="Q21" s="54">
        <f>Q22+Q25+Q28+Q41+Q42+Q45+Q48+Q51+Q54+Q57+Q60+Q63+Q66+Q69+Q72+Q75+Q78+Q81</f>
        <v>0</v>
      </c>
      <c r="R21" s="10"/>
      <c r="S21" s="156" t="str">
        <f>+IF(JUNIO!S21=0,"",JUNIO!S21)</f>
        <v>1010104-1</v>
      </c>
      <c r="T21" s="55" t="str">
        <f>+IF(JUNIO!T21=0,"",JUNIO!T21)</f>
        <v xml:space="preserve">Prima de Navidad </v>
      </c>
      <c r="U21" s="29">
        <f>+ENERO!U21</f>
        <v>31976631</v>
      </c>
      <c r="V21" s="17">
        <f>JUNIO!V21+JULIO!AL21</f>
        <v>0</v>
      </c>
      <c r="W21" s="17">
        <f>JUNIO!W21+JULIO!AM21</f>
        <v>0</v>
      </c>
      <c r="X21" s="20">
        <f t="shared" ref="X21:X33" si="17">SUM(U21:W21)</f>
        <v>31976631</v>
      </c>
      <c r="Y21" s="21">
        <f>JUNIO!AA21</f>
        <v>0</v>
      </c>
      <c r="Z21" s="457">
        <v>0</v>
      </c>
      <c r="AA21" s="20">
        <f t="shared" ref="AA21:AA33" si="18">SUM(Y21:Z21)</f>
        <v>0</v>
      </c>
      <c r="AB21" s="21">
        <f>JUNIO!AD21</f>
        <v>0</v>
      </c>
      <c r="AC21" s="457">
        <v>0</v>
      </c>
      <c r="AD21" s="20">
        <f t="shared" ref="AD21:AD33" si="19">SUM(AB21:AC21)</f>
        <v>0</v>
      </c>
      <c r="AE21" s="21">
        <f>JUNIO!AG21</f>
        <v>0</v>
      </c>
      <c r="AF21" s="457">
        <v>0</v>
      </c>
      <c r="AG21" s="20">
        <f t="shared" ref="AG21:AG33" si="20">SUM(AE21:AF21)</f>
        <v>0</v>
      </c>
      <c r="AH21" s="21">
        <f t="shared" ref="AH21:AH33" si="21">X21-AA21</f>
        <v>31976631</v>
      </c>
      <c r="AI21" s="17">
        <f t="shared" ref="AI21:AI33" si="22">X21-AD21</f>
        <v>31976631</v>
      </c>
      <c r="AJ21" s="18">
        <f t="shared" ref="AJ21:AJ33" si="23">X21-AG21</f>
        <v>31976631</v>
      </c>
      <c r="AK21" s="10"/>
      <c r="AL21" s="455">
        <v>0</v>
      </c>
      <c r="AM21" s="458">
        <v>0</v>
      </c>
      <c r="AN21" s="10"/>
      <c r="AO21" s="428"/>
      <c r="AP21" s="520"/>
      <c r="AQ21" s="521"/>
      <c r="AR21" s="522" t="str">
        <f>AR6</f>
        <v>JULIO</v>
      </c>
      <c r="AS21" s="523" t="str">
        <f>AR6</f>
        <v>JULIO</v>
      </c>
      <c r="AT21" s="522" t="str">
        <f>AR6</f>
        <v>JULIO</v>
      </c>
      <c r="AU21" s="522" t="s">
        <v>46</v>
      </c>
      <c r="AV21" s="522" t="s">
        <v>24</v>
      </c>
      <c r="AW21" s="524"/>
      <c r="AX21" s="524"/>
      <c r="AY21" s="522" t="s">
        <v>46</v>
      </c>
      <c r="AZ21" s="525" t="s">
        <v>24</v>
      </c>
      <c r="BA21" s="10"/>
      <c r="BB21" s="119" t="s">
        <v>466</v>
      </c>
      <c r="BC21" s="83">
        <f>+F117</f>
        <v>149110140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+IF(JUNIO!A22=0,"",JUNIO!A22)</f>
        <v>1130101</v>
      </c>
      <c r="B22" s="45" t="str">
        <f>+IF(JUNIO!B22=0,"",JUNIO!B22)</f>
        <v>EPS - REGIMEN CONTRIBUTIVO</v>
      </c>
      <c r="C22" s="53">
        <f t="shared" ref="C22:N22" si="24">SUM(C23:C24)</f>
        <v>235438278</v>
      </c>
      <c r="D22" s="53">
        <f t="shared" si="24"/>
        <v>0</v>
      </c>
      <c r="E22" s="53">
        <f t="shared" si="24"/>
        <v>0</v>
      </c>
      <c r="F22" s="54">
        <f t="shared" si="24"/>
        <v>235438278</v>
      </c>
      <c r="G22" s="52">
        <f t="shared" si="24"/>
        <v>189546435</v>
      </c>
      <c r="H22" s="53">
        <f t="shared" si="24"/>
        <v>44988059</v>
      </c>
      <c r="I22" s="54">
        <f t="shared" si="24"/>
        <v>234534494</v>
      </c>
      <c r="J22" s="52">
        <f t="shared" si="24"/>
        <v>56405086</v>
      </c>
      <c r="K22" s="53">
        <f t="shared" si="24"/>
        <v>45697913</v>
      </c>
      <c r="L22" s="54">
        <f t="shared" si="24"/>
        <v>102102999</v>
      </c>
      <c r="M22" s="52">
        <f t="shared" si="24"/>
        <v>903784</v>
      </c>
      <c r="N22" s="54">
        <f t="shared" si="24"/>
        <v>133335279</v>
      </c>
      <c r="P22" s="52">
        <f>SUM(P23:P24)</f>
        <v>0</v>
      </c>
      <c r="Q22" s="54">
        <f>SUM(Q23:Q24)</f>
        <v>0</v>
      </c>
      <c r="S22" s="156" t="str">
        <f>+IF(JUNIO!S22=0,"",JUNIO!S22)</f>
        <v>1010104-2</v>
      </c>
      <c r="T22" s="55" t="str">
        <f>+IF(JUNIO!T22=0,"",JUNIO!T22)</f>
        <v>Prima Vida Cara</v>
      </c>
      <c r="U22" s="29">
        <f>+ENERO!U22</f>
        <v>0</v>
      </c>
      <c r="V22" s="17">
        <f>JUNIO!V22+JULIO!AL22</f>
        <v>0</v>
      </c>
      <c r="W22" s="17">
        <f>JUNIO!W22+JULIO!AM22</f>
        <v>0</v>
      </c>
      <c r="X22" s="20">
        <f t="shared" si="17"/>
        <v>0</v>
      </c>
      <c r="Y22" s="21">
        <f>JUNIO!AA22</f>
        <v>0</v>
      </c>
      <c r="Z22" s="457">
        <v>0</v>
      </c>
      <c r="AA22" s="20">
        <f t="shared" si="18"/>
        <v>0</v>
      </c>
      <c r="AB22" s="21">
        <f>JUNIO!AD22</f>
        <v>0</v>
      </c>
      <c r="AC22" s="457">
        <v>0</v>
      </c>
      <c r="AD22" s="20">
        <f t="shared" si="19"/>
        <v>0</v>
      </c>
      <c r="AE22" s="21">
        <f>JUNIO!AG22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730213652</v>
      </c>
      <c r="AS22" s="527">
        <f>AG17+AG66</f>
        <v>711568560</v>
      </c>
      <c r="AT22" s="528"/>
      <c r="AU22" s="529">
        <f t="shared" ref="AU22:AU32" si="25">IF(AQ22=0," ",AR22/AQ22)</f>
        <v>0.575206005604327</v>
      </c>
      <c r="AV22" s="529">
        <f t="shared" ref="AV22:AV32" si="26">IF(AQ22=0," ",AS22/AQ22)</f>
        <v>0.56051883991785856</v>
      </c>
      <c r="AW22" s="530">
        <f>AR22/$AO$2*12</f>
        <v>1251794832</v>
      </c>
      <c r="AX22" s="530">
        <f>AS22/$AO$2*12</f>
        <v>1219831817.1428571</v>
      </c>
      <c r="AY22" s="530">
        <f t="shared" ref="AY22:AY31" si="27">AW22-AQ22</f>
        <v>-17687136</v>
      </c>
      <c r="AZ22" s="531">
        <f t="shared" ref="AZ22:AZ31" si="28">AQ22-AX22</f>
        <v>49650150.857142925</v>
      </c>
      <c r="BA22" s="467"/>
      <c r="BB22" s="119" t="s">
        <v>467</v>
      </c>
      <c r="BC22" s="83">
        <f>SUMIF($B8:B117,$B24,F8:F117)+F116</f>
        <v>165717175</v>
      </c>
      <c r="BD22" s="84">
        <f>SUMIF($B8:B117,$B24,I8:I117)+I116</f>
        <v>345590385</v>
      </c>
      <c r="BE22" s="85">
        <f>SUMIF($B8:B117,$B24,K8:K117)+K116</f>
        <v>36849405</v>
      </c>
      <c r="BF22" s="75"/>
      <c r="BG22" s="467"/>
      <c r="BH22" s="467"/>
      <c r="BI22" s="467"/>
      <c r="BJ22" s="467"/>
      <c r="BK22" s="467"/>
      <c r="BM22" s="89" t="s">
        <v>69</v>
      </c>
      <c r="BN22" s="101">
        <f>BN23+BN24</f>
        <v>197767489</v>
      </c>
      <c r="BO22" s="99">
        <f>BO23+BO24</f>
        <v>80309946</v>
      </c>
      <c r="BP22" s="99">
        <f>BP23+BP24</f>
        <v>80309946</v>
      </c>
      <c r="BQ22" s="100">
        <f>BQ23+BQ24</f>
        <v>18614447</v>
      </c>
      <c r="BR22" s="467"/>
    </row>
    <row r="23" spans="1:70" s="514" customFormat="1" ht="15.75" thickBot="1" x14ac:dyDescent="0.25">
      <c r="A23" s="188" t="str">
        <f>+IF(JUNIO!A23=0,"",JUNIO!A23)</f>
        <v>1130101-1</v>
      </c>
      <c r="B23" s="189" t="str">
        <f>+CONCATENATE("Vigencia ",INSTRUCCIONES!$F$3)</f>
        <v>Vigencia 2014</v>
      </c>
      <c r="C23" s="456">
        <f>+ENERO!C23</f>
        <v>190033939</v>
      </c>
      <c r="D23" s="456">
        <f>JUNIO!D23+JULIO!P23</f>
        <v>0</v>
      </c>
      <c r="E23" s="456">
        <f>JUNIO!E23+JULIO!Q23</f>
        <v>0</v>
      </c>
      <c r="F23" s="170">
        <f>SUM(C23:E23)</f>
        <v>190033939</v>
      </c>
      <c r="G23" s="283">
        <f>JUNIO!I23</f>
        <v>143768118</v>
      </c>
      <c r="H23" s="457">
        <v>19963437</v>
      </c>
      <c r="I23" s="170">
        <f>SUM(G23:H23)</f>
        <v>163731555</v>
      </c>
      <c r="J23" s="283">
        <f>JUNIO!L23</f>
        <v>10626769</v>
      </c>
      <c r="K23" s="457">
        <v>20673291</v>
      </c>
      <c r="L23" s="170">
        <f>SUM(J23:K23)</f>
        <v>31300060</v>
      </c>
      <c r="M23" s="283">
        <f>F23-I23</f>
        <v>26302384</v>
      </c>
      <c r="N23" s="170">
        <f>F23-L23</f>
        <v>158733879</v>
      </c>
      <c r="O23" s="10"/>
      <c r="P23" s="455">
        <v>0</v>
      </c>
      <c r="Q23" s="458">
        <v>0</v>
      </c>
      <c r="R23" s="10"/>
      <c r="S23" s="156" t="str">
        <f>+IF(JUNIO!S23=0,"",JUNIO!S23)</f>
        <v>1010104-3</v>
      </c>
      <c r="T23" s="55" t="str">
        <f>+IF(JUNIO!T23=0,"",JUNIO!T23)</f>
        <v>Prima de Vacaciones</v>
      </c>
      <c r="U23" s="29">
        <f>+ENERO!U23</f>
        <v>15348783</v>
      </c>
      <c r="V23" s="17">
        <f>JUNIO!V23+JULIO!AL23</f>
        <v>0</v>
      </c>
      <c r="W23" s="17">
        <f>JUNIO!W23+JULIO!AM23</f>
        <v>0</v>
      </c>
      <c r="X23" s="20">
        <f t="shared" si="17"/>
        <v>15348783</v>
      </c>
      <c r="Y23" s="21">
        <f>JUNIO!AA23</f>
        <v>7414759</v>
      </c>
      <c r="Z23" s="457">
        <v>518388</v>
      </c>
      <c r="AA23" s="20">
        <f t="shared" si="18"/>
        <v>7933147</v>
      </c>
      <c r="AB23" s="21">
        <f>JUNIO!AD23</f>
        <v>7414759</v>
      </c>
      <c r="AC23" s="457">
        <v>518388</v>
      </c>
      <c r="AD23" s="20">
        <f t="shared" si="19"/>
        <v>7933147</v>
      </c>
      <c r="AE23" s="21">
        <f>JUNIO!AG23</f>
        <v>4744171</v>
      </c>
      <c r="AF23" s="457">
        <v>3188976</v>
      </c>
      <c r="AG23" s="20">
        <f t="shared" si="20"/>
        <v>7933147</v>
      </c>
      <c r="AH23" s="21">
        <f t="shared" si="21"/>
        <v>7415636</v>
      </c>
      <c r="AI23" s="17">
        <f t="shared" si="22"/>
        <v>7415636</v>
      </c>
      <c r="AJ23" s="18">
        <f t="shared" si="23"/>
        <v>7415636</v>
      </c>
      <c r="AK23" s="10"/>
      <c r="AL23" s="455">
        <v>0</v>
      </c>
      <c r="AM23" s="458">
        <v>0</v>
      </c>
      <c r="AN23" s="10"/>
      <c r="AO23" s="453"/>
      <c r="AP23" s="532" t="s">
        <v>110</v>
      </c>
      <c r="AQ23" s="533">
        <f>X16+X65-AQ22</f>
        <v>349958128</v>
      </c>
      <c r="AR23" s="533">
        <f>AD16+AD65-AR22</f>
        <v>122103047</v>
      </c>
      <c r="AS23" s="533">
        <f>AG16+AG65-AS22</f>
        <v>121990465</v>
      </c>
      <c r="AT23" s="401"/>
      <c r="AU23" s="419">
        <f t="shared" si="25"/>
        <v>0.34890758988172438</v>
      </c>
      <c r="AV23" s="419">
        <f t="shared" si="26"/>
        <v>0.34858588853807104</v>
      </c>
      <c r="AW23" s="533">
        <f>(AR23-AD21-AD22-AD23-AD25-AD30-AD33-AD70-AD71-AD72-AD74-AD78-AD81)/$AO$2*12+AX22/12*2.5+AD30+AD33+AD78+AD81</f>
        <v>398865192.4285714</v>
      </c>
      <c r="AX23" s="533">
        <f>(AS23-AG21-AG22-AG23-AG25-AG30-AG33-AG70-AG71-AG72-AG74-AG78-AG81)/$AO$2*12+AX22/12*2.5+AG30+AG33+AG78+AG81</f>
        <v>398842486.71428567</v>
      </c>
      <c r="AY23" s="533">
        <f t="shared" si="27"/>
        <v>48907064.428571403</v>
      </c>
      <c r="AZ23" s="62">
        <f t="shared" si="28"/>
        <v>-48884358.714285672</v>
      </c>
      <c r="BA23" s="467"/>
      <c r="BB23" s="678" t="s">
        <v>111</v>
      </c>
      <c r="BC23" s="679">
        <f>BC7+BC8+BC20+BC21+BC22</f>
        <v>3839134335</v>
      </c>
      <c r="BD23" s="138">
        <f>BD7+BD8+BD20+BD21+BD22+BD92</f>
        <v>2480281215</v>
      </c>
      <c r="BE23" s="139">
        <f>BE7+BE8+BE20+BE21+BE22+BE92</f>
        <v>286909284</v>
      </c>
      <c r="BF23" s="467"/>
      <c r="BG23" s="467"/>
      <c r="BH23" s="467"/>
      <c r="BI23" s="467"/>
      <c r="BJ23" s="467"/>
      <c r="BK23" s="467"/>
      <c r="BL23" s="467"/>
      <c r="BM23" s="164" t="s">
        <v>107</v>
      </c>
      <c r="BN23" s="101">
        <f>X177</f>
        <v>104106866</v>
      </c>
      <c r="BO23" s="99">
        <f>AA177</f>
        <v>58717639</v>
      </c>
      <c r="BP23" s="99">
        <f>AD177</f>
        <v>58717639</v>
      </c>
      <c r="BQ23" s="100">
        <f>AF177</f>
        <v>17566161</v>
      </c>
      <c r="BR23" s="10"/>
    </row>
    <row r="24" spans="1:70" s="514" customFormat="1" ht="15" x14ac:dyDescent="0.2">
      <c r="A24" s="188" t="str">
        <f>+IF(JUNIO!A24=0,"",JUNIO!A24)</f>
        <v>1130101-2</v>
      </c>
      <c r="B24" s="189" t="str">
        <f>+IF(JUNIO!B24=0,"",JUNIO!B24)</f>
        <v>Vigencias Anteriores</v>
      </c>
      <c r="C24" s="456">
        <f>+ENERO!C24</f>
        <v>45404339</v>
      </c>
      <c r="D24" s="456">
        <f>JUNIO!D24+JULIO!P24</f>
        <v>0</v>
      </c>
      <c r="E24" s="456">
        <f>JUNIO!E24+JULIO!Q24</f>
        <v>0</v>
      </c>
      <c r="F24" s="170">
        <f>SUM(C24:E24)</f>
        <v>45404339</v>
      </c>
      <c r="G24" s="283">
        <f>JUNIO!I24</f>
        <v>45778317</v>
      </c>
      <c r="H24" s="457">
        <v>25024622</v>
      </c>
      <c r="I24" s="170">
        <f>SUM(G24:H24)</f>
        <v>70802939</v>
      </c>
      <c r="J24" s="283">
        <f>JUNIO!L24</f>
        <v>45778317</v>
      </c>
      <c r="K24" s="457">
        <v>25024622</v>
      </c>
      <c r="L24" s="170">
        <f>SUM(J24:K24)</f>
        <v>70802939</v>
      </c>
      <c r="M24" s="283">
        <f>F24-I24</f>
        <v>-25398600</v>
      </c>
      <c r="N24" s="170">
        <f>F24-L24</f>
        <v>-25398600</v>
      </c>
      <c r="O24" s="467"/>
      <c r="P24" s="455">
        <v>0</v>
      </c>
      <c r="Q24" s="458">
        <v>0</v>
      </c>
      <c r="R24" s="10"/>
      <c r="S24" s="156" t="str">
        <f>+IF(JUNIO!S24=0,"",JUNIO!S24)</f>
        <v>1010104-4</v>
      </c>
      <c r="T24" s="55" t="str">
        <f>+IF(JUNIO!T24=0,"",JUNIO!T24)</f>
        <v>Prima Clima</v>
      </c>
      <c r="U24" s="29">
        <f>+ENERO!U24</f>
        <v>0</v>
      </c>
      <c r="V24" s="17">
        <f>JUNIO!V24+JULIO!AL24</f>
        <v>0</v>
      </c>
      <c r="W24" s="17">
        <f>JUNIO!W24+JULIO!AM24</f>
        <v>0</v>
      </c>
      <c r="X24" s="20">
        <f t="shared" si="17"/>
        <v>0</v>
      </c>
      <c r="Y24" s="21">
        <f>JUNIO!AA24</f>
        <v>0</v>
      </c>
      <c r="Z24" s="457">
        <v>0</v>
      </c>
      <c r="AA24" s="20">
        <f t="shared" si="18"/>
        <v>0</v>
      </c>
      <c r="AB24" s="21">
        <f>JUNIO!AD24</f>
        <v>0</v>
      </c>
      <c r="AC24" s="457">
        <v>0</v>
      </c>
      <c r="AD24" s="20">
        <f t="shared" si="19"/>
        <v>0</v>
      </c>
      <c r="AE24" s="21">
        <f>JUNIO!AG24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75473033</v>
      </c>
      <c r="AS24" s="528">
        <f>AG35+AG83</f>
        <v>65187460</v>
      </c>
      <c r="AT24" s="528"/>
      <c r="AU24" s="456">
        <f t="shared" si="25"/>
        <v>0.40150567995456971</v>
      </c>
      <c r="AV24" s="456">
        <f t="shared" si="26"/>
        <v>0.34678791101202089</v>
      </c>
      <c r="AW24" s="456">
        <f>(AR24-AD41-AD88)/$AO$2*12+AD41+AD88</f>
        <v>121139448</v>
      </c>
      <c r="AX24" s="456">
        <f>(AS24-AG41-AG88)/$AO$2*12+AG41+AG88</f>
        <v>103540822.85714287</v>
      </c>
      <c r="AY24" s="456">
        <f t="shared" si="27"/>
        <v>-66835559</v>
      </c>
      <c r="AZ24" s="170">
        <f t="shared" si="28"/>
        <v>84434184.142857134</v>
      </c>
      <c r="BA24" s="10"/>
      <c r="BB24" s="534"/>
      <c r="BC24" s="467"/>
      <c r="BD24" s="467"/>
      <c r="BE24" s="467"/>
      <c r="BF24" s="467"/>
      <c r="BG24" s="467"/>
      <c r="BH24" s="467"/>
      <c r="BI24" s="467"/>
      <c r="BJ24" s="467"/>
      <c r="BK24" s="467"/>
      <c r="BL24" s="467"/>
      <c r="BM24" s="164" t="s">
        <v>112</v>
      </c>
      <c r="BN24" s="101">
        <f>X170-X177-X174-X183-X191</f>
        <v>93660623</v>
      </c>
      <c r="BO24" s="99">
        <f>AA170-AA177-AA174-AA183-AA191</f>
        <v>21592307</v>
      </c>
      <c r="BP24" s="99">
        <f>AD170-AD177-AD174-AD183-AD191</f>
        <v>21592307</v>
      </c>
      <c r="BQ24" s="100">
        <f>AF170-AF177-AF174-AF183-AF191</f>
        <v>1048286</v>
      </c>
      <c r="BR24" s="467"/>
    </row>
    <row r="25" spans="1:70" s="467" customFormat="1" ht="15" x14ac:dyDescent="0.25">
      <c r="A25" s="57">
        <f>+IF(JUNIO!A25=0,"",JUNIO!A25)</f>
        <v>1130102</v>
      </c>
      <c r="B25" s="45" t="str">
        <f>+IF(JUNIO!B25=0,"",JUNIO!B25)</f>
        <v>ARS - REGIMEN SUBSIDIADO</v>
      </c>
      <c r="C25" s="53">
        <f t="shared" ref="C25:N25" si="29">SUM(C26:C27)</f>
        <v>2553198704</v>
      </c>
      <c r="D25" s="53">
        <f t="shared" si="29"/>
        <v>0</v>
      </c>
      <c r="E25" s="53">
        <f t="shared" si="29"/>
        <v>0</v>
      </c>
      <c r="F25" s="54">
        <f t="shared" si="29"/>
        <v>2553198704</v>
      </c>
      <c r="G25" s="52">
        <f t="shared" si="29"/>
        <v>1428796584</v>
      </c>
      <c r="H25" s="53">
        <f t="shared" si="29"/>
        <v>201484536</v>
      </c>
      <c r="I25" s="54">
        <f t="shared" si="29"/>
        <v>1630281120</v>
      </c>
      <c r="J25" s="52">
        <f t="shared" si="29"/>
        <v>1231809727</v>
      </c>
      <c r="K25" s="53">
        <f t="shared" si="29"/>
        <v>180801164</v>
      </c>
      <c r="L25" s="54">
        <f t="shared" si="29"/>
        <v>1412610891</v>
      </c>
      <c r="M25" s="52">
        <f t="shared" si="29"/>
        <v>922917584</v>
      </c>
      <c r="N25" s="54">
        <f t="shared" si="29"/>
        <v>1140587813</v>
      </c>
      <c r="P25" s="52">
        <f>SUM(P26:P27)</f>
        <v>0</v>
      </c>
      <c r="Q25" s="54">
        <f>SUM(Q26:Q27)</f>
        <v>0</v>
      </c>
      <c r="R25" s="10"/>
      <c r="S25" s="156" t="str">
        <f>+IF(JUNIO!S25=0,"",JUNIO!S25)</f>
        <v>1010104-5</v>
      </c>
      <c r="T25" s="55" t="str">
        <f>+IF(JUNIO!T25=0,"",JUNIO!T25)</f>
        <v>Prima de Servicios</v>
      </c>
      <c r="U25" s="29">
        <f>+ENERO!U25</f>
        <v>0</v>
      </c>
      <c r="V25" s="17">
        <f>JUNIO!V25+JULIO!AL25</f>
        <v>0</v>
      </c>
      <c r="W25" s="17">
        <f>JUNIO!W25+JULIO!AM25</f>
        <v>0</v>
      </c>
      <c r="X25" s="20">
        <f t="shared" si="17"/>
        <v>0</v>
      </c>
      <c r="Y25" s="21">
        <f>JUNIO!AA25</f>
        <v>0</v>
      </c>
      <c r="Z25" s="457">
        <v>0</v>
      </c>
      <c r="AA25" s="20">
        <f t="shared" si="18"/>
        <v>0</v>
      </c>
      <c r="AB25" s="21">
        <f>JUNIO!AD25</f>
        <v>0</v>
      </c>
      <c r="AC25" s="457">
        <v>0</v>
      </c>
      <c r="AD25" s="20">
        <f t="shared" si="19"/>
        <v>0</v>
      </c>
      <c r="AE25" s="21">
        <f>JUNIO!AG25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322935318</v>
      </c>
      <c r="AS25" s="456">
        <f>AG43+AG57+AG90+AG104</f>
        <v>301854318</v>
      </c>
      <c r="AT25" s="528"/>
      <c r="AU25" s="456">
        <f t="shared" si="25"/>
        <v>0.56400063835305037</v>
      </c>
      <c r="AV25" s="456">
        <f t="shared" si="26"/>
        <v>0.52718305664425547</v>
      </c>
      <c r="AW25" s="456">
        <f>(AR25-AD55-AD61-AD102-AD108)/$AO$2*12+AD55+AD61+AD102+AD108</f>
        <v>549432163</v>
      </c>
      <c r="AX25" s="456">
        <f>(AS25-AG55-AG61-AG102-AG108)/$AO$2*12+AG55+AG61+AG102+AG108</f>
        <v>513293305.85714293</v>
      </c>
      <c r="AY25" s="456">
        <f t="shared" si="27"/>
        <v>-23147540</v>
      </c>
      <c r="AZ25" s="170">
        <f t="shared" si="28"/>
        <v>59286397.142857075</v>
      </c>
      <c r="BM25" s="167" t="s">
        <v>475</v>
      </c>
      <c r="BN25" s="124">
        <f>+SUM(BN26:BN28)</f>
        <v>328675926</v>
      </c>
      <c r="BO25" s="125">
        <f>+SUM(BO26:BO28)</f>
        <v>161298241</v>
      </c>
      <c r="BP25" s="125">
        <f>+SUM(BP26:BP28)</f>
        <v>161270928</v>
      </c>
      <c r="BQ25" s="126">
        <f>+SUM(BQ26:BQ28)</f>
        <v>24933887</v>
      </c>
    </row>
    <row r="26" spans="1:70" s="10" customFormat="1" ht="15" x14ac:dyDescent="0.2">
      <c r="A26" s="188" t="str">
        <f>+IF(JUNIO!A26=0,"",JUNIO!A26)</f>
        <v>1130102-1</v>
      </c>
      <c r="B26" s="189" t="str">
        <f>+CONCATENATE("Vigencia ",INSTRUCCIONES!$F$3)</f>
        <v>Vigencia 2014</v>
      </c>
      <c r="C26" s="456">
        <f>+ENERO!C26</f>
        <v>2490198704</v>
      </c>
      <c r="D26" s="456">
        <f>JUNIO!D26+JULIO!P26</f>
        <v>0</v>
      </c>
      <c r="E26" s="456">
        <f>JUNIO!E26+JULIO!Q26</f>
        <v>0</v>
      </c>
      <c r="F26" s="170">
        <f>SUM(C26:E26)</f>
        <v>2490198704</v>
      </c>
      <c r="G26" s="283">
        <f>JUNIO!I26</f>
        <v>1220396917</v>
      </c>
      <c r="H26" s="457">
        <v>201484536</v>
      </c>
      <c r="I26" s="170">
        <f>SUM(G26:H26)</f>
        <v>1421881453</v>
      </c>
      <c r="J26" s="283">
        <f>JUNIO!L26</f>
        <v>1023410060</v>
      </c>
      <c r="K26" s="457">
        <v>180801164</v>
      </c>
      <c r="L26" s="170">
        <f>SUM(J26:K26)</f>
        <v>1204211224</v>
      </c>
      <c r="M26" s="283">
        <f>F26-I26</f>
        <v>1068317251</v>
      </c>
      <c r="N26" s="170">
        <f>F26-L26</f>
        <v>1285987480</v>
      </c>
      <c r="P26" s="455">
        <v>0</v>
      </c>
      <c r="Q26" s="458">
        <v>0</v>
      </c>
      <c r="S26" s="156" t="str">
        <f>+IF(JUNIO!S26=0,"",JUNIO!S26)</f>
        <v>1010104-8</v>
      </c>
      <c r="T26" s="55" t="str">
        <f>+IF(JUNIO!T26=0,"",JUNIO!T26)</f>
        <v>Bonific. por Servicios Prestados (Convencional)</v>
      </c>
      <c r="U26" s="29">
        <f>+ENERO!U26</f>
        <v>0</v>
      </c>
      <c r="V26" s="17">
        <f>JUNIO!V26+JULIO!AL26</f>
        <v>0</v>
      </c>
      <c r="W26" s="17">
        <f>JUNIO!W26+JULIO!AM26</f>
        <v>0</v>
      </c>
      <c r="X26" s="20">
        <f t="shared" si="17"/>
        <v>0</v>
      </c>
      <c r="Y26" s="21">
        <f>JUNIO!AA26</f>
        <v>0</v>
      </c>
      <c r="Z26" s="457">
        <v>0</v>
      </c>
      <c r="AA26" s="20">
        <f t="shared" si="18"/>
        <v>0</v>
      </c>
      <c r="AB26" s="21">
        <f>JUNIO!AD26</f>
        <v>0</v>
      </c>
      <c r="AC26" s="457">
        <v>0</v>
      </c>
      <c r="AD26" s="20">
        <f t="shared" si="19"/>
        <v>0</v>
      </c>
      <c r="AE26" s="21">
        <f>JUNIO!AG26</f>
        <v>0</v>
      </c>
      <c r="AF26" s="457">
        <v>0</v>
      </c>
      <c r="AG26" s="20">
        <f t="shared" si="20"/>
        <v>0</v>
      </c>
      <c r="AH26" s="21">
        <f t="shared" si="21"/>
        <v>0</v>
      </c>
      <c r="AI26" s="17">
        <f t="shared" si="22"/>
        <v>0</v>
      </c>
      <c r="AJ26" s="18">
        <f t="shared" si="23"/>
        <v>0</v>
      </c>
      <c r="AL26" s="455">
        <v>0</v>
      </c>
      <c r="AM26" s="458">
        <v>0</v>
      </c>
      <c r="AO26" s="23"/>
      <c r="AP26" s="536" t="s">
        <v>122</v>
      </c>
      <c r="AQ26" s="401">
        <f>X110</f>
        <v>660254629</v>
      </c>
      <c r="AR26" s="401">
        <f>AD110</f>
        <v>412044205</v>
      </c>
      <c r="AS26" s="401">
        <f>AG110</f>
        <v>330365571</v>
      </c>
      <c r="AT26" s="454">
        <f>AO2/12</f>
        <v>0.58333333333333337</v>
      </c>
      <c r="AU26" s="419">
        <f t="shared" si="25"/>
        <v>0.62406863489025233</v>
      </c>
      <c r="AV26" s="419">
        <f t="shared" si="26"/>
        <v>0.50036085547837938</v>
      </c>
      <c r="AW26" s="533">
        <f>(AR26-AD121-AD139-AD143-AD153-AD168)/$AO$2*12+AD121+AD139+AD143+AD153+AD168</f>
        <v>679354830</v>
      </c>
      <c r="AX26" s="533">
        <f>(AS26-AG121-AG139-AG143-AG153-AG168)/$AO$2*12+AG121+AG139+AG143+AG153+AG168</f>
        <v>540226493.14285707</v>
      </c>
      <c r="AY26" s="533">
        <f t="shared" si="27"/>
        <v>19100201</v>
      </c>
      <c r="AZ26" s="62">
        <f t="shared" si="28"/>
        <v>120028135.85714293</v>
      </c>
      <c r="BA26" s="467"/>
      <c r="BB26" s="467"/>
      <c r="BC26" s="467"/>
      <c r="BD26" s="467"/>
      <c r="BE26" s="467"/>
      <c r="BF26" s="467"/>
      <c r="BG26" s="467"/>
      <c r="BH26" s="467"/>
      <c r="BI26" s="467"/>
      <c r="BJ26" s="467"/>
      <c r="BK26" s="467"/>
      <c r="BM26" s="127" t="s">
        <v>476</v>
      </c>
      <c r="BN26" s="104">
        <f>+X196+X212</f>
        <v>203038050</v>
      </c>
      <c r="BO26" s="102">
        <f>+AA196+AA212</f>
        <v>95926767</v>
      </c>
      <c r="BP26" s="102">
        <f>+AD196+AD212</f>
        <v>95899758</v>
      </c>
      <c r="BQ26" s="103">
        <f>+AF196+AF212</f>
        <v>14009025</v>
      </c>
      <c r="BR26" s="467"/>
    </row>
    <row r="27" spans="1:70" s="514" customFormat="1" ht="15" x14ac:dyDescent="0.2">
      <c r="A27" s="188" t="str">
        <f>+IF(JUNIO!A27=0,"",JUNIO!A27)</f>
        <v>1130102-2</v>
      </c>
      <c r="B27" s="189" t="str">
        <f>+IF(JUNIO!B27=0,"",JUNIO!B27)</f>
        <v>Vigencias Anteriores</v>
      </c>
      <c r="C27" s="456">
        <f>+ENERO!C27</f>
        <v>63000000</v>
      </c>
      <c r="D27" s="456">
        <f>JUNIO!D27+JULIO!P27</f>
        <v>0</v>
      </c>
      <c r="E27" s="456">
        <f>JUNIO!E27+JULIO!Q27</f>
        <v>0</v>
      </c>
      <c r="F27" s="170">
        <f>SUM(C27:E27)</f>
        <v>63000000</v>
      </c>
      <c r="G27" s="283">
        <f>JUNIO!I27</f>
        <v>208399667</v>
      </c>
      <c r="H27" s="457">
        <v>0</v>
      </c>
      <c r="I27" s="170">
        <f>SUM(G27:H27)</f>
        <v>208399667</v>
      </c>
      <c r="J27" s="283">
        <f>JUNIO!L27</f>
        <v>208399667</v>
      </c>
      <c r="K27" s="457">
        <v>0</v>
      </c>
      <c r="L27" s="170">
        <f>SUM(J27:K27)</f>
        <v>208399667</v>
      </c>
      <c r="M27" s="283">
        <f>F27-I27</f>
        <v>-145399667</v>
      </c>
      <c r="N27" s="170">
        <f>F27-L27</f>
        <v>-145399667</v>
      </c>
      <c r="O27" s="467"/>
      <c r="P27" s="455">
        <v>0</v>
      </c>
      <c r="Q27" s="458">
        <v>0</v>
      </c>
      <c r="R27" s="10"/>
      <c r="S27" s="156" t="str">
        <f>+IF(JUNIO!S27=0,"",JUNIO!S27)</f>
        <v>1010104-9</v>
      </c>
      <c r="T27" s="55" t="str">
        <f>+IF(JUNIO!T27=0,"",JUNIO!T27)</f>
        <v>Auxilio de Transporte</v>
      </c>
      <c r="U27" s="29">
        <f>+ENERO!U27</f>
        <v>0</v>
      </c>
      <c r="V27" s="17">
        <f>JUNIO!V27+JULIO!AL27</f>
        <v>0</v>
      </c>
      <c r="W27" s="17">
        <f>JUNIO!W27+JULIO!AM27</f>
        <v>0</v>
      </c>
      <c r="X27" s="20">
        <f t="shared" si="17"/>
        <v>0</v>
      </c>
      <c r="Y27" s="21">
        <f>JUNIO!AA27</f>
        <v>0</v>
      </c>
      <c r="Z27" s="457">
        <v>0</v>
      </c>
      <c r="AA27" s="20">
        <f t="shared" si="18"/>
        <v>0</v>
      </c>
      <c r="AB27" s="21">
        <f>JUNIO!AD27</f>
        <v>0</v>
      </c>
      <c r="AC27" s="457">
        <v>0</v>
      </c>
      <c r="AD27" s="20">
        <f t="shared" si="19"/>
        <v>0</v>
      </c>
      <c r="AE27" s="21">
        <f>JUNIO!AG27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87124000</v>
      </c>
      <c r="AS27" s="456">
        <f>AG170</f>
        <v>82955830</v>
      </c>
      <c r="AT27" s="528"/>
      <c r="AU27" s="456">
        <f t="shared" si="25"/>
        <v>0.42586441925506446</v>
      </c>
      <c r="AV27" s="456">
        <f t="shared" si="26"/>
        <v>0.40549029391180219</v>
      </c>
      <c r="AW27" s="456">
        <f>(AR27-AD174-AD183-AD191)/$AO$2*12+AD174+AD183+AD191</f>
        <v>144488247.14285713</v>
      </c>
      <c r="AX27" s="456">
        <f>(AS27-AG174-AG183-AG191)/$AO$2*12+AG174+AG183+AG191</f>
        <v>137342812.85714287</v>
      </c>
      <c r="AY27" s="456">
        <f t="shared" si="27"/>
        <v>-60093295.857142866</v>
      </c>
      <c r="AZ27" s="170">
        <f t="shared" si="28"/>
        <v>67238730.142857134</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+IF(JUNIO!A28=0,"",JUNIO!A28)</f>
        <v>1130103</v>
      </c>
      <c r="B28" s="60" t="str">
        <f>+IF(JUNIO!B28=0,"",JUNIO!B28)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+IF(JUNIO!S28=0,"",JUNIO!S28)</f>
        <v>1010104-10</v>
      </c>
      <c r="T28" s="55" t="str">
        <f>+IF(JUNIO!T28=0,"",JUNIO!T28)</f>
        <v>Subsidio de Alimentación</v>
      </c>
      <c r="U28" s="29">
        <f>+ENERO!U28</f>
        <v>9130335</v>
      </c>
      <c r="V28" s="17">
        <f>JUNIO!V28+JULIO!AL28</f>
        <v>0</v>
      </c>
      <c r="W28" s="17">
        <f>JUNIO!W28+JULIO!AM28</f>
        <v>0</v>
      </c>
      <c r="X28" s="20">
        <f t="shared" si="17"/>
        <v>9130335</v>
      </c>
      <c r="Y28" s="21">
        <f>JUNIO!AA28</f>
        <v>4628436</v>
      </c>
      <c r="Z28" s="457">
        <v>749850</v>
      </c>
      <c r="AA28" s="20">
        <f t="shared" si="18"/>
        <v>5378286</v>
      </c>
      <c r="AB28" s="21">
        <f>JUNIO!AD28</f>
        <v>4628436</v>
      </c>
      <c r="AC28" s="457">
        <v>749850</v>
      </c>
      <c r="AD28" s="20">
        <f t="shared" si="19"/>
        <v>5378286</v>
      </c>
      <c r="AE28" s="21">
        <f>JUNIO!AG28</f>
        <v>4258900</v>
      </c>
      <c r="AF28" s="457">
        <v>1119386</v>
      </c>
      <c r="AG28" s="20">
        <f t="shared" si="20"/>
        <v>5378286</v>
      </c>
      <c r="AH28" s="21">
        <f t="shared" si="21"/>
        <v>3752049</v>
      </c>
      <c r="AI28" s="17">
        <f t="shared" si="22"/>
        <v>3752049</v>
      </c>
      <c r="AJ28" s="18">
        <f t="shared" si="23"/>
        <v>3752049</v>
      </c>
      <c r="AK28" s="10"/>
      <c r="AL28" s="455">
        <v>0</v>
      </c>
      <c r="AM28" s="458">
        <v>0</v>
      </c>
      <c r="AN28" s="10"/>
      <c r="AO28" s="428"/>
      <c r="AP28" s="535" t="s">
        <v>129</v>
      </c>
      <c r="AQ28" s="528">
        <f>X193</f>
        <v>388893217</v>
      </c>
      <c r="AR28" s="528">
        <f>AD193</f>
        <v>221488219</v>
      </c>
      <c r="AS28" s="528">
        <f>AG193</f>
        <v>146866650</v>
      </c>
      <c r="AT28" s="528"/>
      <c r="AU28" s="456">
        <f t="shared" si="25"/>
        <v>0.56953479597459777</v>
      </c>
      <c r="AV28" s="456">
        <f t="shared" si="26"/>
        <v>0.37765289693905874</v>
      </c>
      <c r="AW28" s="456">
        <f>(AR28-AD205)/$AO$2*12+AD205</f>
        <v>336681739</v>
      </c>
      <c r="AX28" s="456">
        <f>(AS28-AG205)/$AO$2*12+AG205</f>
        <v>208759049.28571427</v>
      </c>
      <c r="AY28" s="456">
        <f t="shared" si="27"/>
        <v>-52211478</v>
      </c>
      <c r="AZ28" s="170">
        <f t="shared" si="28"/>
        <v>180134167.71428573</v>
      </c>
      <c r="BA28" s="467"/>
      <c r="BB28" s="467"/>
      <c r="BC28" s="467"/>
      <c r="BD28" s="467"/>
      <c r="BE28" s="467"/>
      <c r="BF28" s="467"/>
      <c r="BG28" s="467"/>
      <c r="BH28" s="467"/>
      <c r="BI28" s="467"/>
      <c r="BJ28" s="467"/>
      <c r="BK28" s="467"/>
      <c r="BL28" s="467"/>
      <c r="BM28" s="89" t="s">
        <v>478</v>
      </c>
      <c r="BN28" s="101">
        <f>+X194-X196-X205</f>
        <v>125637876</v>
      </c>
      <c r="BO28" s="99">
        <f>+AA194-AA196-AA205</f>
        <v>65371474</v>
      </c>
      <c r="BP28" s="99">
        <f>+AD194-AD196-AD205</f>
        <v>65371170</v>
      </c>
      <c r="BQ28" s="100">
        <f>+AF194-AF196-AF205</f>
        <v>10924862</v>
      </c>
      <c r="BR28" s="10"/>
    </row>
    <row r="29" spans="1:70" s="10" customFormat="1" ht="15" x14ac:dyDescent="0.25">
      <c r="A29" s="61" t="str">
        <f>+IF(JUNIO!A29=0,"",JUNIO!A29)</f>
        <v>1130103-1</v>
      </c>
      <c r="B29" s="62" t="str">
        <f>+IF(JUNIO!B29=0,"",JUNIO!B29)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+IF(JUNIO!S29=0,"",JUNIO!S29)</f>
        <v>1010104-11</v>
      </c>
      <c r="T29" s="55" t="str">
        <f>+IF(JUNIO!T29=0,"",JUNIO!T29)</f>
        <v>Gastos de Representación</v>
      </c>
      <c r="U29" s="29">
        <f>+ENERO!U29</f>
        <v>0</v>
      </c>
      <c r="V29" s="17">
        <f>JUNIO!V29+JULIO!AL29</f>
        <v>0</v>
      </c>
      <c r="W29" s="17">
        <f>JUNIO!W29+JULIO!AM29</f>
        <v>0</v>
      </c>
      <c r="X29" s="20">
        <f t="shared" si="17"/>
        <v>0</v>
      </c>
      <c r="Y29" s="21">
        <f>JUNIO!AA29</f>
        <v>0</v>
      </c>
      <c r="Z29" s="457">
        <v>0</v>
      </c>
      <c r="AA29" s="20">
        <f t="shared" si="18"/>
        <v>0</v>
      </c>
      <c r="AB29" s="21">
        <f>JUNIO!AD29</f>
        <v>0</v>
      </c>
      <c r="AC29" s="457">
        <v>0</v>
      </c>
      <c r="AD29" s="20">
        <f t="shared" si="19"/>
        <v>0</v>
      </c>
      <c r="AE29" s="21">
        <f>JUNIO!AG29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205410140</v>
      </c>
      <c r="BO29" s="125">
        <f>AA232-AA256-AA241</f>
        <v>130336875</v>
      </c>
      <c r="BP29" s="125">
        <f>AD232-AD256-AD241</f>
        <v>130335646</v>
      </c>
      <c r="BQ29" s="126">
        <f>AF232-AF256-AF241</f>
        <v>39231756</v>
      </c>
      <c r="BR29" s="467"/>
    </row>
    <row r="30" spans="1:70" s="514" customFormat="1" ht="15" x14ac:dyDescent="0.25">
      <c r="A30" s="188" t="str">
        <f>+IF(JUNIO!A30=0,"",JUNIO!A30)</f>
        <v>1130103-1-1</v>
      </c>
      <c r="B30" s="189" t="str">
        <f>+CONCATENATE("Vigencia ",INSTRUCCIONES!$F$3)</f>
        <v>Vigencia 2014</v>
      </c>
      <c r="C30" s="456">
        <f>+ENERO!C30</f>
        <v>227076373</v>
      </c>
      <c r="D30" s="456">
        <f>JUNIO!D30+JULIO!P30</f>
        <v>-227076373</v>
      </c>
      <c r="E30" s="456">
        <f>JUNIO!E30+JULIO!Q30</f>
        <v>0</v>
      </c>
      <c r="F30" s="170">
        <f>SUM(C30:E30)</f>
        <v>0</v>
      </c>
      <c r="G30" s="283">
        <f>JUNIO!I30</f>
        <v>0</v>
      </c>
      <c r="H30" s="457">
        <v>0</v>
      </c>
      <c r="I30" s="170">
        <f>SUM(G30:H30)</f>
        <v>0</v>
      </c>
      <c r="J30" s="283">
        <f>JUNIO!L30</f>
        <v>0</v>
      </c>
      <c r="K30" s="457">
        <v>0</v>
      </c>
      <c r="L30" s="170">
        <f>SUM(J30:K30)</f>
        <v>0</v>
      </c>
      <c r="M30" s="283">
        <f>F30-I30</f>
        <v>0</v>
      </c>
      <c r="N30" s="170">
        <f>F30-L30</f>
        <v>0</v>
      </c>
      <c r="O30" s="10"/>
      <c r="P30" s="455">
        <v>0</v>
      </c>
      <c r="Q30" s="458">
        <v>0</v>
      </c>
      <c r="R30" s="10"/>
      <c r="S30" s="156" t="str">
        <f>+IF(JUNIO!S30=0,"",JUNIO!S30)</f>
        <v>1010104-12</v>
      </c>
      <c r="T30" s="55" t="str">
        <f>+IF(JUNIO!T30=0,"",JUNIO!T30)</f>
        <v xml:space="preserve"> Indemnizaciones por Vacaciones o Supresión de Cargos por Reestructuración</v>
      </c>
      <c r="U30" s="29">
        <f>+ENERO!U30</f>
        <v>0</v>
      </c>
      <c r="V30" s="17">
        <f>JUNIO!V30+JULIO!AL30</f>
        <v>0</v>
      </c>
      <c r="W30" s="17">
        <f>JUNIO!W30+JULIO!AM30</f>
        <v>0</v>
      </c>
      <c r="X30" s="20">
        <f t="shared" si="17"/>
        <v>0</v>
      </c>
      <c r="Y30" s="21">
        <f>JUNIO!AA30</f>
        <v>0</v>
      </c>
      <c r="Z30" s="457">
        <v>0</v>
      </c>
      <c r="AA30" s="20">
        <f t="shared" si="18"/>
        <v>0</v>
      </c>
      <c r="AB30" s="21">
        <f>JUNIO!AD30</f>
        <v>0</v>
      </c>
      <c r="AC30" s="457">
        <v>0</v>
      </c>
      <c r="AD30" s="20">
        <f t="shared" si="19"/>
        <v>0</v>
      </c>
      <c r="AE30" s="21">
        <f>JUNIO!AG30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205410140</v>
      </c>
      <c r="AR30" s="456">
        <f>AD220+AD232</f>
        <v>130335646</v>
      </c>
      <c r="AS30" s="456">
        <f>AG220+AG232</f>
        <v>111821724</v>
      </c>
      <c r="AT30" s="528"/>
      <c r="AU30" s="456">
        <f t="shared" si="25"/>
        <v>0.63451417734294913</v>
      </c>
      <c r="AV30" s="456">
        <f t="shared" si="26"/>
        <v>0.54438268724221694</v>
      </c>
      <c r="AW30" s="456">
        <f>(AR30-AD225-AD230-AD241-AD256)/$AO$2*12+AD225+AD230+AD241+AD256</f>
        <v>223432536</v>
      </c>
      <c r="AX30" s="456">
        <f>(AS30-AG225-AG230-AG241-AG256)/$AO$2*12+AG225+AG230+AG241+AG256</f>
        <v>191694384</v>
      </c>
      <c r="AY30" s="456">
        <f t="shared" si="27"/>
        <v>18022396</v>
      </c>
      <c r="AZ30" s="170">
        <f t="shared" si="28"/>
        <v>13715756</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+IF(JUNIO!A31=0,"",JUNIO!A31)</f>
        <v>1130103-1-2</v>
      </c>
      <c r="B31" s="189" t="str">
        <f>+IF(JUNIO!B31=0,"",JUNIO!B31)</f>
        <v>Vigencias Anteriores</v>
      </c>
      <c r="C31" s="456">
        <f>+ENERO!C31</f>
        <v>0</v>
      </c>
      <c r="D31" s="456">
        <f>JUNIO!D31+JULIO!P31</f>
        <v>0</v>
      </c>
      <c r="E31" s="456">
        <f>JUNIO!E31+JULIO!Q31</f>
        <v>0</v>
      </c>
      <c r="F31" s="170">
        <f>SUM(C31:E31)</f>
        <v>0</v>
      </c>
      <c r="G31" s="283">
        <f>JUNIO!I31</f>
        <v>0</v>
      </c>
      <c r="H31" s="457">
        <v>0</v>
      </c>
      <c r="I31" s="170">
        <f>SUM(G31:H31)</f>
        <v>0</v>
      </c>
      <c r="J31" s="283">
        <f>JUNIO!L31</f>
        <v>0</v>
      </c>
      <c r="K31" s="457">
        <v>0</v>
      </c>
      <c r="L31" s="170">
        <f>SUM(J31:K31)</f>
        <v>0</v>
      </c>
      <c r="M31" s="283">
        <f>F31-I31</f>
        <v>0</v>
      </c>
      <c r="N31" s="170">
        <f>F31-L31</f>
        <v>0</v>
      </c>
      <c r="O31" s="467"/>
      <c r="P31" s="455">
        <v>0</v>
      </c>
      <c r="Q31" s="458">
        <v>0</v>
      </c>
      <c r="R31" s="10"/>
      <c r="S31" s="156" t="str">
        <f>+IF(JUNIO!S31=0,"",JUNIO!S31)</f>
        <v>1010104-13</v>
      </c>
      <c r="T31" s="55" t="str">
        <f>+IF(JUNIO!T31=0,"",JUNIO!T31)</f>
        <v>Bonificación Especial por Recreación</v>
      </c>
      <c r="U31" s="29">
        <f>+ENERO!U31</f>
        <v>2046504</v>
      </c>
      <c r="V31" s="17">
        <f>JUNIO!V31+JULIO!AL31</f>
        <v>0</v>
      </c>
      <c r="W31" s="17">
        <f>JUNIO!W31+JULIO!AM31</f>
        <v>0</v>
      </c>
      <c r="X31" s="20">
        <f t="shared" si="17"/>
        <v>2046504</v>
      </c>
      <c r="Y31" s="21">
        <f>JUNIO!AA31</f>
        <v>987038</v>
      </c>
      <c r="Z31" s="457">
        <v>69118</v>
      </c>
      <c r="AA31" s="20">
        <f t="shared" si="18"/>
        <v>1056156</v>
      </c>
      <c r="AB31" s="21">
        <f>JUNIO!AD31</f>
        <v>987038</v>
      </c>
      <c r="AC31" s="457">
        <v>69118</v>
      </c>
      <c r="AD31" s="20">
        <f t="shared" si="19"/>
        <v>1056156</v>
      </c>
      <c r="AE31" s="21">
        <f>JUNIO!AG31</f>
        <v>630960</v>
      </c>
      <c r="AF31" s="457">
        <v>425196</v>
      </c>
      <c r="AG31" s="20">
        <f t="shared" si="20"/>
        <v>1056156</v>
      </c>
      <c r="AH31" s="21">
        <f t="shared" si="21"/>
        <v>990348</v>
      </c>
      <c r="AI31" s="17">
        <f t="shared" si="22"/>
        <v>990348</v>
      </c>
      <c r="AJ31" s="18">
        <f t="shared" si="23"/>
        <v>990348</v>
      </c>
      <c r="AK31" s="10"/>
      <c r="AL31" s="455">
        <v>0</v>
      </c>
      <c r="AM31" s="458">
        <v>0</v>
      </c>
      <c r="AN31" s="10"/>
      <c r="AO31" s="428"/>
      <c r="AP31" s="507" t="s">
        <v>139</v>
      </c>
      <c r="AQ31" s="528">
        <f>X258</f>
        <v>0</v>
      </c>
      <c r="AR31" s="528">
        <f>AD258</f>
        <v>-33778933</v>
      </c>
      <c r="AS31" s="528">
        <f>AG258</f>
        <v>-1872610578</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4752586</v>
      </c>
      <c r="BR31" s="10"/>
    </row>
    <row r="32" spans="1:70" s="10" customFormat="1" ht="15.75" thickBot="1" x14ac:dyDescent="0.3">
      <c r="A32" s="61" t="str">
        <f>+IF(JUNIO!A32=0,"",JUNIO!A32)</f>
        <v>1130103-2</v>
      </c>
      <c r="B32" s="62" t="str">
        <f>+IF(JUNIO!B32=0,"",JUNIO!B32)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+IF(JUNIO!S32=0,"",JUNIO!S32)</f>
        <v>1010104-14</v>
      </c>
      <c r="T32" s="55" t="str">
        <f>+IF(JUNIO!T32=0,"",JUNIO!T32)</f>
        <v/>
      </c>
      <c r="U32" s="29">
        <f>+ENERO!U32</f>
        <v>0</v>
      </c>
      <c r="V32" s="17">
        <f>JUNIO!V32+JULIO!AL32</f>
        <v>0</v>
      </c>
      <c r="W32" s="17">
        <f>JUNIO!W32+JULIO!AM32</f>
        <v>0</v>
      </c>
      <c r="X32" s="20">
        <f t="shared" si="17"/>
        <v>0</v>
      </c>
      <c r="Y32" s="21">
        <f>JUNIO!AA32</f>
        <v>0</v>
      </c>
      <c r="Z32" s="457">
        <v>0</v>
      </c>
      <c r="AA32" s="20">
        <f t="shared" si="18"/>
        <v>0</v>
      </c>
      <c r="AB32" s="21">
        <f>JUNIO!AD32</f>
        <v>0</v>
      </c>
      <c r="AC32" s="457">
        <v>0</v>
      </c>
      <c r="AD32" s="20">
        <f t="shared" si="19"/>
        <v>0</v>
      </c>
      <c r="AE32" s="21">
        <f>JUNIO!AG32</f>
        <v>0</v>
      </c>
      <c r="AF32" s="457">
        <v>0</v>
      </c>
      <c r="AG32" s="20">
        <f t="shared" si="20"/>
        <v>0</v>
      </c>
      <c r="AH32" s="21">
        <f t="shared" si="21"/>
        <v>0</v>
      </c>
      <c r="AI32" s="17">
        <f t="shared" si="22"/>
        <v>0</v>
      </c>
      <c r="AJ32" s="18">
        <f t="shared" si="23"/>
        <v>0</v>
      </c>
      <c r="AL32" s="455">
        <v>0</v>
      </c>
      <c r="AM32" s="458">
        <v>0</v>
      </c>
      <c r="AO32" s="23"/>
      <c r="AP32" s="537" t="s">
        <v>144</v>
      </c>
      <c r="AQ32" s="483">
        <f>SUM(AQ22:AQ31)</f>
        <v>3839134335</v>
      </c>
      <c r="AR32" s="483">
        <f>SUM(AR22:AR31)</f>
        <v>2067938187</v>
      </c>
      <c r="AS32" s="483">
        <f>SUM(AS22:AS31)</f>
        <v>0</v>
      </c>
      <c r="AT32" s="538"/>
      <c r="AU32" s="539">
        <f t="shared" si="25"/>
        <v>0.53864699865992061</v>
      </c>
      <c r="AV32" s="539">
        <f t="shared" si="26"/>
        <v>0</v>
      </c>
      <c r="AW32" s="430">
        <f>SUM(AW22:AW31)</f>
        <v>3705188987.5714288</v>
      </c>
      <c r="AX32" s="430">
        <f>SUM(AX22:AX31)</f>
        <v>3313531171.8571424</v>
      </c>
      <c r="AY32" s="430">
        <f>SUM(AY22:AY31)</f>
        <v>-133945347.42857146</v>
      </c>
      <c r="AZ32" s="431">
        <f>SUM(AZ22:AZ31)</f>
        <v>525603163.14285725</v>
      </c>
      <c r="BA32" s="467"/>
      <c r="BB32" s="514"/>
      <c r="BC32" s="514"/>
      <c r="BD32" s="514"/>
      <c r="BE32" s="514"/>
      <c r="BF32" s="514"/>
      <c r="BG32" s="467"/>
      <c r="BH32" s="467"/>
      <c r="BI32" s="467"/>
      <c r="BJ32" s="467"/>
      <c r="BK32" s="467"/>
      <c r="BM32" s="128" t="s">
        <v>140</v>
      </c>
      <c r="BN32" s="124">
        <f>+BN7+BN25+BN29+BN30+BN31</f>
        <v>3839134335</v>
      </c>
      <c r="BO32" s="125">
        <f t="shared" ref="BO32:BQ32" si="33">+BO7+BO25+BO29+BO30+BO31</f>
        <v>2101745664</v>
      </c>
      <c r="BP32" s="125">
        <f t="shared" si="33"/>
        <v>2101717120</v>
      </c>
      <c r="BQ32" s="126">
        <f t="shared" si="33"/>
        <v>391869516</v>
      </c>
      <c r="BR32" s="467"/>
    </row>
    <row r="33" spans="1:70" s="514" customFormat="1" ht="15.75" thickBot="1" x14ac:dyDescent="0.3">
      <c r="A33" s="188" t="str">
        <f>+IF(JUNIO!A33=0,"",JUNIO!A33)</f>
        <v>1130103-2-1</v>
      </c>
      <c r="B33" s="189" t="str">
        <f>+CONCATENATE("Vigencia ",INSTRUCCIONES!$F$3)</f>
        <v>Vigencia 2014</v>
      </c>
      <c r="C33" s="456">
        <f>+ENERO!C33</f>
        <v>0</v>
      </c>
      <c r="D33" s="456">
        <f>JUNIO!D33+JULIO!P33</f>
        <v>0</v>
      </c>
      <c r="E33" s="456">
        <f>JUNIO!E33+JULIO!Q33</f>
        <v>0</v>
      </c>
      <c r="F33" s="170">
        <f>SUM(C33:E33)</f>
        <v>0</v>
      </c>
      <c r="G33" s="283">
        <f>JUNIO!I33</f>
        <v>0</v>
      </c>
      <c r="H33" s="457">
        <v>0</v>
      </c>
      <c r="I33" s="170">
        <f>SUM(G33:H33)</f>
        <v>0</v>
      </c>
      <c r="J33" s="283">
        <f>JUNIO!L33</f>
        <v>0</v>
      </c>
      <c r="K33" s="457">
        <v>0</v>
      </c>
      <c r="L33" s="170">
        <f>SUM(J33:K33)</f>
        <v>0</v>
      </c>
      <c r="M33" s="283">
        <f>F33-I33</f>
        <v>0</v>
      </c>
      <c r="N33" s="170">
        <f>F33-L33</f>
        <v>0</v>
      </c>
      <c r="O33" s="10"/>
      <c r="P33" s="455">
        <v>0</v>
      </c>
      <c r="Q33" s="458">
        <v>0</v>
      </c>
      <c r="R33" s="10"/>
      <c r="S33" s="155">
        <f>+IF(JUNIO!S33=0,"",JUNIO!S33)</f>
        <v>1010199</v>
      </c>
      <c r="T33" s="159" t="str">
        <f>+IF(JUNIO!T33=0,"",JUNIO!T33)</f>
        <v>Vigencias Anteriores</v>
      </c>
      <c r="U33" s="29">
        <f>+ENERO!U33</f>
        <v>4029851</v>
      </c>
      <c r="V33" s="17">
        <f>JUNIO!V33+JULIO!AL33</f>
        <v>-3476851</v>
      </c>
      <c r="W33" s="17">
        <f>JUNIO!W33+JULIO!AM33</f>
        <v>0</v>
      </c>
      <c r="X33" s="20">
        <f t="shared" si="17"/>
        <v>553000</v>
      </c>
      <c r="Y33" s="21">
        <f>JUNIO!AA33</f>
        <v>553000</v>
      </c>
      <c r="Z33" s="457">
        <v>0</v>
      </c>
      <c r="AA33" s="20">
        <f t="shared" si="18"/>
        <v>553000</v>
      </c>
      <c r="AB33" s="21">
        <f>JUNIO!AD33</f>
        <v>553000</v>
      </c>
      <c r="AC33" s="457">
        <v>0</v>
      </c>
      <c r="AD33" s="20">
        <f t="shared" si="19"/>
        <v>553000</v>
      </c>
      <c r="AE33" s="21">
        <f>JUNIO!AG33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378535551</v>
      </c>
      <c r="BP33" s="131">
        <f>AD258</f>
        <v>-33778933</v>
      </c>
      <c r="BQ33" s="132">
        <f>AF258</f>
        <v>1379326632</v>
      </c>
      <c r="BR33" s="467"/>
    </row>
    <row r="34" spans="1:70" s="514" customFormat="1" ht="16.5" thickBot="1" x14ac:dyDescent="0.25">
      <c r="A34" s="188" t="str">
        <f>+IF(JUNIO!A34=0,"",JUNIO!A34)</f>
        <v>1130103-2-2</v>
      </c>
      <c r="B34" s="189" t="str">
        <f>+IF(JUNIO!B34=0,"",JUNIO!B34)</f>
        <v>Vigencias Anteriores</v>
      </c>
      <c r="C34" s="456">
        <f>+ENERO!C34</f>
        <v>0</v>
      </c>
      <c r="D34" s="456">
        <f>JUNIO!D34+JULIO!P34</f>
        <v>0</v>
      </c>
      <c r="E34" s="456">
        <f>JUNIO!E34+JULIO!Q34</f>
        <v>0</v>
      </c>
      <c r="F34" s="170">
        <f>SUM(C34:E34)</f>
        <v>0</v>
      </c>
      <c r="G34" s="283">
        <f>JUNIO!I34</f>
        <v>0</v>
      </c>
      <c r="H34" s="457">
        <v>0</v>
      </c>
      <c r="I34" s="170">
        <f>SUM(G34:H34)</f>
        <v>0</v>
      </c>
      <c r="J34" s="283">
        <f>JUNIO!L34</f>
        <v>0</v>
      </c>
      <c r="K34" s="457">
        <v>0</v>
      </c>
      <c r="L34" s="170">
        <f>SUM(J34:K34)</f>
        <v>0</v>
      </c>
      <c r="M34" s="283">
        <f>F34-I34</f>
        <v>0</v>
      </c>
      <c r="N34" s="170">
        <f>F34-L34</f>
        <v>0</v>
      </c>
      <c r="O34" s="467"/>
      <c r="P34" s="455">
        <v>0</v>
      </c>
      <c r="Q34" s="458">
        <v>0</v>
      </c>
      <c r="R34" s="10"/>
      <c r="S34" s="448" t="str">
        <f>+IF(JUNIO!S34=0,"",JUNIO!S34)</f>
        <v/>
      </c>
      <c r="T34" s="649" t="str">
        <f>+IF(JUNIO!T34=0,"",JUNIO!T34)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+IF(JUNIO!A35=0,"",JUNIO!A35)</f>
        <v>1130103-3</v>
      </c>
      <c r="B35" s="62" t="str">
        <f>+IF(JUNIO!B35=0,"",JUNIO!B35)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+IF(JUNIO!S35=0,"",JUNIO!S35)</f>
        <v>1010200</v>
      </c>
      <c r="T35" s="158" t="str">
        <f>+IF(JUNIO!T35=0,"",JUNIO!T35)</f>
        <v>Servicios Personales Indirectos</v>
      </c>
      <c r="U35" s="157">
        <f t="shared" ref="U35:AJ35" si="35">SUM(U36:U41)</f>
        <v>113755696</v>
      </c>
      <c r="V35" s="144">
        <f t="shared" si="35"/>
        <v>-2668000</v>
      </c>
      <c r="W35" s="144">
        <f t="shared" si="35"/>
        <v>1200000</v>
      </c>
      <c r="X35" s="152">
        <f t="shared" si="35"/>
        <v>112287696</v>
      </c>
      <c r="Y35" s="151">
        <f t="shared" si="35"/>
        <v>36895232</v>
      </c>
      <c r="Z35" s="144">
        <f t="shared" si="35"/>
        <v>8129473</v>
      </c>
      <c r="AA35" s="152">
        <f t="shared" si="35"/>
        <v>45024705</v>
      </c>
      <c r="AB35" s="151">
        <f t="shared" si="35"/>
        <v>36895232</v>
      </c>
      <c r="AC35" s="144">
        <f t="shared" si="35"/>
        <v>8129473</v>
      </c>
      <c r="AD35" s="152">
        <f t="shared" si="35"/>
        <v>45024705</v>
      </c>
      <c r="AE35" s="151">
        <f t="shared" si="35"/>
        <v>32648563</v>
      </c>
      <c r="AF35" s="144">
        <f t="shared" si="35"/>
        <v>4246669</v>
      </c>
      <c r="AG35" s="152">
        <f t="shared" si="35"/>
        <v>36895232</v>
      </c>
      <c r="AH35" s="151">
        <f t="shared" si="35"/>
        <v>67262991</v>
      </c>
      <c r="AI35" s="144">
        <f t="shared" si="35"/>
        <v>67262991</v>
      </c>
      <c r="AJ35" s="153">
        <f t="shared" si="35"/>
        <v>75392464</v>
      </c>
      <c r="AK35" s="10"/>
      <c r="AL35" s="151">
        <f>SUM(AL36:AL41)</f>
        <v>0</v>
      </c>
      <c r="AM35" s="153">
        <f>SUM(AM36:AM41)</f>
        <v>0</v>
      </c>
      <c r="AN35" s="10"/>
      <c r="AO35" s="428"/>
      <c r="AP35" s="547"/>
      <c r="AQ35" s="363"/>
      <c r="AR35" s="548"/>
      <c r="AS35" s="548"/>
      <c r="AT35" s="548"/>
      <c r="AU35" s="549">
        <f>AR17-AR32</f>
        <v>265036538</v>
      </c>
      <c r="AV35" s="550">
        <f>AS17-AR32</f>
        <v>-147306490</v>
      </c>
      <c r="AW35" s="550" t="s">
        <v>158</v>
      </c>
      <c r="AX35" s="551"/>
      <c r="AY35" s="550">
        <f>AY17+AY32</f>
        <v>85017464.714285553</v>
      </c>
      <c r="AZ35" s="552">
        <f>AZ17+AY32</f>
        <v>-770112201.57142878</v>
      </c>
      <c r="BB35" s="514"/>
      <c r="BC35" s="514"/>
      <c r="BD35" s="514"/>
      <c r="BE35" s="514"/>
      <c r="BF35" s="514"/>
    </row>
    <row r="36" spans="1:70" s="467" customFormat="1" ht="15.75" thickBot="1" x14ac:dyDescent="0.25">
      <c r="A36" s="188" t="str">
        <f>+IF(JUNIO!A36=0,"",JUNIO!A36)</f>
        <v>1130103-3-1</v>
      </c>
      <c r="B36" s="189" t="str">
        <f>+CONCATENATE("Vigencia ",INSTRUCCIONES!$F$3)</f>
        <v>Vigencia 2014</v>
      </c>
      <c r="C36" s="456">
        <f>+ENERO!C36</f>
        <v>0</v>
      </c>
      <c r="D36" s="456">
        <f>JUNIO!D36+JULIO!P36</f>
        <v>0</v>
      </c>
      <c r="E36" s="456">
        <f>JUNIO!E36+JULIO!Q36</f>
        <v>0</v>
      </c>
      <c r="F36" s="170">
        <f>SUM(C36:E36)</f>
        <v>0</v>
      </c>
      <c r="G36" s="283">
        <f>JUNIO!I36</f>
        <v>0</v>
      </c>
      <c r="H36" s="457">
        <v>0</v>
      </c>
      <c r="I36" s="170">
        <f>SUM(G36:H36)</f>
        <v>0</v>
      </c>
      <c r="J36" s="283">
        <f>JUNIO!L36</f>
        <v>0</v>
      </c>
      <c r="K36" s="457">
        <v>0</v>
      </c>
      <c r="L36" s="170">
        <f>SUM(J36:K36)</f>
        <v>0</v>
      </c>
      <c r="M36" s="283">
        <f>F36-I36</f>
        <v>0</v>
      </c>
      <c r="N36" s="170">
        <f>F36-L36</f>
        <v>0</v>
      </c>
      <c r="O36" s="10"/>
      <c r="P36" s="455">
        <v>0</v>
      </c>
      <c r="Q36" s="458">
        <v>0</v>
      </c>
      <c r="R36" s="10"/>
      <c r="S36" s="155" t="str">
        <f>+IF(JUNIO!S36=0,"",JUNIO!S36)</f>
        <v>1010200-1</v>
      </c>
      <c r="T36" s="159" t="str">
        <f>+IF(JUNIO!T36=0,"",JUNIO!T36)</f>
        <v>Remuneración y Honorarios por Servicios Técnicos y Profesionales</v>
      </c>
      <c r="U36" s="29">
        <f>+ENERO!U36</f>
        <v>16339906</v>
      </c>
      <c r="V36" s="17">
        <f>JUNIO!V36+JULIO!AL36</f>
        <v>0</v>
      </c>
      <c r="W36" s="17">
        <f>JUNIO!W36+JULIO!AM36</f>
        <v>0</v>
      </c>
      <c r="X36" s="20">
        <f t="shared" ref="X36:X41" si="36">SUM(U36:W36)</f>
        <v>16339906</v>
      </c>
      <c r="Y36" s="21">
        <f>JUNIO!AA36</f>
        <v>6009365</v>
      </c>
      <c r="Z36" s="457">
        <v>1201873</v>
      </c>
      <c r="AA36" s="20">
        <f t="shared" ref="AA36:AA41" si="37">SUM(Y36:Z36)</f>
        <v>7211238</v>
      </c>
      <c r="AB36" s="21">
        <f>JUNIO!AD36</f>
        <v>6009365</v>
      </c>
      <c r="AC36" s="457">
        <v>1201873</v>
      </c>
      <c r="AD36" s="20">
        <f t="shared" ref="AD36:AD41" si="38">SUM(AB36:AC36)</f>
        <v>7211238</v>
      </c>
      <c r="AE36" s="21">
        <f>JUNIO!AG36</f>
        <v>4807492</v>
      </c>
      <c r="AF36" s="457">
        <v>1201873</v>
      </c>
      <c r="AG36" s="20">
        <f t="shared" ref="AG36:AG41" si="39">SUM(AE36:AF36)</f>
        <v>6009365</v>
      </c>
      <c r="AH36" s="21">
        <f t="shared" ref="AH36:AH41" si="40">X36-AA36</f>
        <v>9128668</v>
      </c>
      <c r="AI36" s="17">
        <f t="shared" ref="AI36:AI41" si="41">X36-AD36</f>
        <v>9128668</v>
      </c>
      <c r="AJ36" s="18">
        <f t="shared" ref="AJ36:AJ41" si="42">X36-AG36</f>
        <v>10330541</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+IF(JUNIO!A37=0,"",JUNIO!A37)</f>
        <v>1130103-3-2</v>
      </c>
      <c r="B37" s="189" t="str">
        <f>+IF(JUNIO!B37=0,"",JUNIO!B37)</f>
        <v>Vigencias Anteriores</v>
      </c>
      <c r="C37" s="456">
        <f>+ENERO!C37</f>
        <v>0</v>
      </c>
      <c r="D37" s="456">
        <f>JUNIO!D37+JULIO!P37</f>
        <v>0</v>
      </c>
      <c r="E37" s="456">
        <f>JUNIO!E37+JULIO!Q37</f>
        <v>0</v>
      </c>
      <c r="F37" s="170">
        <f>SUM(C37:E37)</f>
        <v>0</v>
      </c>
      <c r="G37" s="283">
        <f>JUNIO!I37</f>
        <v>0</v>
      </c>
      <c r="H37" s="457">
        <v>0</v>
      </c>
      <c r="I37" s="170">
        <f>SUM(G37:H37)</f>
        <v>0</v>
      </c>
      <c r="J37" s="283">
        <f>JUNIO!L37</f>
        <v>0</v>
      </c>
      <c r="K37" s="457">
        <v>0</v>
      </c>
      <c r="L37" s="170">
        <f>SUM(J37:K37)</f>
        <v>0</v>
      </c>
      <c r="M37" s="283">
        <f>F37-I37</f>
        <v>0</v>
      </c>
      <c r="N37" s="170">
        <f>F37-L37</f>
        <v>0</v>
      </c>
      <c r="P37" s="455">
        <v>0</v>
      </c>
      <c r="Q37" s="458">
        <v>0</v>
      </c>
      <c r="R37" s="10"/>
      <c r="S37" s="155" t="str">
        <f>+IF(JUNIO!S37=0,"",JUNIO!S37)</f>
        <v>1010200-2</v>
      </c>
      <c r="T37" s="159" t="str">
        <f>+IF(JUNIO!T37=0,"",JUNIO!T37)</f>
        <v>Personal Supernumerario</v>
      </c>
      <c r="U37" s="29">
        <f>+ENERO!U37</f>
        <v>10000000</v>
      </c>
      <c r="V37" s="17">
        <f>JUNIO!V37+JULIO!AL37</f>
        <v>0</v>
      </c>
      <c r="W37" s="17">
        <f>JUNIO!W37+JULIO!AM37</f>
        <v>0</v>
      </c>
      <c r="X37" s="20">
        <f t="shared" si="36"/>
        <v>10000000</v>
      </c>
      <c r="Y37" s="21">
        <f>JUNIO!AA37</f>
        <v>0</v>
      </c>
      <c r="Z37" s="457">
        <v>0</v>
      </c>
      <c r="AA37" s="20">
        <f t="shared" si="37"/>
        <v>0</v>
      </c>
      <c r="AB37" s="21">
        <f>JUNIO!AD37</f>
        <v>0</v>
      </c>
      <c r="AC37" s="457">
        <v>0</v>
      </c>
      <c r="AD37" s="20">
        <f t="shared" si="38"/>
        <v>0</v>
      </c>
      <c r="AE37" s="21">
        <f>JUNIO!AG37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+IF(JUNIO!S38=0,"",JUNIO!S38)</f>
        <v>1010200-3</v>
      </c>
      <c r="T38" s="159" t="str">
        <f>+IF(JUNIO!T38=0,"",JUNIO!T38)</f>
        <v>Honorarios de la Junta Directiva</v>
      </c>
      <c r="U38" s="29">
        <f>+ENERO!U38</f>
        <v>1098240</v>
      </c>
      <c r="V38" s="17">
        <f>JUNIO!V38+JULIO!AL38</f>
        <v>0</v>
      </c>
      <c r="W38" s="17">
        <f>JUNIO!W38+JULIO!AM38</f>
        <v>1200000</v>
      </c>
      <c r="X38" s="20">
        <f t="shared" si="36"/>
        <v>2298240</v>
      </c>
      <c r="Y38" s="21">
        <f>JUNIO!AA38</f>
        <v>1084950</v>
      </c>
      <c r="Z38" s="457">
        <v>0</v>
      </c>
      <c r="AA38" s="20">
        <f t="shared" si="37"/>
        <v>1084950</v>
      </c>
      <c r="AB38" s="21">
        <f>JUNIO!AD38</f>
        <v>1084950</v>
      </c>
      <c r="AC38" s="457">
        <v>0</v>
      </c>
      <c r="AD38" s="20">
        <f t="shared" si="38"/>
        <v>1084950</v>
      </c>
      <c r="AE38" s="21">
        <f>JUNIO!AG38</f>
        <v>1084950</v>
      </c>
      <c r="AF38" s="457">
        <v>0</v>
      </c>
      <c r="AG38" s="20">
        <f t="shared" si="39"/>
        <v>1084950</v>
      </c>
      <c r="AH38" s="21">
        <f t="shared" si="40"/>
        <v>1213290</v>
      </c>
      <c r="AI38" s="17">
        <f t="shared" si="41"/>
        <v>1213290</v>
      </c>
      <c r="AJ38" s="18">
        <f t="shared" si="42"/>
        <v>1213290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+IF(JUNIO!S39=0,"",JUNIO!S39)</f>
        <v>1010200-4</v>
      </c>
      <c r="T39" s="159" t="str">
        <f>+IF(JUNIO!T39=0,"",JUNIO!T39)</f>
        <v>Otros Honorarios (Servicios de Cooperativa)</v>
      </c>
      <c r="U39" s="29">
        <f>+ENERO!U39</f>
        <v>80796809</v>
      </c>
      <c r="V39" s="17">
        <f>JUNIO!V39+JULIO!AL39</f>
        <v>0</v>
      </c>
      <c r="W39" s="17">
        <f>JUNIO!W39+JULIO!AM39</f>
        <v>0</v>
      </c>
      <c r="X39" s="20">
        <f t="shared" si="36"/>
        <v>80796809</v>
      </c>
      <c r="Y39" s="21">
        <f>JUNIO!AA39</f>
        <v>26948176</v>
      </c>
      <c r="Z39" s="457">
        <v>6927600</v>
      </c>
      <c r="AA39" s="20">
        <f t="shared" si="37"/>
        <v>33875776</v>
      </c>
      <c r="AB39" s="21">
        <f>JUNIO!AD39</f>
        <v>26948176</v>
      </c>
      <c r="AC39" s="457">
        <v>6927600</v>
      </c>
      <c r="AD39" s="20">
        <f t="shared" si="38"/>
        <v>33875776</v>
      </c>
      <c r="AE39" s="21">
        <f>JUNIO!AG39</f>
        <v>23903380</v>
      </c>
      <c r="AF39" s="457">
        <v>3044796</v>
      </c>
      <c r="AG39" s="20">
        <f t="shared" si="39"/>
        <v>26948176</v>
      </c>
      <c r="AH39" s="21">
        <f t="shared" si="40"/>
        <v>46921033</v>
      </c>
      <c r="AI39" s="17">
        <f t="shared" si="41"/>
        <v>46921033</v>
      </c>
      <c r="AJ39" s="18">
        <f t="shared" si="42"/>
        <v>53848633</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+IF(JUNIO!S40=0,"",JUNIO!S40)</f>
        <v>1010200-6</v>
      </c>
      <c r="T40" s="159" t="str">
        <f>+IF(JUNIO!T40=0,"",JUNIO!T40)</f>
        <v>Certificación, Habilitación y Acreditación</v>
      </c>
      <c r="U40" s="29">
        <f>+ENERO!U40</f>
        <v>0</v>
      </c>
      <c r="V40" s="17">
        <f>JUNIO!V40+JULIO!AL40</f>
        <v>0</v>
      </c>
      <c r="W40" s="17">
        <f>JUNIO!W40+JULIO!AM40</f>
        <v>0</v>
      </c>
      <c r="X40" s="20">
        <f t="shared" si="36"/>
        <v>0</v>
      </c>
      <c r="Y40" s="21">
        <f>JUNIO!AA40</f>
        <v>0</v>
      </c>
      <c r="Z40" s="457">
        <v>0</v>
      </c>
      <c r="AA40" s="20">
        <f t="shared" si="37"/>
        <v>0</v>
      </c>
      <c r="AB40" s="21">
        <f>JUNIO!AD40</f>
        <v>0</v>
      </c>
      <c r="AC40" s="457">
        <v>0</v>
      </c>
      <c r="AD40" s="20">
        <f t="shared" si="38"/>
        <v>0</v>
      </c>
      <c r="AE40" s="21">
        <f>JUNIO!AG40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+IF(JUNIO!S41=0,"",JUNIO!S41)</f>
        <v>1010299</v>
      </c>
      <c r="T41" s="159" t="str">
        <f>+IF(JUNIO!T41=0,"",JUNIO!T41)</f>
        <v>Vigencias Anteriores</v>
      </c>
      <c r="U41" s="29">
        <f>+ENERO!U41</f>
        <v>5520741</v>
      </c>
      <c r="V41" s="17">
        <f>JUNIO!V41+JULIO!AL41</f>
        <v>-2668000</v>
      </c>
      <c r="W41" s="17">
        <f>JUNIO!W41+JULIO!AM41</f>
        <v>0</v>
      </c>
      <c r="X41" s="20">
        <f t="shared" si="36"/>
        <v>2852741</v>
      </c>
      <c r="Y41" s="21">
        <f>JUNIO!AA41</f>
        <v>2852741</v>
      </c>
      <c r="Z41" s="457">
        <v>0</v>
      </c>
      <c r="AA41" s="20">
        <f t="shared" si="37"/>
        <v>2852741</v>
      </c>
      <c r="AB41" s="21">
        <f>JUNIO!AD41</f>
        <v>2852741</v>
      </c>
      <c r="AC41" s="457">
        <v>0</v>
      </c>
      <c r="AD41" s="20">
        <f t="shared" si="38"/>
        <v>2852741</v>
      </c>
      <c r="AE41" s="21">
        <f>JUNIO!AG41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+IF(JUNIO!A42=0,"",JUNIO!A42)</f>
        <v>1130106</v>
      </c>
      <c r="B42" s="45" t="str">
        <f>+IF(JUNIO!B42=0,"",JUNIO!B42)</f>
        <v>SALUD PUBLICA - PLAN DE INTERVENCIONES COLECTIVAS</v>
      </c>
      <c r="C42" s="53">
        <f t="shared" ref="C42:N42" si="43">SUM(C43:C44)</f>
        <v>125397398</v>
      </c>
      <c r="D42" s="53">
        <f t="shared" si="43"/>
        <v>0</v>
      </c>
      <c r="E42" s="53">
        <f t="shared" si="43"/>
        <v>0</v>
      </c>
      <c r="F42" s="54">
        <f t="shared" si="43"/>
        <v>125397398</v>
      </c>
      <c r="G42" s="52">
        <f t="shared" si="43"/>
        <v>50189259</v>
      </c>
      <c r="H42" s="53">
        <f t="shared" si="43"/>
        <v>10017527</v>
      </c>
      <c r="I42" s="54">
        <f t="shared" si="43"/>
        <v>60206786</v>
      </c>
      <c r="J42" s="52">
        <f t="shared" si="43"/>
        <v>32886108</v>
      </c>
      <c r="K42" s="53">
        <f t="shared" si="43"/>
        <v>101624</v>
      </c>
      <c r="L42" s="54">
        <f t="shared" si="43"/>
        <v>32987732</v>
      </c>
      <c r="M42" s="52">
        <f t="shared" si="43"/>
        <v>65190612</v>
      </c>
      <c r="N42" s="54">
        <f t="shared" si="43"/>
        <v>92409666</v>
      </c>
      <c r="P42" s="52">
        <f>SUM(P43:P44)</f>
        <v>0</v>
      </c>
      <c r="Q42" s="54">
        <f>SUM(Q43:Q44)</f>
        <v>0</v>
      </c>
      <c r="R42" s="10"/>
      <c r="S42" s="448" t="str">
        <f>+IF(JUNIO!S42=0,"",JUNIO!S42)</f>
        <v/>
      </c>
      <c r="T42" s="649" t="str">
        <f>+IF(JUNIO!T42=0,"",JUNIO!T42)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+IF(JUNIO!A43=0,"",JUNIO!A43)</f>
        <v>1130106-1</v>
      </c>
      <c r="B43" s="189" t="str">
        <f>+CONCATENATE("Vigencia ",INSTRUCCIONES!$F$3)</f>
        <v>Vigencia 2014</v>
      </c>
      <c r="C43" s="456">
        <f>+ENERO!C43</f>
        <v>125397398</v>
      </c>
      <c r="D43" s="456">
        <f>JUNIO!D43+JULIO!P43</f>
        <v>0</v>
      </c>
      <c r="E43" s="456">
        <f>JUNIO!E43+JULIO!Q43</f>
        <v>0</v>
      </c>
      <c r="F43" s="170">
        <f>SUM(C43:E43)</f>
        <v>125397398</v>
      </c>
      <c r="G43" s="283">
        <f>JUNIO!I43</f>
        <v>50189259</v>
      </c>
      <c r="H43" s="457">
        <v>10017527</v>
      </c>
      <c r="I43" s="170">
        <f>SUM(G43:H43)</f>
        <v>60206786</v>
      </c>
      <c r="J43" s="283">
        <f>JUNIO!L43</f>
        <v>32886108</v>
      </c>
      <c r="K43" s="457">
        <v>101624</v>
      </c>
      <c r="L43" s="170">
        <f>SUM(J43:K43)</f>
        <v>32987732</v>
      </c>
      <c r="M43" s="283">
        <f>F43-I43</f>
        <v>65190612</v>
      </c>
      <c r="N43" s="170">
        <f>F43-L43</f>
        <v>92409666</v>
      </c>
      <c r="O43" s="467"/>
      <c r="P43" s="455">
        <v>0</v>
      </c>
      <c r="Q43" s="458">
        <v>0</v>
      </c>
      <c r="R43" s="10"/>
      <c r="S43" s="34">
        <f>+IF(JUNIO!S43=0,"",JUNIO!S43)</f>
        <v>1010300</v>
      </c>
      <c r="T43" s="158" t="str">
        <f>+IF(JUNIO!T43=0,"",JUNIO!T43)</f>
        <v>Contribuciones Inherentes nómina al Sector Privado</v>
      </c>
      <c r="U43" s="157">
        <f t="shared" ref="U43:AJ43" si="44">U44+U49+U55</f>
        <v>119647956</v>
      </c>
      <c r="V43" s="144">
        <f t="shared" si="44"/>
        <v>487148</v>
      </c>
      <c r="W43" s="144">
        <f t="shared" si="44"/>
        <v>0</v>
      </c>
      <c r="X43" s="152">
        <f t="shared" si="44"/>
        <v>120135104</v>
      </c>
      <c r="Y43" s="151">
        <f t="shared" si="44"/>
        <v>67160681</v>
      </c>
      <c r="Z43" s="144">
        <f t="shared" si="44"/>
        <v>4690460</v>
      </c>
      <c r="AA43" s="152">
        <f t="shared" si="44"/>
        <v>71851141</v>
      </c>
      <c r="AB43" s="151">
        <f t="shared" si="44"/>
        <v>67160681</v>
      </c>
      <c r="AC43" s="144">
        <f t="shared" si="44"/>
        <v>4690460</v>
      </c>
      <c r="AD43" s="152">
        <f t="shared" si="44"/>
        <v>71851141</v>
      </c>
      <c r="AE43" s="151">
        <f t="shared" si="44"/>
        <v>61677083</v>
      </c>
      <c r="AF43" s="144">
        <f t="shared" si="44"/>
        <v>6878958</v>
      </c>
      <c r="AG43" s="152">
        <f t="shared" si="44"/>
        <v>68556041</v>
      </c>
      <c r="AH43" s="151">
        <f t="shared" si="44"/>
        <v>48283963</v>
      </c>
      <c r="AI43" s="144">
        <f t="shared" si="44"/>
        <v>48283963</v>
      </c>
      <c r="AJ43" s="153">
        <f t="shared" si="44"/>
        <v>51579063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+IF(JUNIO!A44=0,"",JUNIO!A44)</f>
        <v>1130106-2</v>
      </c>
      <c r="B44" s="189" t="str">
        <f>+IF(JUNIO!B44=0,"",JUNIO!B44)</f>
        <v>Vigencias Anteriores</v>
      </c>
      <c r="C44" s="456">
        <f>+ENERO!C44</f>
        <v>0</v>
      </c>
      <c r="D44" s="456">
        <f>JUNIO!D44+JULIO!P44</f>
        <v>0</v>
      </c>
      <c r="E44" s="456">
        <f>JUNIO!E44+JULIO!Q44</f>
        <v>0</v>
      </c>
      <c r="F44" s="170">
        <f>SUM(C44:E44)</f>
        <v>0</v>
      </c>
      <c r="G44" s="283">
        <f>JUNIO!I44</f>
        <v>0</v>
      </c>
      <c r="H44" s="457">
        <v>0</v>
      </c>
      <c r="I44" s="170">
        <f>SUM(G44:H44)</f>
        <v>0</v>
      </c>
      <c r="J44" s="283">
        <f>JUNIO!L44</f>
        <v>0</v>
      </c>
      <c r="K44" s="457">
        <v>0</v>
      </c>
      <c r="L44" s="170">
        <f>SUM(J44:K44)</f>
        <v>0</v>
      </c>
      <c r="M44" s="283">
        <f>F44-I44</f>
        <v>0</v>
      </c>
      <c r="N44" s="170">
        <f>F44-L44</f>
        <v>0</v>
      </c>
      <c r="O44" s="467"/>
      <c r="P44" s="455">
        <v>0</v>
      </c>
      <c r="Q44" s="458">
        <v>0</v>
      </c>
      <c r="R44" s="10"/>
      <c r="S44" s="155">
        <f>+IF(JUNIO!S44=0,"",JUNIO!S44)</f>
        <v>1010301</v>
      </c>
      <c r="T44" s="159" t="str">
        <f>+IF(JUNIO!T44=0,"",JUNIO!T44)</f>
        <v>Contribuciones - Sin Situación de Fondos</v>
      </c>
      <c r="U44" s="29">
        <f t="shared" ref="U44:AJ44" si="45">SUM(U45:U48)</f>
        <v>56401928</v>
      </c>
      <c r="V44" s="17">
        <f t="shared" si="45"/>
        <v>0</v>
      </c>
      <c r="W44" s="17">
        <f t="shared" si="45"/>
        <v>0</v>
      </c>
      <c r="X44" s="20">
        <f t="shared" si="45"/>
        <v>56401928</v>
      </c>
      <c r="Y44" s="21">
        <f t="shared" si="45"/>
        <v>17712575</v>
      </c>
      <c r="Z44" s="169">
        <f t="shared" si="45"/>
        <v>1395360</v>
      </c>
      <c r="AA44" s="20">
        <f t="shared" si="45"/>
        <v>19107935</v>
      </c>
      <c r="AB44" s="21">
        <f t="shared" si="45"/>
        <v>17712575</v>
      </c>
      <c r="AC44" s="169">
        <f t="shared" si="45"/>
        <v>1395360</v>
      </c>
      <c r="AD44" s="20">
        <f t="shared" si="45"/>
        <v>19107935</v>
      </c>
      <c r="AE44" s="21">
        <f t="shared" si="45"/>
        <v>14449425</v>
      </c>
      <c r="AF44" s="169">
        <f t="shared" si="45"/>
        <v>4658510</v>
      </c>
      <c r="AG44" s="20">
        <f t="shared" si="45"/>
        <v>19107935</v>
      </c>
      <c r="AH44" s="21">
        <f t="shared" si="45"/>
        <v>37293993</v>
      </c>
      <c r="AI44" s="17">
        <f t="shared" si="45"/>
        <v>37293993</v>
      </c>
      <c r="AJ44" s="18">
        <f t="shared" si="45"/>
        <v>37293993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+IF(JUNIO!A45=0,"",JUNIO!A45)</f>
        <v>1130107</v>
      </c>
      <c r="B45" s="45" t="str">
        <f>+IF(JUNIO!B45=0,"",JUNIO!B45)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+IF(JUNIO!S45=0,"",JUNIO!S45)</f>
        <v>1010301-1</v>
      </c>
      <c r="T45" s="55" t="str">
        <f>+IF(JUNIO!T45=0,"",JUNIO!T45)</f>
        <v>Aportes a E.P.S.- Sin sit. Fondos</v>
      </c>
      <c r="U45" s="29">
        <f>+ENERO!U45</f>
        <v>24712429</v>
      </c>
      <c r="V45" s="17">
        <f>JUNIO!V45+JULIO!AL45</f>
        <v>0</v>
      </c>
      <c r="W45" s="17">
        <f>JUNIO!W45+JULIO!AM45</f>
        <v>0</v>
      </c>
      <c r="X45" s="20">
        <f>SUM(U45:W45)</f>
        <v>24712429</v>
      </c>
      <c r="Y45" s="21">
        <f>JUNIO!AA45</f>
        <v>8468775</v>
      </c>
      <c r="Z45" s="457">
        <v>1395360</v>
      </c>
      <c r="AA45" s="20">
        <f>SUM(Y45:Z45)</f>
        <v>9864135</v>
      </c>
      <c r="AB45" s="21">
        <f>JUNIO!AD45</f>
        <v>8468775</v>
      </c>
      <c r="AC45" s="457">
        <v>1395360</v>
      </c>
      <c r="AD45" s="20">
        <f>SUM(AB45:AC45)</f>
        <v>9864135</v>
      </c>
      <c r="AE45" s="21">
        <f>JUNIO!AG45</f>
        <v>7115825</v>
      </c>
      <c r="AF45" s="457">
        <v>2748310</v>
      </c>
      <c r="AG45" s="20">
        <f>SUM(AE45:AF45)</f>
        <v>9864135</v>
      </c>
      <c r="AH45" s="21">
        <f>X45-AA45</f>
        <v>14848294</v>
      </c>
      <c r="AI45" s="17">
        <f>X45-AD45</f>
        <v>14848294</v>
      </c>
      <c r="AJ45" s="18">
        <f>X45-AG45</f>
        <v>14848294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+IF(JUNIO!A46=0,"",JUNIO!A46)</f>
        <v>1130107-1</v>
      </c>
      <c r="B46" s="189" t="str">
        <f>+CONCATENATE("Vigencia ",INSTRUCCIONES!$F$3)</f>
        <v>Vigencia 2014</v>
      </c>
      <c r="C46" s="456">
        <f>+ENERO!C46</f>
        <v>0</v>
      </c>
      <c r="D46" s="456">
        <f>JUNIO!D46+JULIO!P46</f>
        <v>0</v>
      </c>
      <c r="E46" s="456">
        <f>JUNIO!E46+JULIO!Q46</f>
        <v>0</v>
      </c>
      <c r="F46" s="170">
        <f>SUM(C46:E46)</f>
        <v>0</v>
      </c>
      <c r="G46" s="283">
        <f>JUNIO!I46</f>
        <v>0</v>
      </c>
      <c r="H46" s="457">
        <v>0</v>
      </c>
      <c r="I46" s="170">
        <f>SUM(G46:H46)</f>
        <v>0</v>
      </c>
      <c r="J46" s="283">
        <f>JUNIO!L46</f>
        <v>0</v>
      </c>
      <c r="K46" s="457">
        <v>0</v>
      </c>
      <c r="L46" s="170">
        <f>SUM(J46:K46)</f>
        <v>0</v>
      </c>
      <c r="M46" s="283">
        <f>F46-I46</f>
        <v>0</v>
      </c>
      <c r="N46" s="170">
        <f>F46-L46</f>
        <v>0</v>
      </c>
      <c r="O46" s="467"/>
      <c r="P46" s="455">
        <v>0</v>
      </c>
      <c r="Q46" s="458">
        <v>0</v>
      </c>
      <c r="R46" s="10"/>
      <c r="S46" s="156" t="str">
        <f>+IF(JUNIO!S46=0,"",JUNIO!S46)</f>
        <v>1010301-2</v>
      </c>
      <c r="T46" s="55" t="str">
        <f>+IF(JUNIO!T46=0,"",JUNIO!T46)</f>
        <v>Aportes Fondos Pensionales - Sin Sit. Fondos</v>
      </c>
      <c r="U46" s="29">
        <f>+ENERO!U46</f>
        <v>26693987</v>
      </c>
      <c r="V46" s="17">
        <f>JUNIO!V46+JULIO!AL46</f>
        <v>0</v>
      </c>
      <c r="W46" s="17">
        <f>JUNIO!W46+JULIO!AM46</f>
        <v>0</v>
      </c>
      <c r="X46" s="20">
        <f>SUM(U46:W46)</f>
        <v>26693987</v>
      </c>
      <c r="Y46" s="21">
        <f>JUNIO!AA46</f>
        <v>9243800</v>
      </c>
      <c r="Z46" s="457">
        <v>0</v>
      </c>
      <c r="AA46" s="20">
        <f>SUM(Y46:Z46)</f>
        <v>9243800</v>
      </c>
      <c r="AB46" s="21">
        <f>JUNIO!AD46</f>
        <v>9243800</v>
      </c>
      <c r="AC46" s="457">
        <v>0</v>
      </c>
      <c r="AD46" s="20">
        <f>SUM(AB46:AC46)</f>
        <v>9243800</v>
      </c>
      <c r="AE46" s="21">
        <f>JUNIO!AG46</f>
        <v>7333600</v>
      </c>
      <c r="AF46" s="457">
        <v>1910200</v>
      </c>
      <c r="AG46" s="20">
        <f>SUM(AE46:AF46)</f>
        <v>9243800</v>
      </c>
      <c r="AH46" s="21">
        <f>X46-AA46</f>
        <v>17450187</v>
      </c>
      <c r="AI46" s="17">
        <f>X46-AD46</f>
        <v>17450187</v>
      </c>
      <c r="AJ46" s="18">
        <f>X46-AG46</f>
        <v>17450187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+IF(JUNIO!A47=0,"",JUNIO!A47)</f>
        <v>1130107-2</v>
      </c>
      <c r="B47" s="189" t="str">
        <f>+IF(JUNIO!B47=0,"",JUNIO!B47)</f>
        <v>Vigencias Anteriores</v>
      </c>
      <c r="C47" s="456">
        <f>+ENERO!C47</f>
        <v>0</v>
      </c>
      <c r="D47" s="456">
        <f>JUNIO!D47+JULIO!P47</f>
        <v>0</v>
      </c>
      <c r="E47" s="456">
        <f>JUNIO!E47+JULIO!Q47</f>
        <v>0</v>
      </c>
      <c r="F47" s="170">
        <f>SUM(C47:E47)</f>
        <v>0</v>
      </c>
      <c r="G47" s="283">
        <f>JUNIO!I47</f>
        <v>0</v>
      </c>
      <c r="H47" s="457">
        <v>0</v>
      </c>
      <c r="I47" s="170">
        <f>SUM(G47:H47)</f>
        <v>0</v>
      </c>
      <c r="J47" s="283">
        <f>JUNIO!L47</f>
        <v>0</v>
      </c>
      <c r="K47" s="457">
        <v>0</v>
      </c>
      <c r="L47" s="170">
        <f>SUM(J47:K47)</f>
        <v>0</v>
      </c>
      <c r="M47" s="283">
        <f>F47-I47</f>
        <v>0</v>
      </c>
      <c r="N47" s="170">
        <f>F47-L47</f>
        <v>0</v>
      </c>
      <c r="O47" s="467"/>
      <c r="P47" s="455">
        <v>0</v>
      </c>
      <c r="Q47" s="458">
        <v>0</v>
      </c>
      <c r="R47" s="10"/>
      <c r="S47" s="156" t="str">
        <f>+IF(JUNIO!S47=0,"",JUNIO!S47)</f>
        <v>1010301-3</v>
      </c>
      <c r="T47" s="55" t="str">
        <f>+IF(JUNIO!T47=0,"",JUNIO!T47)</f>
        <v xml:space="preserve">Aportes a Fondos de Cesantia - Sin Sit. de Fondos </v>
      </c>
      <c r="U47" s="29">
        <f>+ENERO!U47</f>
        <v>4995512</v>
      </c>
      <c r="V47" s="17">
        <f>JUNIO!V47+JULIO!AL47</f>
        <v>0</v>
      </c>
      <c r="W47" s="17">
        <f>JUNIO!W47+JULIO!AM47</f>
        <v>0</v>
      </c>
      <c r="X47" s="20">
        <f>SUM(U47:W47)</f>
        <v>4995512</v>
      </c>
      <c r="Y47" s="21">
        <f>JUNIO!AA47</f>
        <v>0</v>
      </c>
      <c r="Z47" s="457">
        <v>0</v>
      </c>
      <c r="AA47" s="20">
        <f>SUM(Y47:Z47)</f>
        <v>0</v>
      </c>
      <c r="AB47" s="21">
        <f>JUNIO!AD47</f>
        <v>0</v>
      </c>
      <c r="AC47" s="457">
        <v>0</v>
      </c>
      <c r="AD47" s="20">
        <f>SUM(AB47:AC47)</f>
        <v>0</v>
      </c>
      <c r="AE47" s="21">
        <f>JUNIO!AG47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+IF(JUNIO!A48=0,"",JUNIO!A48)</f>
        <v>1130108</v>
      </c>
      <c r="B48" s="45" t="str">
        <f>+IF(JUNIO!B48=0,"",JUNIO!B48)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+IF(JUNIO!S48=0,"",JUNIO!S48)</f>
        <v>1010301-4</v>
      </c>
      <c r="T48" s="55" t="str">
        <f>+IF(JUNIO!T48=0,"",JUNIO!T48)</f>
        <v xml:space="preserve">Aporte a ARL. - Sin Sit. de Fondos </v>
      </c>
      <c r="U48" s="29">
        <f>+ENERO!U48</f>
        <v>0</v>
      </c>
      <c r="V48" s="17">
        <f>JUNIO!V48+JULIO!AL48</f>
        <v>0</v>
      </c>
      <c r="W48" s="17">
        <f>JUNIO!W48+JULIO!AM48</f>
        <v>0</v>
      </c>
      <c r="X48" s="20">
        <f>SUM(U48:W48)</f>
        <v>0</v>
      </c>
      <c r="Y48" s="21">
        <f>JUNIO!AA48</f>
        <v>0</v>
      </c>
      <c r="Z48" s="457">
        <v>0</v>
      </c>
      <c r="AA48" s="20">
        <f>SUM(Y48:Z48)</f>
        <v>0</v>
      </c>
      <c r="AB48" s="21">
        <f>JUNIO!AD48</f>
        <v>0</v>
      </c>
      <c r="AC48" s="457">
        <v>0</v>
      </c>
      <c r="AD48" s="20">
        <f>SUM(AB48:AC48)</f>
        <v>0</v>
      </c>
      <c r="AE48" s="21">
        <f>JUNIO!AG48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+IF(JUNIO!A49=0,"",JUNIO!A49)</f>
        <v>1130108-1</v>
      </c>
      <c r="B49" s="189" t="str">
        <f>+CONCATENATE("Vigencia ",INSTRUCCIONES!$F$3)</f>
        <v>Vigencia 2014</v>
      </c>
      <c r="C49" s="456">
        <f>+ENERO!C49</f>
        <v>0</v>
      </c>
      <c r="D49" s="456">
        <f>JUNIO!D49+JULIO!P49</f>
        <v>0</v>
      </c>
      <c r="E49" s="456">
        <f>JUNIO!E49+JULIO!Q49</f>
        <v>0</v>
      </c>
      <c r="F49" s="170">
        <f>SUM(C49:E49)</f>
        <v>0</v>
      </c>
      <c r="G49" s="283">
        <f>JUNIO!I49</f>
        <v>0</v>
      </c>
      <c r="H49" s="457">
        <v>0</v>
      </c>
      <c r="I49" s="170">
        <f>SUM(G49:H49)</f>
        <v>0</v>
      </c>
      <c r="J49" s="283">
        <f>JUNIO!L49</f>
        <v>0</v>
      </c>
      <c r="K49" s="457">
        <v>0</v>
      </c>
      <c r="L49" s="170">
        <f>SUM(J49:K49)</f>
        <v>0</v>
      </c>
      <c r="M49" s="283">
        <f>F49-I49</f>
        <v>0</v>
      </c>
      <c r="N49" s="170">
        <f>F49-L49</f>
        <v>0</v>
      </c>
      <c r="O49" s="467"/>
      <c r="P49" s="455">
        <v>0</v>
      </c>
      <c r="Q49" s="458">
        <v>0</v>
      </c>
      <c r="R49" s="10"/>
      <c r="S49" s="155">
        <f>+IF(JUNIO!S49=0,"",JUNIO!S49)</f>
        <v>1010302</v>
      </c>
      <c r="T49" s="159" t="str">
        <f>+IF(JUNIO!T49=0,"",JUNIO!T49)</f>
        <v>Contribuciones - Otros</v>
      </c>
      <c r="U49" s="29">
        <f t="shared" ref="U49:AJ49" si="48">SUM(U50:U54)</f>
        <v>63246028</v>
      </c>
      <c r="V49" s="17">
        <f t="shared" si="48"/>
        <v>0</v>
      </c>
      <c r="W49" s="17">
        <f t="shared" si="48"/>
        <v>0</v>
      </c>
      <c r="X49" s="20">
        <f t="shared" si="48"/>
        <v>63246028</v>
      </c>
      <c r="Y49" s="21">
        <f t="shared" si="48"/>
        <v>48960958</v>
      </c>
      <c r="Z49" s="169">
        <f t="shared" si="48"/>
        <v>3295100</v>
      </c>
      <c r="AA49" s="20">
        <f t="shared" si="48"/>
        <v>52256058</v>
      </c>
      <c r="AB49" s="21">
        <f t="shared" si="48"/>
        <v>48960958</v>
      </c>
      <c r="AC49" s="169">
        <f t="shared" si="48"/>
        <v>3295100</v>
      </c>
      <c r="AD49" s="20">
        <f t="shared" si="48"/>
        <v>52256058</v>
      </c>
      <c r="AE49" s="21">
        <f t="shared" si="48"/>
        <v>47227658</v>
      </c>
      <c r="AF49" s="169">
        <f t="shared" si="48"/>
        <v>1733300</v>
      </c>
      <c r="AG49" s="20">
        <f t="shared" si="48"/>
        <v>48960958</v>
      </c>
      <c r="AH49" s="21">
        <f t="shared" si="48"/>
        <v>10989970</v>
      </c>
      <c r="AI49" s="17">
        <f t="shared" si="48"/>
        <v>10989970</v>
      </c>
      <c r="AJ49" s="18">
        <f t="shared" si="48"/>
        <v>14285070</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+IF(JUNIO!A50=0,"",JUNIO!A50)</f>
        <v>1130108-2</v>
      </c>
      <c r="B50" s="189" t="str">
        <f>+IF(JUNIO!B50=0,"",JUNIO!B50)</f>
        <v>Vigencias Anteriores</v>
      </c>
      <c r="C50" s="456">
        <f>+ENERO!C50</f>
        <v>0</v>
      </c>
      <c r="D50" s="456">
        <f>JUNIO!D50+JULIO!P50</f>
        <v>0</v>
      </c>
      <c r="E50" s="456">
        <f>JUNIO!E50+JULIO!Q50</f>
        <v>0</v>
      </c>
      <c r="F50" s="170">
        <f>SUM(C50:E50)</f>
        <v>0</v>
      </c>
      <c r="G50" s="283">
        <f>JUNIO!I50</f>
        <v>0</v>
      </c>
      <c r="H50" s="457">
        <v>0</v>
      </c>
      <c r="I50" s="170">
        <f>SUM(G50:H50)</f>
        <v>0</v>
      </c>
      <c r="J50" s="283">
        <f>JUNIO!L50</f>
        <v>0</v>
      </c>
      <c r="K50" s="457">
        <v>0</v>
      </c>
      <c r="L50" s="170">
        <f>SUM(J50:K50)</f>
        <v>0</v>
      </c>
      <c r="M50" s="283">
        <f>F50-I50</f>
        <v>0</v>
      </c>
      <c r="N50" s="170">
        <f>F50-L50</f>
        <v>0</v>
      </c>
      <c r="O50" s="467"/>
      <c r="P50" s="455">
        <v>0</v>
      </c>
      <c r="Q50" s="458">
        <v>0</v>
      </c>
      <c r="R50" s="10"/>
      <c r="S50" s="156" t="str">
        <f>+IF(JUNIO!S50=0,"",JUNIO!S50)</f>
        <v>1010302-1</v>
      </c>
      <c r="T50" s="55" t="str">
        <f>+IF(JUNIO!T50=0,"",JUNIO!T50)</f>
        <v>Aportes a E.P.S.- Con sit. Fondos</v>
      </c>
      <c r="U50" s="29">
        <f>+ENERO!U50</f>
        <v>4719263</v>
      </c>
      <c r="V50" s="17">
        <f>JUNIO!V50+JULIO!AL50</f>
        <v>0</v>
      </c>
      <c r="W50" s="17">
        <f>JUNIO!W50+JULIO!AM50</f>
        <v>0</v>
      </c>
      <c r="X50" s="20">
        <f t="shared" ref="X50:X55" si="49">SUM(U50:W50)</f>
        <v>4719263</v>
      </c>
      <c r="Y50" s="21">
        <f>JUNIO!AA50</f>
        <v>4318160</v>
      </c>
      <c r="Z50" s="457">
        <v>0</v>
      </c>
      <c r="AA50" s="20">
        <f t="shared" ref="AA50:AA55" si="50">SUM(Y50:Z50)</f>
        <v>4318160</v>
      </c>
      <c r="AB50" s="21">
        <f>JUNIO!AD50</f>
        <v>4318160</v>
      </c>
      <c r="AC50" s="457">
        <v>0</v>
      </c>
      <c r="AD50" s="20">
        <f t="shared" ref="AD50:AD55" si="51">SUM(AB50:AC50)</f>
        <v>4318160</v>
      </c>
      <c r="AE50" s="21">
        <f>JUNIO!AG50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+IF(JUNIO!A51=0,"",JUNIO!A51)</f>
        <v>1130109</v>
      </c>
      <c r="B51" s="45" t="str">
        <f>+IF(JUNIO!B51=0,"",JUNIO!B51)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+IF(JUNIO!S51=0,"",JUNIO!S51)</f>
        <v>1010302-2</v>
      </c>
      <c r="T51" s="55" t="str">
        <f>+IF(JUNIO!T51=0,"",JUNIO!T51)</f>
        <v>Aportes Fondos Pensionales - Con Sit. Fondos</v>
      </c>
      <c r="U51" s="29">
        <f>+ENERO!U51</f>
        <v>14856625</v>
      </c>
      <c r="V51" s="17">
        <f>JUNIO!V51+JULIO!AL51</f>
        <v>0</v>
      </c>
      <c r="W51" s="17">
        <f>JUNIO!W51+JULIO!AM51</f>
        <v>0</v>
      </c>
      <c r="X51" s="20">
        <f t="shared" si="49"/>
        <v>14856625</v>
      </c>
      <c r="Y51" s="21">
        <f>JUNIO!AA51</f>
        <v>9604660</v>
      </c>
      <c r="Z51" s="457">
        <v>1912900</v>
      </c>
      <c r="AA51" s="20">
        <f t="shared" si="50"/>
        <v>11517560</v>
      </c>
      <c r="AB51" s="21">
        <f>JUNIO!AD51</f>
        <v>9604660</v>
      </c>
      <c r="AC51" s="457">
        <v>1912900</v>
      </c>
      <c r="AD51" s="20">
        <f t="shared" si="51"/>
        <v>11517560</v>
      </c>
      <c r="AE51" s="21">
        <f>JUNIO!AG51</f>
        <v>9604660</v>
      </c>
      <c r="AF51" s="457">
        <v>0</v>
      </c>
      <c r="AG51" s="20">
        <f t="shared" si="52"/>
        <v>9604660</v>
      </c>
      <c r="AH51" s="21">
        <f t="shared" si="53"/>
        <v>3339065</v>
      </c>
      <c r="AI51" s="17">
        <f t="shared" si="54"/>
        <v>3339065</v>
      </c>
      <c r="AJ51" s="18">
        <f t="shared" si="55"/>
        <v>5251965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+IF(JUNIO!A52=0,"",JUNIO!A52)</f>
        <v>1130109-1</v>
      </c>
      <c r="B52" s="189" t="str">
        <f>+CONCATENATE("Vigencia ",INSTRUCCIONES!$F$3)</f>
        <v>Vigencia 2014</v>
      </c>
      <c r="C52" s="456">
        <f>+ENERO!C52</f>
        <v>0</v>
      </c>
      <c r="D52" s="456">
        <f>JUNIO!D52+JULIO!P52</f>
        <v>0</v>
      </c>
      <c r="E52" s="456">
        <f>JUNIO!E52+JULIO!Q52</f>
        <v>0</v>
      </c>
      <c r="F52" s="170">
        <f>SUM(C52:E52)</f>
        <v>0</v>
      </c>
      <c r="G52" s="283">
        <f>JUNIO!I52</f>
        <v>0</v>
      </c>
      <c r="H52" s="457">
        <v>0</v>
      </c>
      <c r="I52" s="170">
        <f>SUM(G52:H52)</f>
        <v>0</v>
      </c>
      <c r="J52" s="283">
        <f>JUNIO!L52</f>
        <v>0</v>
      </c>
      <c r="K52" s="457">
        <v>0</v>
      </c>
      <c r="L52" s="170">
        <f>SUM(J52:K52)</f>
        <v>0</v>
      </c>
      <c r="M52" s="283">
        <f>F52-I52</f>
        <v>0</v>
      </c>
      <c r="N52" s="170">
        <f>F52-L52</f>
        <v>0</v>
      </c>
      <c r="O52" s="467"/>
      <c r="P52" s="455">
        <v>0</v>
      </c>
      <c r="Q52" s="458">
        <v>0</v>
      </c>
      <c r="R52" s="10"/>
      <c r="S52" s="156" t="str">
        <f>+IF(JUNIO!S52=0,"",JUNIO!S52)</f>
        <v>1010302-3</v>
      </c>
      <c r="T52" s="55" t="str">
        <f>+IF(JUNIO!T52=0,"",JUNIO!T52)</f>
        <v xml:space="preserve">Aportes a Fondos de Cesantia - Con Sit. de Fondos </v>
      </c>
      <c r="U52" s="29">
        <f>+ENERO!U52</f>
        <v>26296821</v>
      </c>
      <c r="V52" s="17">
        <f>JUNIO!V52+JULIO!AL52</f>
        <v>0</v>
      </c>
      <c r="W52" s="17">
        <f>JUNIO!W52+JULIO!AM52</f>
        <v>0</v>
      </c>
      <c r="X52" s="20">
        <f t="shared" si="49"/>
        <v>26296821</v>
      </c>
      <c r="Y52" s="21">
        <f>JUNIO!AA52</f>
        <v>25977938</v>
      </c>
      <c r="Z52" s="457">
        <v>0</v>
      </c>
      <c r="AA52" s="20">
        <f t="shared" si="50"/>
        <v>25977938</v>
      </c>
      <c r="AB52" s="21">
        <f>JUNIO!AD52</f>
        <v>25977938</v>
      </c>
      <c r="AC52" s="457">
        <v>0</v>
      </c>
      <c r="AD52" s="20">
        <f t="shared" si="51"/>
        <v>25977938</v>
      </c>
      <c r="AE52" s="21">
        <f>JUNIO!AG52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+IF(JUNIO!A53=0,"",JUNIO!A53)</f>
        <v>1130109-2</v>
      </c>
      <c r="B53" s="189" t="str">
        <f>+IF(JUNIO!B53=0,"",JUNIO!B53)</f>
        <v>Vigencias Anteriores</v>
      </c>
      <c r="C53" s="456">
        <f>+ENERO!C53</f>
        <v>0</v>
      </c>
      <c r="D53" s="456">
        <f>JUNIO!D53+JULIO!P53</f>
        <v>0</v>
      </c>
      <c r="E53" s="456">
        <f>JUNIO!E53+JULIO!Q53</f>
        <v>0</v>
      </c>
      <c r="F53" s="170">
        <f>SUM(C53:E53)</f>
        <v>0</v>
      </c>
      <c r="G53" s="283">
        <f>JUNIO!I53</f>
        <v>0</v>
      </c>
      <c r="H53" s="457">
        <v>0</v>
      </c>
      <c r="I53" s="170">
        <f>SUM(G53:H53)</f>
        <v>0</v>
      </c>
      <c r="J53" s="283">
        <f>JUNIO!L53</f>
        <v>0</v>
      </c>
      <c r="K53" s="457">
        <v>0</v>
      </c>
      <c r="L53" s="170">
        <f>SUM(J53:K53)</f>
        <v>0</v>
      </c>
      <c r="M53" s="283">
        <f>F53-I53</f>
        <v>0</v>
      </c>
      <c r="N53" s="170">
        <f>F53-L53</f>
        <v>0</v>
      </c>
      <c r="O53" s="467"/>
      <c r="P53" s="455">
        <v>0</v>
      </c>
      <c r="Q53" s="458">
        <v>0</v>
      </c>
      <c r="R53" s="10"/>
      <c r="S53" s="156" t="str">
        <f>+IF(JUNIO!S53=0,"",JUNIO!S53)</f>
        <v>1010302-4</v>
      </c>
      <c r="T53" s="55" t="str">
        <f>+IF(JUNIO!T53=0,"",JUNIO!T53)</f>
        <v>Aporte a ARL. - Con Sit. de Fondos</v>
      </c>
      <c r="U53" s="29">
        <f>+ENERO!U53</f>
        <v>1807452</v>
      </c>
      <c r="V53" s="17">
        <f>JUNIO!V53+JULIO!AL53</f>
        <v>0</v>
      </c>
      <c r="W53" s="17">
        <f>JUNIO!W53+JULIO!AM53</f>
        <v>0</v>
      </c>
      <c r="X53" s="20">
        <f t="shared" si="49"/>
        <v>1807452</v>
      </c>
      <c r="Y53" s="21">
        <f>JUNIO!AA53</f>
        <v>1788400</v>
      </c>
      <c r="Z53" s="457">
        <v>0</v>
      </c>
      <c r="AA53" s="20">
        <f t="shared" si="50"/>
        <v>1788400</v>
      </c>
      <c r="AB53" s="21">
        <f>JUNIO!AD53</f>
        <v>1788400</v>
      </c>
      <c r="AC53" s="457">
        <v>0</v>
      </c>
      <c r="AD53" s="20">
        <f t="shared" si="51"/>
        <v>1788400</v>
      </c>
      <c r="AE53" s="21">
        <f>JUNIO!AG53</f>
        <v>1480600</v>
      </c>
      <c r="AF53" s="457">
        <v>307800</v>
      </c>
      <c r="AG53" s="20">
        <f t="shared" si="52"/>
        <v>1788400</v>
      </c>
      <c r="AH53" s="21">
        <f t="shared" si="53"/>
        <v>19052</v>
      </c>
      <c r="AI53" s="17">
        <f t="shared" si="54"/>
        <v>19052</v>
      </c>
      <c r="AJ53" s="18">
        <f t="shared" si="55"/>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+IF(JUNIO!A54=0,"",JUNIO!A54)</f>
        <v>1130110</v>
      </c>
      <c r="B54" s="45" t="str">
        <f>+IF(JUNIO!B54=0,"",JUNIO!B54)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+IF(JUNIO!S54=0,"",JUNIO!S54)</f>
        <v>1010302-5</v>
      </c>
      <c r="T54" s="55" t="str">
        <f>+IF(JUNIO!T54=0,"",JUNIO!T54)</f>
        <v>Aporte a Caja Compensación Familiar</v>
      </c>
      <c r="U54" s="29">
        <f>+ENERO!U54</f>
        <v>15565867</v>
      </c>
      <c r="V54" s="17">
        <f>JUNIO!V54+JULIO!AL54</f>
        <v>0</v>
      </c>
      <c r="W54" s="17">
        <f>JUNIO!W54+JULIO!AM54</f>
        <v>0</v>
      </c>
      <c r="X54" s="20">
        <f t="shared" si="49"/>
        <v>15565867</v>
      </c>
      <c r="Y54" s="21">
        <f>JUNIO!AA54</f>
        <v>7271800</v>
      </c>
      <c r="Z54" s="457">
        <v>1382200</v>
      </c>
      <c r="AA54" s="20">
        <f t="shared" si="50"/>
        <v>8654000</v>
      </c>
      <c r="AB54" s="21">
        <f>JUNIO!AD54</f>
        <v>7271800</v>
      </c>
      <c r="AC54" s="457">
        <v>1382200</v>
      </c>
      <c r="AD54" s="20">
        <f t="shared" si="51"/>
        <v>8654000</v>
      </c>
      <c r="AE54" s="21">
        <f>JUNIO!AG54</f>
        <v>5846300</v>
      </c>
      <c r="AF54" s="457">
        <v>1425500</v>
      </c>
      <c r="AG54" s="20">
        <f t="shared" si="52"/>
        <v>7271800</v>
      </c>
      <c r="AH54" s="21">
        <f t="shared" si="53"/>
        <v>6911867</v>
      </c>
      <c r="AI54" s="17">
        <f t="shared" si="54"/>
        <v>6911867</v>
      </c>
      <c r="AJ54" s="18">
        <f t="shared" si="55"/>
        <v>8294067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+IF(JUNIO!A55=0,"",JUNIO!A55)</f>
        <v>1130110-1</v>
      </c>
      <c r="B55" s="189" t="str">
        <f>+CONCATENATE("Vigencia ",INSTRUCCIONES!$F$3)</f>
        <v>Vigencia 2014</v>
      </c>
      <c r="C55" s="456">
        <f>+ENERO!C55</f>
        <v>0</v>
      </c>
      <c r="D55" s="456">
        <f>JUNIO!D55+JULIO!P55</f>
        <v>0</v>
      </c>
      <c r="E55" s="456">
        <f>JUNIO!E55+JULIO!Q55</f>
        <v>0</v>
      </c>
      <c r="F55" s="170">
        <f>SUM(C55:E55)</f>
        <v>0</v>
      </c>
      <c r="G55" s="283">
        <f>JUNIO!I55</f>
        <v>0</v>
      </c>
      <c r="H55" s="457">
        <v>0</v>
      </c>
      <c r="I55" s="170">
        <f>SUM(G55:H55)</f>
        <v>0</v>
      </c>
      <c r="J55" s="283">
        <f>JUNIO!L55</f>
        <v>0</v>
      </c>
      <c r="K55" s="457">
        <v>0</v>
      </c>
      <c r="L55" s="170">
        <f>SUM(J55:K55)</f>
        <v>0</v>
      </c>
      <c r="M55" s="283">
        <f>F55-I55</f>
        <v>0</v>
      </c>
      <c r="N55" s="170">
        <f>F55-L55</f>
        <v>0</v>
      </c>
      <c r="O55" s="467"/>
      <c r="P55" s="455">
        <v>0</v>
      </c>
      <c r="Q55" s="458">
        <v>0</v>
      </c>
      <c r="R55" s="10"/>
      <c r="S55" s="155">
        <f>+IF(JUNIO!S55=0,"",JUNIO!S55)</f>
        <v>1010399</v>
      </c>
      <c r="T55" s="159" t="str">
        <f>+IF(JUNIO!T55=0,"",JUNIO!T55)</f>
        <v>Vigencias Anteriores</v>
      </c>
      <c r="U55" s="29">
        <f>+ENERO!U55</f>
        <v>0</v>
      </c>
      <c r="V55" s="17">
        <f>JUNIO!V55+JULIO!AL55</f>
        <v>487148</v>
      </c>
      <c r="W55" s="17">
        <f>JUNIO!W55+JULIO!AM55</f>
        <v>0</v>
      </c>
      <c r="X55" s="20">
        <f t="shared" si="49"/>
        <v>487148</v>
      </c>
      <c r="Y55" s="21">
        <f>JUNIO!AA55</f>
        <v>487148</v>
      </c>
      <c r="Z55" s="457">
        <v>0</v>
      </c>
      <c r="AA55" s="20">
        <f t="shared" si="50"/>
        <v>487148</v>
      </c>
      <c r="AB55" s="21">
        <f>JUNIO!AD55</f>
        <v>487148</v>
      </c>
      <c r="AC55" s="457">
        <v>0</v>
      </c>
      <c r="AD55" s="20">
        <f t="shared" si="51"/>
        <v>487148</v>
      </c>
      <c r="AE55" s="21">
        <f>JUNIO!AG55</f>
        <v>0</v>
      </c>
      <c r="AF55" s="457">
        <v>487148</v>
      </c>
      <c r="AG55" s="20">
        <f t="shared" si="52"/>
        <v>487148</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+IF(JUNIO!A56=0,"",JUNIO!A56)</f>
        <v>1130110-2</v>
      </c>
      <c r="B56" s="189" t="str">
        <f>+IF(JUNIO!B56=0,"",JUNIO!B56)</f>
        <v>Vigencias Anteriores</v>
      </c>
      <c r="C56" s="456">
        <f>+ENERO!C56</f>
        <v>0</v>
      </c>
      <c r="D56" s="456">
        <f>JUNIO!D56+JULIO!P56</f>
        <v>0</v>
      </c>
      <c r="E56" s="456">
        <f>JUNIO!E56+JULIO!Q56</f>
        <v>0</v>
      </c>
      <c r="F56" s="170">
        <f>SUM(C56:E56)</f>
        <v>0</v>
      </c>
      <c r="G56" s="283">
        <f>JUNIO!I56</f>
        <v>0</v>
      </c>
      <c r="H56" s="457">
        <v>0</v>
      </c>
      <c r="I56" s="170">
        <f>SUM(G56:H56)</f>
        <v>0</v>
      </c>
      <c r="J56" s="283">
        <f>JUNIO!L56</f>
        <v>0</v>
      </c>
      <c r="K56" s="457">
        <v>0</v>
      </c>
      <c r="L56" s="170">
        <f>SUM(J56:K56)</f>
        <v>0</v>
      </c>
      <c r="M56" s="283">
        <f>F56-I56</f>
        <v>0</v>
      </c>
      <c r="N56" s="170">
        <f>F56-L56</f>
        <v>0</v>
      </c>
      <c r="O56" s="467"/>
      <c r="P56" s="455">
        <v>0</v>
      </c>
      <c r="Q56" s="458">
        <v>0</v>
      </c>
      <c r="R56" s="10"/>
      <c r="S56" s="448" t="str">
        <f>+IF(JUNIO!S56=0,"",JUNIO!S56)</f>
        <v/>
      </c>
      <c r="T56" s="649" t="str">
        <f>+IF(JUNIO!T56=0,"",JUNIO!T56)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+IF(JUNIO!A57=0,"",JUNIO!A57)</f>
        <v>1130111</v>
      </c>
      <c r="B57" s="45" t="str">
        <f>+IF(JUNIO!B57=0,"",JUNIO!B57)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+IF(JUNIO!S57=0,"",JUNIO!S57)</f>
        <v>1010400</v>
      </c>
      <c r="T57" s="158" t="str">
        <f>+IF(JUNIO!T57=0,"",JUNIO!T57)</f>
        <v>Contribuciones Inherentes nómina del Sector Publico</v>
      </c>
      <c r="U57" s="157">
        <f t="shared" ref="U57:AJ57" si="59">U58+U61</f>
        <v>19457334</v>
      </c>
      <c r="V57" s="144">
        <f t="shared" si="59"/>
        <v>0</v>
      </c>
      <c r="W57" s="144">
        <f t="shared" si="59"/>
        <v>0</v>
      </c>
      <c r="X57" s="152">
        <f t="shared" si="59"/>
        <v>19457334</v>
      </c>
      <c r="Y57" s="151">
        <f t="shared" si="59"/>
        <v>9018700</v>
      </c>
      <c r="Z57" s="144">
        <f t="shared" si="59"/>
        <v>1467400</v>
      </c>
      <c r="AA57" s="152">
        <f t="shared" si="59"/>
        <v>10486100</v>
      </c>
      <c r="AB57" s="151">
        <f t="shared" si="59"/>
        <v>9018700</v>
      </c>
      <c r="AC57" s="144">
        <f t="shared" si="59"/>
        <v>1467400</v>
      </c>
      <c r="AD57" s="152">
        <f t="shared" si="59"/>
        <v>10486100</v>
      </c>
      <c r="AE57" s="151">
        <f t="shared" si="59"/>
        <v>7545200</v>
      </c>
      <c r="AF57" s="144">
        <f t="shared" si="59"/>
        <v>1473500</v>
      </c>
      <c r="AG57" s="152">
        <f t="shared" si="59"/>
        <v>9018700</v>
      </c>
      <c r="AH57" s="151">
        <f t="shared" si="59"/>
        <v>8971234</v>
      </c>
      <c r="AI57" s="144">
        <f t="shared" si="59"/>
        <v>8971234</v>
      </c>
      <c r="AJ57" s="153">
        <f t="shared" si="59"/>
        <v>10438634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+IF(JUNIO!A58=0,"",JUNIO!A58)</f>
        <v>1130111-1</v>
      </c>
      <c r="B58" s="189" t="str">
        <f>+CONCATENATE("Vigencia ",INSTRUCCIONES!$F$3)</f>
        <v>Vigencia 2014</v>
      </c>
      <c r="C58" s="456">
        <f>+ENERO!C58</f>
        <v>0</v>
      </c>
      <c r="D58" s="456">
        <f>JUNIO!D58+JULIO!P58</f>
        <v>0</v>
      </c>
      <c r="E58" s="456">
        <f>JUNIO!E58+JULIO!Q58</f>
        <v>0</v>
      </c>
      <c r="F58" s="170">
        <f>SUM(C58:E58)</f>
        <v>0</v>
      </c>
      <c r="G58" s="283">
        <f>JUNIO!I58</f>
        <v>0</v>
      </c>
      <c r="H58" s="457">
        <v>0</v>
      </c>
      <c r="I58" s="170">
        <f>SUM(G58:H58)</f>
        <v>0</v>
      </c>
      <c r="J58" s="283">
        <f>JUNIO!L58</f>
        <v>0</v>
      </c>
      <c r="K58" s="457">
        <v>0</v>
      </c>
      <c r="L58" s="170">
        <f>SUM(J58:K58)</f>
        <v>0</v>
      </c>
      <c r="M58" s="283">
        <f>F58-I58</f>
        <v>0</v>
      </c>
      <c r="N58" s="170">
        <f>F58-L58</f>
        <v>0</v>
      </c>
      <c r="O58" s="467"/>
      <c r="P58" s="455">
        <v>0</v>
      </c>
      <c r="Q58" s="458">
        <v>0</v>
      </c>
      <c r="R58" s="10"/>
      <c r="S58" s="155">
        <f>+IF(JUNIO!S58=0,"",JUNIO!S58)</f>
        <v>1010402</v>
      </c>
      <c r="T58" s="159" t="str">
        <f>+IF(JUNIO!T58=0,"",JUNIO!T58)</f>
        <v>Contribuciones - Otros</v>
      </c>
      <c r="U58" s="29">
        <f t="shared" ref="U58:AJ58" si="60">SUM(U59:U60)</f>
        <v>19457334</v>
      </c>
      <c r="V58" s="17">
        <f t="shared" si="60"/>
        <v>0</v>
      </c>
      <c r="W58" s="17">
        <f t="shared" si="60"/>
        <v>0</v>
      </c>
      <c r="X58" s="20">
        <f t="shared" si="60"/>
        <v>19457334</v>
      </c>
      <c r="Y58" s="21">
        <f t="shared" si="60"/>
        <v>9018700</v>
      </c>
      <c r="Z58" s="169">
        <f t="shared" si="60"/>
        <v>1467400</v>
      </c>
      <c r="AA58" s="20">
        <f t="shared" si="60"/>
        <v>10486100</v>
      </c>
      <c r="AB58" s="21">
        <f t="shared" si="60"/>
        <v>9018700</v>
      </c>
      <c r="AC58" s="169">
        <f t="shared" si="60"/>
        <v>1467400</v>
      </c>
      <c r="AD58" s="20">
        <f t="shared" si="60"/>
        <v>10486100</v>
      </c>
      <c r="AE58" s="21">
        <f t="shared" si="60"/>
        <v>7545200</v>
      </c>
      <c r="AF58" s="169">
        <f t="shared" si="60"/>
        <v>1473500</v>
      </c>
      <c r="AG58" s="20">
        <f t="shared" si="60"/>
        <v>9018700</v>
      </c>
      <c r="AH58" s="21">
        <f t="shared" si="60"/>
        <v>8971234</v>
      </c>
      <c r="AI58" s="17">
        <f t="shared" si="60"/>
        <v>8971234</v>
      </c>
      <c r="AJ58" s="18">
        <f t="shared" si="60"/>
        <v>10438634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+IF(JUNIO!A59=0,"",JUNIO!A59)</f>
        <v>1130111-2</v>
      </c>
      <c r="B59" s="189" t="str">
        <f>+IF(JUNIO!B59=0,"",JUNIO!B59)</f>
        <v>Vigencias Anteriores</v>
      </c>
      <c r="C59" s="456">
        <f>+ENERO!C59</f>
        <v>0</v>
      </c>
      <c r="D59" s="456">
        <f>JUNIO!D59+JULIO!P59</f>
        <v>0</v>
      </c>
      <c r="E59" s="456">
        <f>JUNIO!E59+JULIO!Q59</f>
        <v>0</v>
      </c>
      <c r="F59" s="170">
        <f>SUM(C59:E59)</f>
        <v>0</v>
      </c>
      <c r="G59" s="283">
        <f>JUNIO!I59</f>
        <v>0</v>
      </c>
      <c r="H59" s="457">
        <v>0</v>
      </c>
      <c r="I59" s="170">
        <f>SUM(G59:H59)</f>
        <v>0</v>
      </c>
      <c r="J59" s="283">
        <f>JUNIO!L59</f>
        <v>0</v>
      </c>
      <c r="K59" s="457">
        <v>0</v>
      </c>
      <c r="L59" s="170">
        <f>SUM(J59:K59)</f>
        <v>0</v>
      </c>
      <c r="M59" s="283">
        <f>F59-I59</f>
        <v>0</v>
      </c>
      <c r="N59" s="170">
        <f>F59-L59</f>
        <v>0</v>
      </c>
      <c r="O59" s="467"/>
      <c r="P59" s="455">
        <v>0</v>
      </c>
      <c r="Q59" s="458">
        <v>0</v>
      </c>
      <c r="R59" s="10"/>
      <c r="S59" s="156" t="str">
        <f>+IF(JUNIO!S59=0,"",JUNIO!S59)</f>
        <v>1010402-1</v>
      </c>
      <c r="T59" s="159" t="str">
        <f>+IF(JUNIO!T59=0,"",JUNIO!T59)</f>
        <v>S.E.N.A.</v>
      </c>
      <c r="U59" s="29">
        <f>+ENERO!U59</f>
        <v>7782934</v>
      </c>
      <c r="V59" s="17">
        <f>JUNIO!V59+JULIO!AL59</f>
        <v>0</v>
      </c>
      <c r="W59" s="17">
        <f>JUNIO!W59+JULIO!AM59</f>
        <v>0</v>
      </c>
      <c r="X59" s="20">
        <f>SUM(U59:W59)</f>
        <v>7782934</v>
      </c>
      <c r="Y59" s="21">
        <f>JUNIO!AA59</f>
        <v>3528400</v>
      </c>
      <c r="Z59" s="457">
        <v>586800</v>
      </c>
      <c r="AA59" s="20">
        <f>SUM(Y59:Z59)</f>
        <v>4115200</v>
      </c>
      <c r="AB59" s="21">
        <f>JUNIO!AD59</f>
        <v>3528400</v>
      </c>
      <c r="AC59" s="457">
        <v>586800</v>
      </c>
      <c r="AD59" s="20">
        <f>SUM(AB59:AC59)</f>
        <v>4115200</v>
      </c>
      <c r="AE59" s="21">
        <f>JUNIO!AG59</f>
        <v>2939000</v>
      </c>
      <c r="AF59" s="457">
        <v>589400</v>
      </c>
      <c r="AG59" s="20">
        <f>SUM(AE59:AF59)</f>
        <v>3528400</v>
      </c>
      <c r="AH59" s="21">
        <f>X59-AA59</f>
        <v>3667734</v>
      </c>
      <c r="AI59" s="17">
        <f>X59-AD59</f>
        <v>3667734</v>
      </c>
      <c r="AJ59" s="18">
        <f>X59-AG59</f>
        <v>4254534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+IF(JUNIO!A60=0,"",JUNIO!A60)</f>
        <v>1130112</v>
      </c>
      <c r="B60" s="45" t="str">
        <f>+IF(JUNIO!B60=0,"",JUNIO!B60)</f>
        <v>IPS PUBLICAS</v>
      </c>
      <c r="C60" s="53">
        <f t="shared" ref="C60:N60" si="61">SUM(C61:C62)</f>
        <v>8883897</v>
      </c>
      <c r="D60" s="53">
        <f t="shared" si="61"/>
        <v>0</v>
      </c>
      <c r="E60" s="53">
        <f t="shared" si="61"/>
        <v>0</v>
      </c>
      <c r="F60" s="54">
        <f t="shared" si="61"/>
        <v>8883897</v>
      </c>
      <c r="G60" s="52">
        <f t="shared" si="61"/>
        <v>3798766</v>
      </c>
      <c r="H60" s="53">
        <f t="shared" si="61"/>
        <v>348000</v>
      </c>
      <c r="I60" s="54">
        <f t="shared" si="61"/>
        <v>4146766</v>
      </c>
      <c r="J60" s="52">
        <f t="shared" si="61"/>
        <v>2752706</v>
      </c>
      <c r="K60" s="53">
        <f t="shared" si="61"/>
        <v>0</v>
      </c>
      <c r="L60" s="54">
        <f t="shared" si="61"/>
        <v>2752706</v>
      </c>
      <c r="M60" s="52">
        <f t="shared" si="61"/>
        <v>4737131</v>
      </c>
      <c r="N60" s="54">
        <f t="shared" si="61"/>
        <v>6131191</v>
      </c>
      <c r="P60" s="52">
        <f>SUM(P61:P62)</f>
        <v>0</v>
      </c>
      <c r="Q60" s="54">
        <f>SUM(Q61:Q62)</f>
        <v>0</v>
      </c>
      <c r="R60" s="10"/>
      <c r="S60" s="156" t="str">
        <f>+IF(JUNIO!S60=0,"",JUNIO!S60)</f>
        <v>1010402-2</v>
      </c>
      <c r="T60" s="159" t="str">
        <f>+IF(JUNIO!T60=0,"",JUNIO!T60)</f>
        <v>I.C.B.F.</v>
      </c>
      <c r="U60" s="29">
        <f>+ENERO!U60</f>
        <v>11674400</v>
      </c>
      <c r="V60" s="17">
        <f>JUNIO!V60+JULIO!AL60</f>
        <v>0</v>
      </c>
      <c r="W60" s="17">
        <f>JUNIO!W60+JULIO!AM60</f>
        <v>0</v>
      </c>
      <c r="X60" s="20">
        <f>SUM(U60:W60)</f>
        <v>11674400</v>
      </c>
      <c r="Y60" s="21">
        <f>JUNIO!AA60</f>
        <v>5490300</v>
      </c>
      <c r="Z60" s="457">
        <v>880600</v>
      </c>
      <c r="AA60" s="20">
        <f>SUM(Y60:Z60)</f>
        <v>6370900</v>
      </c>
      <c r="AB60" s="21">
        <f>JUNIO!AD60</f>
        <v>5490300</v>
      </c>
      <c r="AC60" s="457">
        <v>880600</v>
      </c>
      <c r="AD60" s="20">
        <f>SUM(AB60:AC60)</f>
        <v>6370900</v>
      </c>
      <c r="AE60" s="21">
        <f>JUNIO!AG60</f>
        <v>4606200</v>
      </c>
      <c r="AF60" s="457">
        <v>884100</v>
      </c>
      <c r="AG60" s="20">
        <f>SUM(AE60:AF60)</f>
        <v>5490300</v>
      </c>
      <c r="AH60" s="21">
        <f>X60-AA60</f>
        <v>5303500</v>
      </c>
      <c r="AI60" s="17">
        <f>X60-AD60</f>
        <v>5303500</v>
      </c>
      <c r="AJ60" s="18">
        <f>X60-AG60</f>
        <v>6184100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+IF(JUNIO!A61=0,"",JUNIO!A61)</f>
        <v>1130112-1</v>
      </c>
      <c r="B61" s="189" t="str">
        <f>+CONCATENATE("Vigencia ",INSTRUCCIONES!$F$3)</f>
        <v>Vigencia 2014</v>
      </c>
      <c r="C61" s="456">
        <f>+ENERO!C61</f>
        <v>5883897</v>
      </c>
      <c r="D61" s="456">
        <f>JUNIO!D61+JULIO!P61</f>
        <v>0</v>
      </c>
      <c r="E61" s="456">
        <f>JUNIO!E61+JULIO!Q61</f>
        <v>0</v>
      </c>
      <c r="F61" s="170">
        <f>SUM(C61:E61)</f>
        <v>5883897</v>
      </c>
      <c r="G61" s="283">
        <f>JUNIO!I61</f>
        <v>1260632</v>
      </c>
      <c r="H61" s="457">
        <v>348000</v>
      </c>
      <c r="I61" s="170">
        <f>SUM(G61:H61)</f>
        <v>1608632</v>
      </c>
      <c r="J61" s="283">
        <f>JUNIO!L61</f>
        <v>214572</v>
      </c>
      <c r="K61" s="457">
        <v>0</v>
      </c>
      <c r="L61" s="170">
        <f>SUM(J61:K61)</f>
        <v>214572</v>
      </c>
      <c r="M61" s="283">
        <f>F61-I61</f>
        <v>4275265</v>
      </c>
      <c r="N61" s="170">
        <f>F61-L61</f>
        <v>5669325</v>
      </c>
      <c r="O61" s="467"/>
      <c r="P61" s="455">
        <v>0</v>
      </c>
      <c r="Q61" s="458">
        <v>0</v>
      </c>
      <c r="R61" s="10"/>
      <c r="S61" s="155">
        <f>+IF(JUNIO!S61=0,"",JUNIO!S61)</f>
        <v>1010499</v>
      </c>
      <c r="T61" s="159" t="str">
        <f>+IF(JUNIO!T61=0,"",JUNIO!T61)</f>
        <v>Vigencias Anteriores</v>
      </c>
      <c r="U61" s="29">
        <f>+ENERO!U61</f>
        <v>0</v>
      </c>
      <c r="V61" s="17">
        <f>JUNIO!V61+JULIO!AL61</f>
        <v>0</v>
      </c>
      <c r="W61" s="17">
        <f>JUNIO!W61+JULIO!AM61</f>
        <v>0</v>
      </c>
      <c r="X61" s="20">
        <f>SUM(U61:W61)</f>
        <v>0</v>
      </c>
      <c r="Y61" s="21">
        <f>JUNIO!AA61</f>
        <v>0</v>
      </c>
      <c r="Z61" s="457">
        <v>0</v>
      </c>
      <c r="AA61" s="20">
        <f>SUM(Y61:Z61)</f>
        <v>0</v>
      </c>
      <c r="AB61" s="21">
        <f>JUNIO!AD61</f>
        <v>0</v>
      </c>
      <c r="AC61" s="457">
        <v>0</v>
      </c>
      <c r="AD61" s="20">
        <f>SUM(AB61:AC61)</f>
        <v>0</v>
      </c>
      <c r="AE61" s="21">
        <f>JUNIO!AG61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+IF(JUNIO!A62=0,"",JUNIO!A62)</f>
        <v>1130112-2</v>
      </c>
      <c r="B62" s="189" t="str">
        <f>+IF(JUNIO!B62=0,"",JUNIO!B62)</f>
        <v>Vigencias Anteriores</v>
      </c>
      <c r="C62" s="456">
        <f>+ENERO!C62</f>
        <v>3000000</v>
      </c>
      <c r="D62" s="456">
        <f>JUNIO!D62+JULIO!P62</f>
        <v>0</v>
      </c>
      <c r="E62" s="456">
        <f>JUNIO!E62+JULIO!Q62</f>
        <v>0</v>
      </c>
      <c r="F62" s="170">
        <f>SUM(C62:E62)</f>
        <v>3000000</v>
      </c>
      <c r="G62" s="283">
        <f>JUNIO!I62</f>
        <v>2538134</v>
      </c>
      <c r="H62" s="457">
        <v>0</v>
      </c>
      <c r="I62" s="170">
        <f>SUM(G62:H62)</f>
        <v>2538134</v>
      </c>
      <c r="J62" s="283">
        <f>JUNIO!L62</f>
        <v>2538134</v>
      </c>
      <c r="K62" s="457">
        <v>0</v>
      </c>
      <c r="L62" s="170">
        <f>SUM(J62:K62)</f>
        <v>2538134</v>
      </c>
      <c r="M62" s="283">
        <f>F62-I62</f>
        <v>461866</v>
      </c>
      <c r="N62" s="170">
        <f>F62-L62</f>
        <v>461866</v>
      </c>
      <c r="O62" s="467"/>
      <c r="P62" s="455">
        <v>0</v>
      </c>
      <c r="Q62" s="458">
        <v>0</v>
      </c>
      <c r="R62" s="10"/>
      <c r="S62" s="448" t="str">
        <f>+IF(JUNIO!S62=0,"",JUNIO!S62)</f>
        <v/>
      </c>
      <c r="T62" s="649" t="str">
        <f>+IF(JUNIO!T62=0,"",JUNIO!T62)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+IF(JUNIO!A63=0,"",JUNIO!A63)</f>
        <v>1130113</v>
      </c>
      <c r="B63" s="45" t="str">
        <f>+IF(JUNIO!B63=0,"",JUNIO!B63)</f>
        <v>COMPAÑIAS DE SEGUROS  - ACCIDENTES DE TRANSITO (SOAT)</v>
      </c>
      <c r="C63" s="53">
        <f t="shared" ref="C63:N63" si="62">SUM(C64:C65)</f>
        <v>52973202</v>
      </c>
      <c r="D63" s="53">
        <f t="shared" si="62"/>
        <v>0</v>
      </c>
      <c r="E63" s="53">
        <f t="shared" si="62"/>
        <v>0</v>
      </c>
      <c r="F63" s="54">
        <f t="shared" si="62"/>
        <v>52973202</v>
      </c>
      <c r="G63" s="52">
        <f t="shared" si="62"/>
        <v>24965255</v>
      </c>
      <c r="H63" s="53">
        <f t="shared" si="62"/>
        <v>1765231</v>
      </c>
      <c r="I63" s="54">
        <f t="shared" si="62"/>
        <v>26730486</v>
      </c>
      <c r="J63" s="52">
        <f t="shared" si="62"/>
        <v>20112080</v>
      </c>
      <c r="K63" s="53">
        <f t="shared" si="62"/>
        <v>892937</v>
      </c>
      <c r="L63" s="54">
        <f t="shared" si="62"/>
        <v>21005017</v>
      </c>
      <c r="M63" s="52">
        <f t="shared" si="62"/>
        <v>26242716</v>
      </c>
      <c r="N63" s="54">
        <f t="shared" si="62"/>
        <v>31968185</v>
      </c>
      <c r="P63" s="52">
        <f>SUM(P64:P65)</f>
        <v>0</v>
      </c>
      <c r="Q63" s="54">
        <f>SUM(Q64:Q65)</f>
        <v>0</v>
      </c>
      <c r="R63" s="10"/>
      <c r="S63" s="469">
        <f>+IF(JUNIO!S63=0,"",JUNIO!S63)</f>
        <v>1020010</v>
      </c>
      <c r="T63" s="470" t="str">
        <f>+IF(JUNIO!T63=0,"",JUNIO!T63)</f>
        <v>Gastos de Operación</v>
      </c>
      <c r="U63" s="157">
        <f t="shared" ref="U63:AJ63" si="63">U65+U83+U90+U104</f>
        <v>1656122409</v>
      </c>
      <c r="V63" s="144">
        <f t="shared" si="63"/>
        <v>5657703</v>
      </c>
      <c r="W63" s="144">
        <f t="shared" si="63"/>
        <v>18789110</v>
      </c>
      <c r="X63" s="152">
        <f t="shared" si="63"/>
        <v>1680569222</v>
      </c>
      <c r="Y63" s="151">
        <f t="shared" si="63"/>
        <v>760035534</v>
      </c>
      <c r="Z63" s="144">
        <f t="shared" si="63"/>
        <v>139750624</v>
      </c>
      <c r="AA63" s="152">
        <f t="shared" si="63"/>
        <v>899786158</v>
      </c>
      <c r="AB63" s="151">
        <f t="shared" si="63"/>
        <v>760035534</v>
      </c>
      <c r="AC63" s="144">
        <f t="shared" si="63"/>
        <v>139750624</v>
      </c>
      <c r="AD63" s="152">
        <f t="shared" si="63"/>
        <v>899786158</v>
      </c>
      <c r="AE63" s="151">
        <f t="shared" si="63"/>
        <v>687736208</v>
      </c>
      <c r="AF63" s="144">
        <f t="shared" si="63"/>
        <v>179907520</v>
      </c>
      <c r="AG63" s="152">
        <f t="shared" si="63"/>
        <v>867643728</v>
      </c>
      <c r="AH63" s="151">
        <f t="shared" si="63"/>
        <v>780783064</v>
      </c>
      <c r="AI63" s="144">
        <f t="shared" si="63"/>
        <v>780783064</v>
      </c>
      <c r="AJ63" s="153">
        <f t="shared" si="63"/>
        <v>812925494</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+IF(JUNIO!A64=0,"",JUNIO!A64)</f>
        <v>1130113-1</v>
      </c>
      <c r="B64" s="189" t="str">
        <f>+CONCATENATE("Vigencia ",INSTRUCCIONES!$F$3)</f>
        <v>Vigencia 2014</v>
      </c>
      <c r="C64" s="456">
        <f>+ENERO!C64</f>
        <v>40103182</v>
      </c>
      <c r="D64" s="456">
        <f>JUNIO!D64+JULIO!P64</f>
        <v>0</v>
      </c>
      <c r="E64" s="456">
        <f>JUNIO!E64+JULIO!Q64</f>
        <v>0</v>
      </c>
      <c r="F64" s="170">
        <f>SUM(C64:E64)</f>
        <v>40103182</v>
      </c>
      <c r="G64" s="283">
        <f>JUNIO!I64</f>
        <v>16847529</v>
      </c>
      <c r="H64" s="457">
        <v>1765231</v>
      </c>
      <c r="I64" s="170">
        <f>SUM(G64:H64)</f>
        <v>18612760</v>
      </c>
      <c r="J64" s="283">
        <f>JUNIO!L64</f>
        <v>11994354</v>
      </c>
      <c r="K64" s="457">
        <v>892937</v>
      </c>
      <c r="L64" s="170">
        <f>SUM(J64:K64)</f>
        <v>12887291</v>
      </c>
      <c r="M64" s="283">
        <f>F64-I64</f>
        <v>21490422</v>
      </c>
      <c r="N64" s="170">
        <f>F64-L64</f>
        <v>27215891</v>
      </c>
      <c r="O64" s="467"/>
      <c r="P64" s="455">
        <v>0</v>
      </c>
      <c r="Q64" s="458">
        <v>0</v>
      </c>
      <c r="R64" s="10"/>
      <c r="S64" s="448" t="str">
        <f>+IF(JUNIO!S64=0,"",JUNIO!S64)</f>
        <v/>
      </c>
      <c r="T64" s="649" t="str">
        <f>+IF(JUNIO!T64=0,"",JUNIO!T64)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+IF(JUNIO!A65=0,"",JUNIO!A65)</f>
        <v>1130113-2</v>
      </c>
      <c r="B65" s="189" t="str">
        <f>+IF(JUNIO!B65=0,"",JUNIO!B65)</f>
        <v>Vigencias Anteriores</v>
      </c>
      <c r="C65" s="456">
        <f>+ENERO!C65</f>
        <v>12870020</v>
      </c>
      <c r="D65" s="456">
        <f>JUNIO!D65+JULIO!P65</f>
        <v>0</v>
      </c>
      <c r="E65" s="456">
        <f>JUNIO!E65+JULIO!Q65</f>
        <v>0</v>
      </c>
      <c r="F65" s="170">
        <f>SUM(C65:E65)</f>
        <v>12870020</v>
      </c>
      <c r="G65" s="283">
        <f>JUNIO!I65</f>
        <v>8117726</v>
      </c>
      <c r="H65" s="457">
        <v>0</v>
      </c>
      <c r="I65" s="170">
        <f>SUM(G65:H65)</f>
        <v>8117726</v>
      </c>
      <c r="J65" s="283">
        <f>JUNIO!L65</f>
        <v>8117726</v>
      </c>
      <c r="K65" s="457">
        <v>0</v>
      </c>
      <c r="L65" s="170">
        <f>SUM(J65:K65)</f>
        <v>8117726</v>
      </c>
      <c r="M65" s="283">
        <f>F65-I65</f>
        <v>4752294</v>
      </c>
      <c r="N65" s="170">
        <f>F65-L65</f>
        <v>4752294</v>
      </c>
      <c r="O65" s="467"/>
      <c r="P65" s="455">
        <v>0</v>
      </c>
      <c r="Q65" s="458">
        <v>0</v>
      </c>
      <c r="R65" s="10"/>
      <c r="S65" s="34">
        <f>+IF(JUNIO!S65=0,"",JUNIO!S65)</f>
        <v>1020100</v>
      </c>
      <c r="T65" s="158" t="str">
        <f>+IF(JUNIO!T65=0,"",JUNIO!T65)</f>
        <v>Servicios Personales Asociados a Nómina</v>
      </c>
      <c r="U65" s="157">
        <f t="shared" ref="U65:AJ65" si="64">SUM(U66:U69)+U81</f>
        <v>1157487731</v>
      </c>
      <c r="V65" s="144">
        <f t="shared" si="64"/>
        <v>5657703</v>
      </c>
      <c r="W65" s="144">
        <f t="shared" si="64"/>
        <v>8749212</v>
      </c>
      <c r="X65" s="152">
        <f t="shared" si="64"/>
        <v>1171894646</v>
      </c>
      <c r="Y65" s="151">
        <f t="shared" si="64"/>
        <v>536820621</v>
      </c>
      <c r="Z65" s="144">
        <f t="shared" si="64"/>
        <v>91919132</v>
      </c>
      <c r="AA65" s="152">
        <f t="shared" si="64"/>
        <v>628739753</v>
      </c>
      <c r="AB65" s="151">
        <f t="shared" si="64"/>
        <v>536820621</v>
      </c>
      <c r="AC65" s="144">
        <f t="shared" si="64"/>
        <v>91919132</v>
      </c>
      <c r="AD65" s="152">
        <f t="shared" si="64"/>
        <v>628739753</v>
      </c>
      <c r="AE65" s="151">
        <f t="shared" si="64"/>
        <v>482478828</v>
      </c>
      <c r="AF65" s="144">
        <f t="shared" si="64"/>
        <v>132593095</v>
      </c>
      <c r="AG65" s="152">
        <f t="shared" si="64"/>
        <v>615071923</v>
      </c>
      <c r="AH65" s="151">
        <f t="shared" si="64"/>
        <v>543154893</v>
      </c>
      <c r="AI65" s="144">
        <f t="shared" si="64"/>
        <v>543154893</v>
      </c>
      <c r="AJ65" s="153">
        <f t="shared" si="64"/>
        <v>556822723</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+IF(JUNIO!A66=0,"",JUNIO!A66)</f>
        <v>1130114</v>
      </c>
      <c r="B66" s="45" t="str">
        <f>+IF(JUNIO!B66=0,"",JUNIO!B66)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+IF(JUNIO!S66=0,"",JUNIO!S66)</f>
        <v>1020101</v>
      </c>
      <c r="T66" s="159" t="str">
        <f>+IF(JUNIO!T66=0,"",JUNIO!T66)</f>
        <v>Sueldos del Personal de nómina</v>
      </c>
      <c r="U66" s="29">
        <f>+ENERO!U66</f>
        <v>901111176</v>
      </c>
      <c r="V66" s="17">
        <f>JUNIO!V66+JULIO!AL66</f>
        <v>0</v>
      </c>
      <c r="W66" s="17">
        <f>JUNIO!W66+JULIO!AM66</f>
        <v>0</v>
      </c>
      <c r="X66" s="20">
        <f>SUM(U66:W66)</f>
        <v>901111176</v>
      </c>
      <c r="Y66" s="21">
        <f>JUNIO!AA66</f>
        <v>453541364</v>
      </c>
      <c r="Z66" s="457">
        <v>74876162</v>
      </c>
      <c r="AA66" s="20">
        <f>SUM(Y66:Z66)</f>
        <v>528417526</v>
      </c>
      <c r="AB66" s="21">
        <f>JUNIO!AD66</f>
        <v>453541364</v>
      </c>
      <c r="AC66" s="457">
        <v>74876162</v>
      </c>
      <c r="AD66" s="20">
        <f>SUM(AB66:AC66)</f>
        <v>528417526</v>
      </c>
      <c r="AE66" s="21">
        <f>JUNIO!AG66</f>
        <v>405182876</v>
      </c>
      <c r="AF66" s="457">
        <v>109679402</v>
      </c>
      <c r="AG66" s="20">
        <f>SUM(AE66:AF66)</f>
        <v>514862278</v>
      </c>
      <c r="AH66" s="21">
        <f>X66-AA66</f>
        <v>372693650</v>
      </c>
      <c r="AI66" s="17">
        <f>X66-AD66</f>
        <v>372693650</v>
      </c>
      <c r="AJ66" s="18">
        <f>X66-AG66</f>
        <v>386248898</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+IF(JUNIO!A67=0,"",JUNIO!A67)</f>
        <v>1130114-1</v>
      </c>
      <c r="B67" s="189" t="str">
        <f>+CONCATENATE("Vigencia ",INSTRUCCIONES!$F$3)</f>
        <v>Vigencia 2014</v>
      </c>
      <c r="C67" s="456">
        <f>+ENERO!C67</f>
        <v>0</v>
      </c>
      <c r="D67" s="456">
        <f>JUNIO!D67+JULIO!P67</f>
        <v>0</v>
      </c>
      <c r="E67" s="456">
        <f>JUNIO!E67+JULIO!Q67</f>
        <v>0</v>
      </c>
      <c r="F67" s="170">
        <f>SUM(C67:E67)</f>
        <v>0</v>
      </c>
      <c r="G67" s="283">
        <f>JUNIO!I67</f>
        <v>0</v>
      </c>
      <c r="H67" s="457">
        <v>0</v>
      </c>
      <c r="I67" s="170">
        <f>SUM(G67:H67)</f>
        <v>0</v>
      </c>
      <c r="J67" s="283">
        <f>JUNIO!L67</f>
        <v>0</v>
      </c>
      <c r="K67" s="457">
        <v>0</v>
      </c>
      <c r="L67" s="170">
        <f>SUM(J67:K67)</f>
        <v>0</v>
      </c>
      <c r="M67" s="283">
        <f>F67-I67</f>
        <v>0</v>
      </c>
      <c r="N67" s="170">
        <f>F67-L67</f>
        <v>0</v>
      </c>
      <c r="O67" s="467"/>
      <c r="P67" s="455">
        <v>0</v>
      </c>
      <c r="Q67" s="458">
        <v>0</v>
      </c>
      <c r="R67" s="10"/>
      <c r="S67" s="155">
        <f>+IF(JUNIO!S67=0,"",JUNIO!S67)</f>
        <v>1020102</v>
      </c>
      <c r="T67" s="159" t="str">
        <f>+IF(JUNIO!T67=0,"",JUNIO!T67)</f>
        <v>Horas Extras,Dominic.,Festivos y Rec. Nocturnos</v>
      </c>
      <c r="U67" s="29">
        <f>+ENERO!U67</f>
        <v>116857377</v>
      </c>
      <c r="V67" s="17">
        <f>JUNIO!V67+JULIO!AL67</f>
        <v>0</v>
      </c>
      <c r="W67" s="17">
        <f>JUNIO!W67+JULIO!AM67</f>
        <v>0</v>
      </c>
      <c r="X67" s="20">
        <f>SUM(U67:W67)</f>
        <v>116857377</v>
      </c>
      <c r="Y67" s="21">
        <f>JUNIO!AA67</f>
        <v>44603321</v>
      </c>
      <c r="Z67" s="457">
        <v>9054652</v>
      </c>
      <c r="AA67" s="20">
        <f>SUM(Y67:Z67)</f>
        <v>53657973</v>
      </c>
      <c r="AB67" s="21">
        <f>JUNIO!AD67</f>
        <v>44603321</v>
      </c>
      <c r="AC67" s="457">
        <v>9054652</v>
      </c>
      <c r="AD67" s="20">
        <f>SUM(AB67:AC67)</f>
        <v>53657973</v>
      </c>
      <c r="AE67" s="21">
        <f>JUNIO!AG67</f>
        <v>44573067</v>
      </c>
      <c r="AF67" s="457">
        <v>9084906</v>
      </c>
      <c r="AG67" s="20">
        <f>SUM(AE67:AF67)</f>
        <v>53657973</v>
      </c>
      <c r="AH67" s="21">
        <f>X67-AA67</f>
        <v>63199404</v>
      </c>
      <c r="AI67" s="17">
        <f>X67-AD67</f>
        <v>63199404</v>
      </c>
      <c r="AJ67" s="18">
        <f>X67-AG67</f>
        <v>63199404</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+IF(JUNIO!A68=0,"",JUNIO!A68)</f>
        <v>1130114-2</v>
      </c>
      <c r="B68" s="189" t="str">
        <f>+IF(JUNIO!B68=0,"",JUNIO!B68)</f>
        <v>Vigencias Anteriores</v>
      </c>
      <c r="C68" s="456">
        <f>+ENERO!C68</f>
        <v>0</v>
      </c>
      <c r="D68" s="456">
        <f>JUNIO!D68+JULIO!P68</f>
        <v>0</v>
      </c>
      <c r="E68" s="456">
        <f>JUNIO!E68+JULIO!Q68</f>
        <v>0</v>
      </c>
      <c r="F68" s="170">
        <f>SUM(C68:E68)</f>
        <v>0</v>
      </c>
      <c r="G68" s="283">
        <f>JUNIO!I68</f>
        <v>0</v>
      </c>
      <c r="H68" s="457">
        <v>0</v>
      </c>
      <c r="I68" s="170">
        <f>SUM(G68:H68)</f>
        <v>0</v>
      </c>
      <c r="J68" s="283">
        <f>JUNIO!L68</f>
        <v>0</v>
      </c>
      <c r="K68" s="457">
        <v>0</v>
      </c>
      <c r="L68" s="170">
        <f>SUM(J68:K68)</f>
        <v>0</v>
      </c>
      <c r="M68" s="283">
        <f>F68-I68</f>
        <v>0</v>
      </c>
      <c r="N68" s="170">
        <f>F68-L68</f>
        <v>0</v>
      </c>
      <c r="O68" s="467"/>
      <c r="P68" s="455">
        <v>0</v>
      </c>
      <c r="Q68" s="458">
        <v>0</v>
      </c>
      <c r="R68" s="10"/>
      <c r="S68" s="155">
        <f>+IF(JUNIO!S68=0,"",JUNIO!S68)</f>
        <v>1020103</v>
      </c>
      <c r="T68" s="159" t="str">
        <f>+IF(JUNIO!T68=0,"",JUNIO!T68)</f>
        <v>Prima Técnica</v>
      </c>
      <c r="U68" s="29">
        <f>+ENERO!U68</f>
        <v>0</v>
      </c>
      <c r="V68" s="17">
        <f>JUNIO!V68+JULIO!AL68</f>
        <v>0</v>
      </c>
      <c r="W68" s="17">
        <f>JUNIO!W68+JULIO!AM68</f>
        <v>0</v>
      </c>
      <c r="X68" s="20">
        <f>SUM(U68:W68)</f>
        <v>0</v>
      </c>
      <c r="Y68" s="21">
        <f>JUNIO!AA68</f>
        <v>0</v>
      </c>
      <c r="Z68" s="457">
        <v>0</v>
      </c>
      <c r="AA68" s="20">
        <f>SUM(Y68:Z68)</f>
        <v>0</v>
      </c>
      <c r="AB68" s="21">
        <f>JUNIO!AD68</f>
        <v>0</v>
      </c>
      <c r="AC68" s="457">
        <v>0</v>
      </c>
      <c r="AD68" s="20">
        <f>SUM(AB68:AC68)</f>
        <v>0</v>
      </c>
      <c r="AE68" s="21">
        <f>JUNIO!AG68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+IF(JUNIO!A69=0,"",JUNIO!A69)</f>
        <v>1130115</v>
      </c>
      <c r="B69" s="45" t="str">
        <f>+IF(JUNIO!B69=0,"",JUNIO!B69)</f>
        <v>ENTIDADES DE REGIMEN ESPECIAL (Magisterio, Fuerza Pca.)</v>
      </c>
      <c r="C69" s="53">
        <f t="shared" ref="C69:N69" si="66">SUM(C70:C71)</f>
        <v>111446544</v>
      </c>
      <c r="D69" s="53">
        <f t="shared" si="66"/>
        <v>0</v>
      </c>
      <c r="E69" s="53">
        <f t="shared" si="66"/>
        <v>0</v>
      </c>
      <c r="F69" s="54">
        <f t="shared" si="66"/>
        <v>111446544</v>
      </c>
      <c r="G69" s="52">
        <f t="shared" si="66"/>
        <v>61272970</v>
      </c>
      <c r="H69" s="53">
        <f t="shared" si="66"/>
        <v>16040945</v>
      </c>
      <c r="I69" s="54">
        <f t="shared" si="66"/>
        <v>77313915</v>
      </c>
      <c r="J69" s="52">
        <f t="shared" si="66"/>
        <v>40562957</v>
      </c>
      <c r="K69" s="53">
        <f t="shared" si="66"/>
        <v>16610762</v>
      </c>
      <c r="L69" s="54">
        <f t="shared" si="66"/>
        <v>57173719</v>
      </c>
      <c r="M69" s="52">
        <f t="shared" si="66"/>
        <v>34132629</v>
      </c>
      <c r="N69" s="54">
        <f t="shared" si="66"/>
        <v>54272825</v>
      </c>
      <c r="P69" s="52">
        <f>SUM(P70:P71)</f>
        <v>0</v>
      </c>
      <c r="Q69" s="54">
        <f>SUM(Q70:Q71)</f>
        <v>0</v>
      </c>
      <c r="R69" s="10"/>
      <c r="S69" s="155">
        <f>+IF(JUNIO!S69=0,"",JUNIO!S69)</f>
        <v>1020104</v>
      </c>
      <c r="T69" s="159" t="str">
        <f>+IF(JUNIO!T69=0,"",JUNIO!T69)</f>
        <v>Otros</v>
      </c>
      <c r="U69" s="29">
        <f t="shared" ref="U69:AJ69" si="67">SUM(U70:U80)</f>
        <v>130781064</v>
      </c>
      <c r="V69" s="17">
        <f t="shared" si="67"/>
        <v>0</v>
      </c>
      <c r="W69" s="17">
        <f t="shared" si="67"/>
        <v>0</v>
      </c>
      <c r="X69" s="20">
        <f t="shared" si="67"/>
        <v>130781064</v>
      </c>
      <c r="Y69" s="21">
        <f t="shared" si="67"/>
        <v>15995907</v>
      </c>
      <c r="Z69" s="169">
        <f t="shared" si="67"/>
        <v>7988318</v>
      </c>
      <c r="AA69" s="20">
        <f t="shared" si="67"/>
        <v>23984225</v>
      </c>
      <c r="AB69" s="21">
        <f t="shared" si="67"/>
        <v>15995907</v>
      </c>
      <c r="AC69" s="169">
        <f t="shared" si="67"/>
        <v>7988318</v>
      </c>
      <c r="AD69" s="20">
        <f t="shared" si="67"/>
        <v>23984225</v>
      </c>
      <c r="AE69" s="21">
        <f t="shared" si="67"/>
        <v>10042856</v>
      </c>
      <c r="AF69" s="169">
        <f t="shared" si="67"/>
        <v>13828787</v>
      </c>
      <c r="AG69" s="20">
        <f t="shared" si="67"/>
        <v>23871643</v>
      </c>
      <c r="AH69" s="21">
        <f t="shared" si="67"/>
        <v>106796839</v>
      </c>
      <c r="AI69" s="17">
        <f t="shared" si="67"/>
        <v>106796839</v>
      </c>
      <c r="AJ69" s="18">
        <f t="shared" si="67"/>
        <v>106909421</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+IF(JUNIO!A70=0,"",JUNIO!A70)</f>
        <v>1130115-1</v>
      </c>
      <c r="B70" s="189" t="str">
        <f>+CONCATENATE("Vigencia ",INSTRUCCIONES!$F$3)</f>
        <v>Vigencia 2014</v>
      </c>
      <c r="C70" s="456">
        <f>+ENERO!C70</f>
        <v>75639118</v>
      </c>
      <c r="D70" s="456">
        <f>JUNIO!D70+JULIO!P70</f>
        <v>0</v>
      </c>
      <c r="E70" s="456">
        <f>JUNIO!E70+JULIO!Q70</f>
        <v>0</v>
      </c>
      <c r="F70" s="170">
        <f>SUM(C70:E70)</f>
        <v>75639118</v>
      </c>
      <c r="G70" s="283">
        <f>JUNIO!I70</f>
        <v>21751371</v>
      </c>
      <c r="H70" s="457">
        <v>4532562</v>
      </c>
      <c r="I70" s="170">
        <f>SUM(G70:H70)</f>
        <v>26283933</v>
      </c>
      <c r="J70" s="283">
        <f>JUNIO!L70</f>
        <v>1041358</v>
      </c>
      <c r="K70" s="457">
        <v>5102379</v>
      </c>
      <c r="L70" s="170">
        <f>SUM(J70:K70)</f>
        <v>6143737</v>
      </c>
      <c r="M70" s="283">
        <f>F70-I70</f>
        <v>49355185</v>
      </c>
      <c r="N70" s="170">
        <f>F70-L70</f>
        <v>69495381</v>
      </c>
      <c r="O70" s="467"/>
      <c r="P70" s="455">
        <v>0</v>
      </c>
      <c r="Q70" s="458">
        <v>0</v>
      </c>
      <c r="R70" s="10"/>
      <c r="S70" s="156" t="str">
        <f>+IF(JUNIO!S70=0,"",JUNIO!S70)</f>
        <v>1020104-1</v>
      </c>
      <c r="T70" s="55" t="str">
        <f>+IF(JUNIO!T70=0,"",JUNIO!T70)</f>
        <v xml:space="preserve">Prima de Navidad </v>
      </c>
      <c r="U70" s="29">
        <f>+ENERO!U70</f>
        <v>78694383</v>
      </c>
      <c r="V70" s="17">
        <f>JUNIO!V70+JULIO!AL70</f>
        <v>0</v>
      </c>
      <c r="W70" s="17">
        <f>JUNIO!W70+JULIO!AM70</f>
        <v>0</v>
      </c>
      <c r="X70" s="20">
        <f t="shared" ref="X70:X81" si="68">SUM(U70:W70)</f>
        <v>78694383</v>
      </c>
      <c r="Y70" s="21">
        <f>JUNIO!AA70</f>
        <v>0</v>
      </c>
      <c r="Z70" s="457">
        <v>0</v>
      </c>
      <c r="AA70" s="20">
        <f t="shared" ref="AA70:AA81" si="69">SUM(Y70:Z70)</f>
        <v>0</v>
      </c>
      <c r="AB70" s="21">
        <f>JUNIO!AD70</f>
        <v>0</v>
      </c>
      <c r="AC70" s="457">
        <v>0</v>
      </c>
      <c r="AD70" s="20">
        <f t="shared" ref="AD70:AD81" si="70">SUM(AB70:AC70)</f>
        <v>0</v>
      </c>
      <c r="AE70" s="21">
        <f>JUNIO!AG70</f>
        <v>0</v>
      </c>
      <c r="AF70" s="457">
        <v>0</v>
      </c>
      <c r="AG70" s="20">
        <f t="shared" ref="AG70:AG81" si="71">SUM(AE70:AF70)</f>
        <v>0</v>
      </c>
      <c r="AH70" s="21">
        <f t="shared" ref="AH70:AH81" si="72">X70-AA70</f>
        <v>78694383</v>
      </c>
      <c r="AI70" s="17">
        <f t="shared" ref="AI70:AI81" si="73">X70-AD70</f>
        <v>78694383</v>
      </c>
      <c r="AJ70" s="18">
        <f t="shared" ref="AJ70:AJ81" si="74">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+IF(JUNIO!A71=0,"",JUNIO!A71)</f>
        <v>1130115-2</v>
      </c>
      <c r="B71" s="189" t="str">
        <f>+IF(JUNIO!B71=0,"",JUNIO!B71)</f>
        <v>Vigencias Anteriores</v>
      </c>
      <c r="C71" s="456">
        <f>+ENERO!C71</f>
        <v>35807426</v>
      </c>
      <c r="D71" s="456">
        <f>JUNIO!D71+JULIO!P71</f>
        <v>0</v>
      </c>
      <c r="E71" s="456">
        <f>JUNIO!E71+JULIO!Q71</f>
        <v>0</v>
      </c>
      <c r="F71" s="170">
        <f>SUM(C71:E71)</f>
        <v>35807426</v>
      </c>
      <c r="G71" s="283">
        <f>JUNIO!I71</f>
        <v>39521599</v>
      </c>
      <c r="H71" s="457">
        <v>11508383</v>
      </c>
      <c r="I71" s="170">
        <f>SUM(G71:H71)</f>
        <v>51029982</v>
      </c>
      <c r="J71" s="283">
        <f>JUNIO!L71</f>
        <v>39521599</v>
      </c>
      <c r="K71" s="457">
        <v>11508383</v>
      </c>
      <c r="L71" s="170">
        <f>SUM(J71:K71)</f>
        <v>51029982</v>
      </c>
      <c r="M71" s="283">
        <f>F71-I71</f>
        <v>-15222556</v>
      </c>
      <c r="N71" s="170">
        <f>F71-L71</f>
        <v>-15222556</v>
      </c>
      <c r="O71" s="467"/>
      <c r="P71" s="455">
        <v>0</v>
      </c>
      <c r="Q71" s="458">
        <v>0</v>
      </c>
      <c r="R71" s="10"/>
      <c r="S71" s="156" t="str">
        <f>+IF(JUNIO!S71=0,"",JUNIO!S71)</f>
        <v>1020104-2</v>
      </c>
      <c r="T71" s="55" t="str">
        <f>+IF(JUNIO!T71=0,"",JUNIO!T71)</f>
        <v>Prima Vida Cara</v>
      </c>
      <c r="U71" s="29">
        <f>+ENERO!U71</f>
        <v>0</v>
      </c>
      <c r="V71" s="17">
        <f>JUNIO!V71+JULIO!AL71</f>
        <v>0</v>
      </c>
      <c r="W71" s="17">
        <f>JUNIO!W71+JULIO!AM71</f>
        <v>0</v>
      </c>
      <c r="X71" s="20">
        <f t="shared" si="68"/>
        <v>0</v>
      </c>
      <c r="Y71" s="21">
        <f>JUNIO!AA71</f>
        <v>0</v>
      </c>
      <c r="Z71" s="457">
        <v>0</v>
      </c>
      <c r="AA71" s="20">
        <f t="shared" si="69"/>
        <v>0</v>
      </c>
      <c r="AB71" s="21">
        <f>JUNIO!AD71</f>
        <v>0</v>
      </c>
      <c r="AC71" s="457">
        <v>0</v>
      </c>
      <c r="AD71" s="20">
        <f t="shared" si="70"/>
        <v>0</v>
      </c>
      <c r="AE71" s="21">
        <f>JUNIO!AG71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+IF(JUNIO!A72=0,"",JUNIO!A72)</f>
        <v>1130116</v>
      </c>
      <c r="B72" s="45" t="str">
        <f>+IF(JUNIO!B72=0,"",JUNIO!B72)</f>
        <v>ADMINISTRADORAS DE RIESGOS PROFESIONALES</v>
      </c>
      <c r="C72" s="53">
        <f t="shared" ref="C72:N72" si="75">SUM(C73:C74)</f>
        <v>17675457</v>
      </c>
      <c r="D72" s="53">
        <f t="shared" si="75"/>
        <v>0</v>
      </c>
      <c r="E72" s="53">
        <f t="shared" si="75"/>
        <v>0</v>
      </c>
      <c r="F72" s="54">
        <f t="shared" si="75"/>
        <v>17675457</v>
      </c>
      <c r="G72" s="52">
        <f t="shared" si="75"/>
        <v>12813395</v>
      </c>
      <c r="H72" s="53">
        <f t="shared" si="75"/>
        <v>3411723</v>
      </c>
      <c r="I72" s="54">
        <f t="shared" si="75"/>
        <v>16225118</v>
      </c>
      <c r="J72" s="52">
        <f t="shared" si="75"/>
        <v>7113498</v>
      </c>
      <c r="K72" s="53">
        <f t="shared" si="75"/>
        <v>1819201</v>
      </c>
      <c r="L72" s="54">
        <f t="shared" si="75"/>
        <v>8932699</v>
      </c>
      <c r="M72" s="52">
        <f t="shared" si="75"/>
        <v>1450339</v>
      </c>
      <c r="N72" s="54">
        <f t="shared" si="75"/>
        <v>8742758</v>
      </c>
      <c r="P72" s="52">
        <f>SUM(P73:P74)</f>
        <v>0</v>
      </c>
      <c r="Q72" s="54">
        <f>SUM(Q73:Q74)</f>
        <v>0</v>
      </c>
      <c r="R72" s="10"/>
      <c r="S72" s="156" t="str">
        <f>+IF(JUNIO!S72=0,"",JUNIO!S72)</f>
        <v>1020104-3</v>
      </c>
      <c r="T72" s="55" t="str">
        <f>+IF(JUNIO!T72=0,"",JUNIO!T72)</f>
        <v>Prima de Vacaciones</v>
      </c>
      <c r="U72" s="29">
        <f>+ENERO!U72</f>
        <v>37546299</v>
      </c>
      <c r="V72" s="17">
        <f>JUNIO!V72+JULIO!AL72</f>
        <v>0</v>
      </c>
      <c r="W72" s="17">
        <f>JUNIO!W72+JULIO!AM72</f>
        <v>0</v>
      </c>
      <c r="X72" s="20">
        <f t="shared" si="68"/>
        <v>37546299</v>
      </c>
      <c r="Y72" s="21">
        <f>JUNIO!AA72</f>
        <v>12606231</v>
      </c>
      <c r="Z72" s="457">
        <v>1780212</v>
      </c>
      <c r="AA72" s="20">
        <f t="shared" si="69"/>
        <v>14386443</v>
      </c>
      <c r="AB72" s="21">
        <f>JUNIO!AD72</f>
        <v>12606231</v>
      </c>
      <c r="AC72" s="457">
        <v>1780212</v>
      </c>
      <c r="AD72" s="20">
        <f t="shared" si="70"/>
        <v>14386443</v>
      </c>
      <c r="AE72" s="21">
        <f>JUNIO!AG72</f>
        <v>7496190</v>
      </c>
      <c r="AF72" s="457">
        <v>6790916</v>
      </c>
      <c r="AG72" s="20">
        <f t="shared" si="71"/>
        <v>14287106</v>
      </c>
      <c r="AH72" s="21">
        <f t="shared" si="72"/>
        <v>23159856</v>
      </c>
      <c r="AI72" s="17">
        <f t="shared" si="73"/>
        <v>23159856</v>
      </c>
      <c r="AJ72" s="18">
        <f t="shared" si="74"/>
        <v>23259193</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+IF(JUNIO!A73=0,"",JUNIO!A73)</f>
        <v>1130116-1</v>
      </c>
      <c r="B73" s="189" t="str">
        <f>+CONCATENATE("Vigencia ",INSTRUCCIONES!$F$3)</f>
        <v>Vigencia 2014</v>
      </c>
      <c r="C73" s="456">
        <f>+ENERO!C73</f>
        <v>13187137</v>
      </c>
      <c r="D73" s="456">
        <f>JUNIO!D73+JULIO!P73</f>
        <v>0</v>
      </c>
      <c r="E73" s="456">
        <f>JUNIO!E73+JULIO!Q73</f>
        <v>0</v>
      </c>
      <c r="F73" s="170">
        <f>SUM(C73:E73)</f>
        <v>13187137</v>
      </c>
      <c r="G73" s="283">
        <f>JUNIO!I73</f>
        <v>10185364</v>
      </c>
      <c r="H73" s="457">
        <v>3411723</v>
      </c>
      <c r="I73" s="170">
        <f>SUM(G73:H73)</f>
        <v>13597087</v>
      </c>
      <c r="J73" s="283">
        <f>JUNIO!L73</f>
        <v>4485467</v>
      </c>
      <c r="K73" s="457">
        <v>1819201</v>
      </c>
      <c r="L73" s="170">
        <f>SUM(J73:K73)</f>
        <v>6304668</v>
      </c>
      <c r="M73" s="283">
        <f>F73-I73</f>
        <v>-409950</v>
      </c>
      <c r="N73" s="170">
        <f>F73-L73</f>
        <v>6882469</v>
      </c>
      <c r="O73" s="467"/>
      <c r="P73" s="455">
        <v>0</v>
      </c>
      <c r="Q73" s="458">
        <v>0</v>
      </c>
      <c r="R73" s="10"/>
      <c r="S73" s="156" t="str">
        <f>+IF(JUNIO!S73=0,"",JUNIO!S73)</f>
        <v>1020104-4</v>
      </c>
      <c r="T73" s="55" t="str">
        <f>+IF(JUNIO!T73=0,"",JUNIO!T73)</f>
        <v>Prima Clima</v>
      </c>
      <c r="U73" s="29">
        <f>+ENERO!U73</f>
        <v>0</v>
      </c>
      <c r="V73" s="17">
        <f>JUNIO!V73+JULIO!AL73</f>
        <v>0</v>
      </c>
      <c r="W73" s="17">
        <f>JUNIO!W73+JULIO!AM73</f>
        <v>0</v>
      </c>
      <c r="X73" s="20">
        <f t="shared" si="68"/>
        <v>0</v>
      </c>
      <c r="Y73" s="21">
        <f>JUNIO!AA73</f>
        <v>0</v>
      </c>
      <c r="Z73" s="457">
        <v>0</v>
      </c>
      <c r="AA73" s="20">
        <f t="shared" si="69"/>
        <v>0</v>
      </c>
      <c r="AB73" s="21">
        <f>JUNIO!AD73</f>
        <v>0</v>
      </c>
      <c r="AC73" s="457">
        <v>0</v>
      </c>
      <c r="AD73" s="20">
        <f t="shared" si="70"/>
        <v>0</v>
      </c>
      <c r="AE73" s="21">
        <f>JUNIO!AG73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+IF(JUNIO!A74=0,"",JUNIO!A74)</f>
        <v>1130116-2</v>
      </c>
      <c r="B74" s="189" t="str">
        <f>+IF(JUNIO!B74=0,"",JUNIO!B74)</f>
        <v>Vigencias Anteriores</v>
      </c>
      <c r="C74" s="456">
        <f>+ENERO!C74</f>
        <v>4488320</v>
      </c>
      <c r="D74" s="456">
        <f>JUNIO!D74+JULIO!P74</f>
        <v>0</v>
      </c>
      <c r="E74" s="456">
        <f>JUNIO!E74+JULIO!Q74</f>
        <v>0</v>
      </c>
      <c r="F74" s="170">
        <f>SUM(C74:E74)</f>
        <v>4488320</v>
      </c>
      <c r="G74" s="283">
        <f>JUNIO!I74</f>
        <v>2628031</v>
      </c>
      <c r="H74" s="457">
        <v>0</v>
      </c>
      <c r="I74" s="170">
        <f>SUM(G74:H74)</f>
        <v>2628031</v>
      </c>
      <c r="J74" s="283">
        <f>JUNIO!L74</f>
        <v>2628031</v>
      </c>
      <c r="K74" s="457">
        <v>0</v>
      </c>
      <c r="L74" s="170">
        <f>SUM(J74:K74)</f>
        <v>2628031</v>
      </c>
      <c r="M74" s="283">
        <f>F74-I74</f>
        <v>1860289</v>
      </c>
      <c r="N74" s="170">
        <f>F74-L74</f>
        <v>1860289</v>
      </c>
      <c r="O74" s="467"/>
      <c r="P74" s="455">
        <v>0</v>
      </c>
      <c r="Q74" s="458">
        <v>0</v>
      </c>
      <c r="R74" s="10"/>
      <c r="S74" s="156" t="str">
        <f>+IF(JUNIO!S74=0,"",JUNIO!S74)</f>
        <v>1020104-5</v>
      </c>
      <c r="T74" s="55" t="str">
        <f>+IF(JUNIO!T74=0,"",JUNIO!T74)</f>
        <v>Prima de Servicios</v>
      </c>
      <c r="U74" s="29">
        <f>+ENERO!U74</f>
        <v>5675116</v>
      </c>
      <c r="V74" s="17">
        <f>JUNIO!V74+JULIO!AL74</f>
        <v>0</v>
      </c>
      <c r="W74" s="17">
        <f>JUNIO!W74+JULIO!AM74</f>
        <v>0</v>
      </c>
      <c r="X74" s="20">
        <f t="shared" si="68"/>
        <v>5675116</v>
      </c>
      <c r="Y74" s="21">
        <f>JUNIO!AA74</f>
        <v>0</v>
      </c>
      <c r="Z74" s="457">
        <v>5675116</v>
      </c>
      <c r="AA74" s="20">
        <f t="shared" si="69"/>
        <v>5675116</v>
      </c>
      <c r="AB74" s="21">
        <f>JUNIO!AD74</f>
        <v>0</v>
      </c>
      <c r="AC74" s="457">
        <v>5675116</v>
      </c>
      <c r="AD74" s="20">
        <f t="shared" si="70"/>
        <v>5675116</v>
      </c>
      <c r="AE74" s="21">
        <f>JUNIO!AG74</f>
        <v>0</v>
      </c>
      <c r="AF74" s="457">
        <v>5675116</v>
      </c>
      <c r="AG74" s="20">
        <f t="shared" si="71"/>
        <v>5675116</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+IF(JUNIO!A75=0,"",JUNIO!A75)</f>
        <v>1130117</v>
      </c>
      <c r="B75" s="45" t="str">
        <f>+IF(JUNIO!B75=0,"",JUNIO!B75)</f>
        <v>CUOTAS DE RECUPERACION</v>
      </c>
      <c r="C75" s="53">
        <f t="shared" ref="C75:N75" si="76">SUM(C76:C77)</f>
        <v>1100000</v>
      </c>
      <c r="D75" s="53">
        <f t="shared" si="76"/>
        <v>0</v>
      </c>
      <c r="E75" s="53">
        <f t="shared" si="76"/>
        <v>0</v>
      </c>
      <c r="F75" s="54">
        <f t="shared" si="76"/>
        <v>1100000</v>
      </c>
      <c r="G75" s="52">
        <f t="shared" si="76"/>
        <v>32860005</v>
      </c>
      <c r="H75" s="53">
        <f t="shared" si="76"/>
        <v>0</v>
      </c>
      <c r="I75" s="54">
        <f t="shared" si="76"/>
        <v>32860005</v>
      </c>
      <c r="J75" s="52">
        <f t="shared" si="76"/>
        <v>32860005</v>
      </c>
      <c r="K75" s="53">
        <f t="shared" si="76"/>
        <v>0</v>
      </c>
      <c r="L75" s="54">
        <f t="shared" si="76"/>
        <v>32860005</v>
      </c>
      <c r="M75" s="52">
        <f t="shared" si="76"/>
        <v>-31760005</v>
      </c>
      <c r="N75" s="54">
        <f t="shared" si="76"/>
        <v>-31760005</v>
      </c>
      <c r="P75" s="52">
        <f>SUM(P76:P77)</f>
        <v>0</v>
      </c>
      <c r="Q75" s="54">
        <f>SUM(Q76:Q77)</f>
        <v>0</v>
      </c>
      <c r="R75" s="10"/>
      <c r="S75" s="156" t="str">
        <f>+IF(JUNIO!S75=0,"",JUNIO!S75)</f>
        <v>1020104-8</v>
      </c>
      <c r="T75" s="55" t="str">
        <f>+IF(JUNIO!T75=0,"",JUNIO!T75)</f>
        <v>Bonific. por Servicios Prestados (Convencional)</v>
      </c>
      <c r="U75" s="29">
        <f>+ENERO!U75</f>
        <v>0</v>
      </c>
      <c r="V75" s="17">
        <f>JUNIO!V75+JULIO!AL75</f>
        <v>0</v>
      </c>
      <c r="W75" s="17">
        <f>JUNIO!W75+JULIO!AM75</f>
        <v>0</v>
      </c>
      <c r="X75" s="20">
        <f t="shared" si="68"/>
        <v>0</v>
      </c>
      <c r="Y75" s="21">
        <f>JUNIO!AA75</f>
        <v>0</v>
      </c>
      <c r="Z75" s="457">
        <v>0</v>
      </c>
      <c r="AA75" s="20">
        <f t="shared" si="69"/>
        <v>0</v>
      </c>
      <c r="AB75" s="21">
        <f>JUNIO!AD75</f>
        <v>0</v>
      </c>
      <c r="AC75" s="457">
        <v>0</v>
      </c>
      <c r="AD75" s="20">
        <f t="shared" si="70"/>
        <v>0</v>
      </c>
      <c r="AE75" s="21">
        <f>JUNIO!AG75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+IF(JUNIO!A76=0,"",JUNIO!A76)</f>
        <v>1130117-1</v>
      </c>
      <c r="B76" s="189" t="str">
        <f>+CONCATENATE("Vigencia ",INSTRUCCIONES!$F$3)</f>
        <v>Vigencia 2014</v>
      </c>
      <c r="C76" s="456">
        <f>+ENERO!C76</f>
        <v>1100000</v>
      </c>
      <c r="D76" s="456">
        <f>JUNIO!D76+JULIO!P76</f>
        <v>0</v>
      </c>
      <c r="E76" s="456">
        <f>JUNIO!E76+JULIO!Q76</f>
        <v>0</v>
      </c>
      <c r="F76" s="170">
        <f t="shared" ref="F76:F83" si="77">SUM(C76:E76)</f>
        <v>1100000</v>
      </c>
      <c r="G76" s="283">
        <f>JUNIO!I76</f>
        <v>32860005</v>
      </c>
      <c r="H76" s="457">
        <v>0</v>
      </c>
      <c r="I76" s="170">
        <f t="shared" ref="I76:I83" si="78">SUM(G76:H76)</f>
        <v>32860005</v>
      </c>
      <c r="J76" s="283">
        <f>JUNIO!L76</f>
        <v>32860005</v>
      </c>
      <c r="K76" s="457">
        <v>0</v>
      </c>
      <c r="L76" s="170">
        <f t="shared" ref="L76:L83" si="79">SUM(J76:K76)</f>
        <v>32860005</v>
      </c>
      <c r="M76" s="283">
        <f t="shared" ref="M76:M83" si="80">F76-I76</f>
        <v>-31760005</v>
      </c>
      <c r="N76" s="170">
        <f t="shared" ref="N76:N83" si="81">F76-L76</f>
        <v>-31760005</v>
      </c>
      <c r="O76" s="467"/>
      <c r="P76" s="455">
        <v>0</v>
      </c>
      <c r="Q76" s="458">
        <v>0</v>
      </c>
      <c r="R76" s="10"/>
      <c r="S76" s="156" t="str">
        <f>+IF(JUNIO!S76=0,"",JUNIO!S76)</f>
        <v>1020104-9</v>
      </c>
      <c r="T76" s="55" t="str">
        <f>+IF(JUNIO!T76=0,"",JUNIO!T76)</f>
        <v>Auxilio de Transporte</v>
      </c>
      <c r="U76" s="29">
        <f>+ENERO!U76</f>
        <v>0</v>
      </c>
      <c r="V76" s="17">
        <f>JUNIO!V76+JULIO!AL76</f>
        <v>0</v>
      </c>
      <c r="W76" s="17">
        <f>JUNIO!W76+JULIO!AM76</f>
        <v>0</v>
      </c>
      <c r="X76" s="20">
        <f t="shared" si="68"/>
        <v>0</v>
      </c>
      <c r="Y76" s="21">
        <f>JUNIO!AA76</f>
        <v>0</v>
      </c>
      <c r="Z76" s="457">
        <v>0</v>
      </c>
      <c r="AA76" s="20">
        <f t="shared" si="69"/>
        <v>0</v>
      </c>
      <c r="AB76" s="21">
        <f>JUNIO!AD76</f>
        <v>0</v>
      </c>
      <c r="AC76" s="457">
        <v>0</v>
      </c>
      <c r="AD76" s="20">
        <f t="shared" si="70"/>
        <v>0</v>
      </c>
      <c r="AE76" s="21">
        <f>JUNIO!AG76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+IF(JUNIO!A77=0,"",JUNIO!A77)</f>
        <v>1130117-2</v>
      </c>
      <c r="B77" s="189" t="str">
        <f>+IF(JUNIO!B77=0,"",JUNIO!B77)</f>
        <v>Vigencias Anteriores</v>
      </c>
      <c r="C77" s="456">
        <f>+ENERO!C77</f>
        <v>0</v>
      </c>
      <c r="D77" s="456">
        <f>JUNIO!D77+JULIO!P77</f>
        <v>0</v>
      </c>
      <c r="E77" s="456">
        <f>JUNIO!E77+JULIO!Q77</f>
        <v>0</v>
      </c>
      <c r="F77" s="170">
        <f t="shared" si="77"/>
        <v>0</v>
      </c>
      <c r="G77" s="283">
        <f>JUNIO!I77</f>
        <v>0</v>
      </c>
      <c r="H77" s="457">
        <v>0</v>
      </c>
      <c r="I77" s="170">
        <f t="shared" si="78"/>
        <v>0</v>
      </c>
      <c r="J77" s="283">
        <f>JUNIO!L77</f>
        <v>0</v>
      </c>
      <c r="K77" s="457">
        <v>0</v>
      </c>
      <c r="L77" s="170">
        <f t="shared" si="79"/>
        <v>0</v>
      </c>
      <c r="M77" s="283">
        <f t="shared" si="80"/>
        <v>0</v>
      </c>
      <c r="N77" s="170">
        <f t="shared" si="81"/>
        <v>0</v>
      </c>
      <c r="O77" s="467"/>
      <c r="P77" s="455">
        <v>0</v>
      </c>
      <c r="Q77" s="458">
        <v>0</v>
      </c>
      <c r="R77" s="10"/>
      <c r="S77" s="156" t="str">
        <f>+IF(JUNIO!S77=0,"",JUNIO!S77)</f>
        <v>1020104-10</v>
      </c>
      <c r="T77" s="55" t="str">
        <f>+IF(JUNIO!T77=0,"",JUNIO!T77)</f>
        <v>Subsidio de Alimentación</v>
      </c>
      <c r="U77" s="29">
        <f>+ENERO!U77</f>
        <v>3859093</v>
      </c>
      <c r="V77" s="17">
        <f>JUNIO!V77+JULIO!AL77</f>
        <v>0</v>
      </c>
      <c r="W77" s="17">
        <f>JUNIO!W77+JULIO!AM77</f>
        <v>0</v>
      </c>
      <c r="X77" s="20">
        <f t="shared" si="68"/>
        <v>3859093</v>
      </c>
      <c r="Y77" s="21">
        <f>JUNIO!AA77</f>
        <v>1713723</v>
      </c>
      <c r="Z77" s="457">
        <v>295629</v>
      </c>
      <c r="AA77" s="20">
        <f t="shared" si="69"/>
        <v>2009352</v>
      </c>
      <c r="AB77" s="21">
        <f>JUNIO!AD77</f>
        <v>1713723</v>
      </c>
      <c r="AC77" s="457">
        <v>295629</v>
      </c>
      <c r="AD77" s="20">
        <f t="shared" si="70"/>
        <v>2009352</v>
      </c>
      <c r="AE77" s="21">
        <f>JUNIO!AG77</f>
        <v>1552051</v>
      </c>
      <c r="AF77" s="457">
        <v>457301</v>
      </c>
      <c r="AG77" s="20">
        <f t="shared" si="71"/>
        <v>2009352</v>
      </c>
      <c r="AH77" s="21">
        <f t="shared" si="72"/>
        <v>1849741</v>
      </c>
      <c r="AI77" s="17">
        <f t="shared" si="73"/>
        <v>1849741</v>
      </c>
      <c r="AJ77" s="18">
        <f t="shared" si="74"/>
        <v>1849741</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+IF(JUNIO!A78=0,"",JUNIO!A78)</f>
        <v>1130118</v>
      </c>
      <c r="B78" s="45" t="str">
        <f>+IF(JUNIO!B78=0,"",JUNIO!B78)</f>
        <v>PARTICULARES   (Venta de Contado)</v>
      </c>
      <c r="C78" s="53">
        <f>SUM(C79:C80)</f>
        <v>81679743</v>
      </c>
      <c r="D78" s="53">
        <f>SUM(D79:D80)</f>
        <v>0</v>
      </c>
      <c r="E78" s="53">
        <f>SUM(E79:E80)</f>
        <v>0</v>
      </c>
      <c r="F78" s="54">
        <f t="shared" si="77"/>
        <v>81679743</v>
      </c>
      <c r="G78" s="52">
        <f>SUM(G79:G80)</f>
        <v>15935444</v>
      </c>
      <c r="H78" s="53">
        <f>SUM(H79:H80)</f>
        <v>4549941</v>
      </c>
      <c r="I78" s="54">
        <f t="shared" si="78"/>
        <v>20485385</v>
      </c>
      <c r="J78" s="52">
        <f>SUM(J79:J80)</f>
        <v>15572560</v>
      </c>
      <c r="K78" s="53">
        <f>SUM(K79:K80)</f>
        <v>4442719</v>
      </c>
      <c r="L78" s="54">
        <f t="shared" si="79"/>
        <v>20015279</v>
      </c>
      <c r="M78" s="52">
        <f t="shared" si="80"/>
        <v>61194358</v>
      </c>
      <c r="N78" s="54">
        <f t="shared" si="81"/>
        <v>61664464</v>
      </c>
      <c r="O78" s="467"/>
      <c r="P78" s="52">
        <f>SUM(P79:P80)</f>
        <v>0</v>
      </c>
      <c r="Q78" s="54">
        <f>SUM(Q79:Q80)</f>
        <v>0</v>
      </c>
      <c r="R78" s="10"/>
      <c r="S78" s="156" t="str">
        <f>+IF(JUNIO!S78=0,"",JUNIO!S78)</f>
        <v>1020104-12</v>
      </c>
      <c r="T78" s="55" t="str">
        <f>+IF(JUNIO!T78=0,"",JUNIO!T78)</f>
        <v>Indemnizaciones por Vacaciones o Supresión de Cargos por Reestructuración</v>
      </c>
      <c r="U78" s="29">
        <f>+ENERO!U78</f>
        <v>0</v>
      </c>
      <c r="V78" s="17">
        <f>JUNIO!V78+JULIO!AL78</f>
        <v>0</v>
      </c>
      <c r="W78" s="17">
        <f>JUNIO!W78+JULIO!AM78</f>
        <v>0</v>
      </c>
      <c r="X78" s="20">
        <f t="shared" si="68"/>
        <v>0</v>
      </c>
      <c r="Y78" s="21">
        <f>JUNIO!AA78</f>
        <v>0</v>
      </c>
      <c r="Z78" s="457">
        <v>0</v>
      </c>
      <c r="AA78" s="20">
        <f t="shared" si="69"/>
        <v>0</v>
      </c>
      <c r="AB78" s="21">
        <f>JUNIO!AD78</f>
        <v>0</v>
      </c>
      <c r="AC78" s="457">
        <v>0</v>
      </c>
      <c r="AD78" s="20">
        <f t="shared" si="70"/>
        <v>0</v>
      </c>
      <c r="AE78" s="21">
        <f>JUNIO!AG78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+IF(JUNIO!A79=0,"",JUNIO!A79)</f>
        <v>1130118-1</v>
      </c>
      <c r="B79" s="189" t="str">
        <f>+CONCATENATE("Vigencia ",INSTRUCCIONES!$F$3)</f>
        <v>Vigencia 2014</v>
      </c>
      <c r="C79" s="456">
        <f>+ENERO!C79</f>
        <v>81679743</v>
      </c>
      <c r="D79" s="456">
        <f>JUNIO!D79+JULIO!P79</f>
        <v>0</v>
      </c>
      <c r="E79" s="456">
        <f>JUNIO!E79+JULIO!Q79</f>
        <v>0</v>
      </c>
      <c r="F79" s="170">
        <f t="shared" si="77"/>
        <v>81679743</v>
      </c>
      <c r="G79" s="283">
        <f>JUNIO!I79</f>
        <v>15935444</v>
      </c>
      <c r="H79" s="457">
        <v>4549941</v>
      </c>
      <c r="I79" s="170">
        <f t="shared" si="78"/>
        <v>20485385</v>
      </c>
      <c r="J79" s="283">
        <f>JUNIO!L79</f>
        <v>15572560</v>
      </c>
      <c r="K79" s="457">
        <v>4442719</v>
      </c>
      <c r="L79" s="170">
        <f t="shared" si="79"/>
        <v>20015279</v>
      </c>
      <c r="M79" s="283">
        <f t="shared" si="80"/>
        <v>61194358</v>
      </c>
      <c r="N79" s="170">
        <f t="shared" si="81"/>
        <v>61664464</v>
      </c>
      <c r="P79" s="455">
        <v>0</v>
      </c>
      <c r="Q79" s="458">
        <v>0</v>
      </c>
      <c r="R79" s="10"/>
      <c r="S79" s="156" t="str">
        <f>+IF(JUNIO!S79=0,"",JUNIO!S79)</f>
        <v>1020104-13</v>
      </c>
      <c r="T79" s="55" t="str">
        <f>+IF(JUNIO!T79=0,"",JUNIO!T79)</f>
        <v>Bonificación Especial por Recreación</v>
      </c>
      <c r="U79" s="29">
        <f>+ENERO!U79</f>
        <v>5006173</v>
      </c>
      <c r="V79" s="17">
        <f>JUNIO!V79+JULIO!AL79</f>
        <v>0</v>
      </c>
      <c r="W79" s="17">
        <f>JUNIO!W79+JULIO!AM79</f>
        <v>0</v>
      </c>
      <c r="X79" s="20">
        <f t="shared" si="68"/>
        <v>5006173</v>
      </c>
      <c r="Y79" s="21">
        <f>JUNIO!AA79</f>
        <v>1675953</v>
      </c>
      <c r="Z79" s="457">
        <v>237361</v>
      </c>
      <c r="AA79" s="20">
        <f t="shared" si="69"/>
        <v>1913314</v>
      </c>
      <c r="AB79" s="21">
        <f>JUNIO!AD79</f>
        <v>1675953</v>
      </c>
      <c r="AC79" s="457">
        <v>237361</v>
      </c>
      <c r="AD79" s="20">
        <f t="shared" si="70"/>
        <v>1913314</v>
      </c>
      <c r="AE79" s="21">
        <f>JUNIO!AG79</f>
        <v>994615</v>
      </c>
      <c r="AF79" s="457">
        <v>905454</v>
      </c>
      <c r="AG79" s="20">
        <f t="shared" si="71"/>
        <v>1900069</v>
      </c>
      <c r="AH79" s="21">
        <f t="shared" si="72"/>
        <v>3092859</v>
      </c>
      <c r="AI79" s="17">
        <f t="shared" si="73"/>
        <v>3092859</v>
      </c>
      <c r="AJ79" s="18">
        <f t="shared" si="74"/>
        <v>3106104</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+IF(JUNIO!A80=0,"",JUNIO!A80)</f>
        <v>1130118-2</v>
      </c>
      <c r="B80" s="189" t="str">
        <f>+IF(JUNIO!B80=0,"",JUNIO!B80)</f>
        <v>Vigencias Anteriores</v>
      </c>
      <c r="C80" s="456">
        <f>+ENERO!C80</f>
        <v>0</v>
      </c>
      <c r="D80" s="456">
        <f>JUNIO!D80+JULIO!P80</f>
        <v>0</v>
      </c>
      <c r="E80" s="456">
        <f>JUNIO!E80+JULIO!Q80</f>
        <v>0</v>
      </c>
      <c r="F80" s="170">
        <f t="shared" si="77"/>
        <v>0</v>
      </c>
      <c r="G80" s="283">
        <f>JUNIO!I80</f>
        <v>0</v>
      </c>
      <c r="H80" s="457">
        <v>0</v>
      </c>
      <c r="I80" s="170">
        <f t="shared" si="78"/>
        <v>0</v>
      </c>
      <c r="J80" s="283">
        <f>JUNIO!L80</f>
        <v>0</v>
      </c>
      <c r="K80" s="457">
        <v>0</v>
      </c>
      <c r="L80" s="170">
        <f t="shared" si="79"/>
        <v>0</v>
      </c>
      <c r="M80" s="283">
        <f t="shared" si="80"/>
        <v>0</v>
      </c>
      <c r="N80" s="170">
        <f t="shared" si="81"/>
        <v>0</v>
      </c>
      <c r="O80" s="467"/>
      <c r="P80" s="455">
        <v>0</v>
      </c>
      <c r="Q80" s="458">
        <v>0</v>
      </c>
      <c r="S80" s="156" t="str">
        <f>+IF(JUNIO!S80=0,"",JUNIO!S80)</f>
        <v>1020104-14</v>
      </c>
      <c r="T80" s="55" t="str">
        <f>+IF(JUNIO!T80=0,"",JUNIO!T80)</f>
        <v/>
      </c>
      <c r="U80" s="29">
        <f>+ENERO!U80</f>
        <v>0</v>
      </c>
      <c r="V80" s="17">
        <f>JUNIO!V80+JULIO!AL80</f>
        <v>0</v>
      </c>
      <c r="W80" s="17">
        <f>JUNIO!W80+JULIO!AM80</f>
        <v>0</v>
      </c>
      <c r="X80" s="20">
        <f t="shared" si="68"/>
        <v>0</v>
      </c>
      <c r="Y80" s="21">
        <f>JUNIO!AA80</f>
        <v>0</v>
      </c>
      <c r="Z80" s="457">
        <v>0</v>
      </c>
      <c r="AA80" s="20">
        <f t="shared" si="69"/>
        <v>0</v>
      </c>
      <c r="AB80" s="21">
        <f>JUNIO!AD80</f>
        <v>0</v>
      </c>
      <c r="AC80" s="457">
        <v>0</v>
      </c>
      <c r="AD80" s="20">
        <f t="shared" si="70"/>
        <v>0</v>
      </c>
      <c r="AE80" s="21">
        <f>JUNIO!AG80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+IF(JUNIO!A81=0,"",JUNIO!A81)</f>
        <v>1130119</v>
      </c>
      <c r="B81" s="45" t="str">
        <f>+IF(JUNIO!B81=0,"",JUNIO!B81)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+IF(JUNIO!S81=0,"",JUNIO!S81)</f>
        <v>1020199</v>
      </c>
      <c r="T81" s="159" t="str">
        <f>+IF(JUNIO!T81=0,"",JUNIO!T81)</f>
        <v>Vigencias Anteriores</v>
      </c>
      <c r="U81" s="29">
        <f>+ENERO!U81</f>
        <v>8738114</v>
      </c>
      <c r="V81" s="17">
        <f>JUNIO!V81+JULIO!AL81</f>
        <v>5657703</v>
      </c>
      <c r="W81" s="17">
        <f>JUNIO!W81+JULIO!AM81</f>
        <v>8749212</v>
      </c>
      <c r="X81" s="20">
        <f t="shared" si="68"/>
        <v>23145029</v>
      </c>
      <c r="Y81" s="21">
        <f>JUNIO!AA81</f>
        <v>22680029</v>
      </c>
      <c r="Z81" s="457">
        <v>0</v>
      </c>
      <c r="AA81" s="20">
        <f t="shared" si="69"/>
        <v>22680029</v>
      </c>
      <c r="AB81" s="21">
        <f>JUNIO!AD81</f>
        <v>22680029</v>
      </c>
      <c r="AC81" s="457">
        <v>0</v>
      </c>
      <c r="AD81" s="20">
        <f t="shared" si="70"/>
        <v>22680029</v>
      </c>
      <c r="AE81" s="21">
        <f>JUNIO!AG81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+IF(JUNIO!A82=0,"",JUNIO!A82)</f>
        <v>1130119-1</v>
      </c>
      <c r="B82" s="189" t="str">
        <f>+CONCATENATE("Vigencia ",INSTRUCCIONES!$F$3)</f>
        <v>Vigencia 2014</v>
      </c>
      <c r="C82" s="456">
        <f>+ENERO!C82</f>
        <v>0</v>
      </c>
      <c r="D82" s="456">
        <f>JUNIO!D82+JULIO!P82</f>
        <v>0</v>
      </c>
      <c r="E82" s="456">
        <f>JUNIO!E82+JULIO!Q82</f>
        <v>0</v>
      </c>
      <c r="F82" s="170">
        <f t="shared" si="77"/>
        <v>0</v>
      </c>
      <c r="G82" s="283">
        <f>JUNIO!I82</f>
        <v>0</v>
      </c>
      <c r="H82" s="457">
        <v>0</v>
      </c>
      <c r="I82" s="170">
        <f t="shared" si="78"/>
        <v>0</v>
      </c>
      <c r="J82" s="283">
        <f>JUNIO!L82</f>
        <v>0</v>
      </c>
      <c r="K82" s="457">
        <v>0</v>
      </c>
      <c r="L82" s="170">
        <f t="shared" si="79"/>
        <v>0</v>
      </c>
      <c r="M82" s="283">
        <f t="shared" si="80"/>
        <v>0</v>
      </c>
      <c r="N82" s="170">
        <f t="shared" si="81"/>
        <v>0</v>
      </c>
      <c r="P82" s="455">
        <v>0</v>
      </c>
      <c r="Q82" s="458">
        <v>0</v>
      </c>
      <c r="R82" s="10"/>
      <c r="S82" s="448" t="str">
        <f>+IF(JUNIO!S82=0,"",JUNIO!S82)</f>
        <v/>
      </c>
      <c r="T82" s="649" t="str">
        <f>+IF(JUNIO!T82=0,"",JUNIO!T82)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+IF(JUNIO!A83=0,"",JUNIO!A83)</f>
        <v>1130119-2</v>
      </c>
      <c r="B83" s="189" t="str">
        <f>+IF(JUNIO!B83=0,"",JUNIO!B83)</f>
        <v>Vigencias Anteriores</v>
      </c>
      <c r="C83" s="456">
        <f>+ENERO!C83</f>
        <v>0</v>
      </c>
      <c r="D83" s="456">
        <f>JUNIO!D83+JULIO!P83</f>
        <v>0</v>
      </c>
      <c r="E83" s="456">
        <f>JUNIO!E83+JULIO!Q83</f>
        <v>0</v>
      </c>
      <c r="F83" s="170">
        <f t="shared" si="77"/>
        <v>0</v>
      </c>
      <c r="G83" s="283">
        <f>JUNIO!I83</f>
        <v>0</v>
      </c>
      <c r="H83" s="457">
        <v>0</v>
      </c>
      <c r="I83" s="170">
        <f t="shared" si="78"/>
        <v>0</v>
      </c>
      <c r="J83" s="283">
        <f>JUNIO!L83</f>
        <v>0</v>
      </c>
      <c r="K83" s="457">
        <v>0</v>
      </c>
      <c r="L83" s="170">
        <f t="shared" si="79"/>
        <v>0</v>
      </c>
      <c r="M83" s="283">
        <f t="shared" si="80"/>
        <v>0</v>
      </c>
      <c r="N83" s="170">
        <f t="shared" si="81"/>
        <v>0</v>
      </c>
      <c r="P83" s="455">
        <v>0</v>
      </c>
      <c r="Q83" s="458">
        <v>0</v>
      </c>
      <c r="R83" s="10"/>
      <c r="S83" s="34">
        <f>+IF(JUNIO!S83=0,"",JUNIO!S83)</f>
        <v>1020200</v>
      </c>
      <c r="T83" s="158" t="str">
        <f>+IF(JUNIO!T83=0,"",JUNIO!T83)</f>
        <v>Servicios Personales Indirectos</v>
      </c>
      <c r="U83" s="157">
        <f t="shared" ref="U83:AJ83" si="83">SUM(U84:U88)</f>
        <v>71000000</v>
      </c>
      <c r="V83" s="144">
        <f t="shared" si="83"/>
        <v>0</v>
      </c>
      <c r="W83" s="144">
        <f t="shared" si="83"/>
        <v>4687311</v>
      </c>
      <c r="X83" s="152">
        <f t="shared" si="83"/>
        <v>75687311</v>
      </c>
      <c r="Y83" s="151">
        <f t="shared" si="83"/>
        <v>26193570</v>
      </c>
      <c r="Z83" s="144">
        <f t="shared" si="83"/>
        <v>4254758</v>
      </c>
      <c r="AA83" s="152">
        <f t="shared" si="83"/>
        <v>30448328</v>
      </c>
      <c r="AB83" s="151">
        <f t="shared" si="83"/>
        <v>26193570</v>
      </c>
      <c r="AC83" s="144">
        <f t="shared" si="83"/>
        <v>4254758</v>
      </c>
      <c r="AD83" s="152">
        <f t="shared" si="83"/>
        <v>30448328</v>
      </c>
      <c r="AE83" s="151">
        <f t="shared" si="83"/>
        <v>22125208</v>
      </c>
      <c r="AF83" s="144">
        <f t="shared" si="83"/>
        <v>6167020</v>
      </c>
      <c r="AG83" s="152">
        <f t="shared" si="83"/>
        <v>28292228</v>
      </c>
      <c r="AH83" s="151">
        <f t="shared" si="83"/>
        <v>45238983</v>
      </c>
      <c r="AI83" s="144">
        <f t="shared" si="83"/>
        <v>45238983</v>
      </c>
      <c r="AJ83" s="153">
        <f t="shared" si="83"/>
        <v>47395083</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+IF(JUNIO!A84=0,"",JUNIO!A84)</f>
        <v/>
      </c>
      <c r="B84" s="557" t="str">
        <f>+IF(JUNIO!B84=0,"",JUNIO!B84)</f>
        <v/>
      </c>
      <c r="C84" s="495"/>
      <c r="D84" s="495"/>
      <c r="E84" s="495"/>
      <c r="F84" s="495"/>
      <c r="G84" s="495"/>
      <c r="H84" s="495"/>
      <c r="I84" s="495"/>
      <c r="J84" s="495"/>
      <c r="K84" s="495"/>
      <c r="L84" s="495"/>
      <c r="M84" s="495"/>
      <c r="N84" s="496"/>
      <c r="P84" s="497"/>
      <c r="Q84" s="496"/>
      <c r="R84" s="10"/>
      <c r="S84" s="155" t="str">
        <f>+IF(JUNIO!S84=0,"",JUNIO!S84)</f>
        <v>1020200-1</v>
      </c>
      <c r="T84" s="159" t="str">
        <f>+IF(JUNIO!T84=0,"",JUNIO!T84)</f>
        <v>Remuneración y Honorarios por Servicios Técnicos y Profesionales</v>
      </c>
      <c r="U84" s="29">
        <f>+ENERO!U84</f>
        <v>20000000</v>
      </c>
      <c r="V84" s="17">
        <f>JUNIO!V84+JULIO!AL84</f>
        <v>0</v>
      </c>
      <c r="W84" s="17">
        <f>JUNIO!W84+JULIO!AM84</f>
        <v>0</v>
      </c>
      <c r="X84" s="20">
        <f>SUM(U84:W84)</f>
        <v>20000000</v>
      </c>
      <c r="Y84" s="21">
        <f>JUNIO!AA84</f>
        <v>9020910</v>
      </c>
      <c r="Z84" s="457">
        <v>1492918</v>
      </c>
      <c r="AA84" s="20">
        <f>SUM(Y84:Z84)</f>
        <v>10513828</v>
      </c>
      <c r="AB84" s="21">
        <f>JUNIO!AD84</f>
        <v>9020910</v>
      </c>
      <c r="AC84" s="457">
        <v>1492918</v>
      </c>
      <c r="AD84" s="20">
        <f>SUM(AB84:AC84)</f>
        <v>10513828</v>
      </c>
      <c r="AE84" s="21">
        <f>JUNIO!AG84</f>
        <v>7655048</v>
      </c>
      <c r="AF84" s="457">
        <v>2858780</v>
      </c>
      <c r="AG84" s="20">
        <f>SUM(AE84:AF84)</f>
        <v>10513828</v>
      </c>
      <c r="AH84" s="21">
        <f>X84-AA84</f>
        <v>9486172</v>
      </c>
      <c r="AI84" s="17">
        <f>X84-AD84</f>
        <v>9486172</v>
      </c>
      <c r="AJ84" s="18">
        <f>X84-AG84</f>
        <v>9486172</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+IF(JUNIO!A85=0,"",JUNIO!A85)</f>
        <v>11302</v>
      </c>
      <c r="B85" s="460" t="str">
        <f>+IF(JUNIO!B85=0,"",JUNIO!B85)</f>
        <v>Venta de Otros Bienes y Servicios</v>
      </c>
      <c r="C85" s="559">
        <f t="shared" ref="C85:N85" si="84">SUM(C86:C93)</f>
        <v>115179029</v>
      </c>
      <c r="D85" s="559">
        <f t="shared" si="84"/>
        <v>0</v>
      </c>
      <c r="E85" s="559">
        <f t="shared" si="84"/>
        <v>0</v>
      </c>
      <c r="F85" s="560">
        <f t="shared" si="84"/>
        <v>115179029</v>
      </c>
      <c r="G85" s="558">
        <f t="shared" si="84"/>
        <v>79634600</v>
      </c>
      <c r="H85" s="559">
        <f t="shared" si="84"/>
        <v>15175312</v>
      </c>
      <c r="I85" s="560">
        <f t="shared" si="84"/>
        <v>94809912</v>
      </c>
      <c r="J85" s="558">
        <f t="shared" si="84"/>
        <v>79634600</v>
      </c>
      <c r="K85" s="559">
        <f t="shared" si="84"/>
        <v>15175312</v>
      </c>
      <c r="L85" s="560">
        <f t="shared" si="84"/>
        <v>94809912</v>
      </c>
      <c r="M85" s="558">
        <f t="shared" si="84"/>
        <v>20369117</v>
      </c>
      <c r="N85" s="560">
        <f t="shared" si="84"/>
        <v>20369117</v>
      </c>
      <c r="P85" s="52">
        <f>SUM(P86:P93)</f>
        <v>0</v>
      </c>
      <c r="Q85" s="54">
        <f>SUM(Q86:Q93)</f>
        <v>0</v>
      </c>
      <c r="R85" s="10"/>
      <c r="S85" s="155" t="str">
        <f>+IF(JUNIO!S85=0,"",JUNIO!S85)</f>
        <v>1020200-2</v>
      </c>
      <c r="T85" s="159" t="str">
        <f>+IF(JUNIO!T85=0,"",JUNIO!T85)</f>
        <v>Personal Supernumerario</v>
      </c>
      <c r="U85" s="29">
        <f>+ENERO!U85</f>
        <v>22000000</v>
      </c>
      <c r="V85" s="17">
        <f>JUNIO!V85+JULIO!AL85</f>
        <v>0</v>
      </c>
      <c r="W85" s="17">
        <f>JUNIO!W85+JULIO!AM85</f>
        <v>0</v>
      </c>
      <c r="X85" s="20">
        <f>SUM(U85:W85)</f>
        <v>22000000</v>
      </c>
      <c r="Y85" s="21">
        <f>JUNIO!AA85</f>
        <v>2198749</v>
      </c>
      <c r="Z85" s="457">
        <v>2313840</v>
      </c>
      <c r="AA85" s="20">
        <f>SUM(Y85:Z85)</f>
        <v>4512589</v>
      </c>
      <c r="AB85" s="21">
        <f>JUNIO!AD85</f>
        <v>2198749</v>
      </c>
      <c r="AC85" s="457">
        <v>2313840</v>
      </c>
      <c r="AD85" s="20">
        <f>SUM(AB85:AC85)</f>
        <v>4512589</v>
      </c>
      <c r="AE85" s="21">
        <f>JUNIO!AG85</f>
        <v>1590749</v>
      </c>
      <c r="AF85" s="457">
        <v>2313840</v>
      </c>
      <c r="AG85" s="20">
        <f>SUM(AE85:AF85)</f>
        <v>3904589</v>
      </c>
      <c r="AH85" s="21">
        <f>X85-AA85</f>
        <v>17487411</v>
      </c>
      <c r="AI85" s="17">
        <f>X85-AD85</f>
        <v>17487411</v>
      </c>
      <c r="AJ85" s="18">
        <f>X85-AG85</f>
        <v>18095411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+IF(JUNIO!A86=0,"",JUNIO!A86)</f>
        <v>1130201</v>
      </c>
      <c r="B86" s="55" t="str">
        <f>+IF(JUNIO!B86=0,"",JUNIO!B86)</f>
        <v>ARRENDAMIENTO Y ALQUILER DE BIENES MUEBLES E INMUEBLES</v>
      </c>
      <c r="C86" s="456">
        <f>+ENERO!C86</f>
        <v>3552425</v>
      </c>
      <c r="D86" s="456">
        <f>JUNIO!D86+JULIO!P86</f>
        <v>0</v>
      </c>
      <c r="E86" s="456">
        <f>JUNIO!E86+JULIO!Q86</f>
        <v>0</v>
      </c>
      <c r="F86" s="170">
        <f t="shared" ref="F86:F92" si="85">SUM(C86:E86)</f>
        <v>3552425</v>
      </c>
      <c r="G86" s="283">
        <f>JUNIO!I86</f>
        <v>5016061</v>
      </c>
      <c r="H86" s="457">
        <v>0</v>
      </c>
      <c r="I86" s="170">
        <f t="shared" ref="I86:I92" si="86">SUM(G86:H86)</f>
        <v>5016061</v>
      </c>
      <c r="J86" s="283">
        <f>JUNIO!L86</f>
        <v>5016061</v>
      </c>
      <c r="K86" s="457">
        <v>0</v>
      </c>
      <c r="L86" s="170">
        <f t="shared" ref="L86:L92" si="87">SUM(J86:K86)</f>
        <v>5016061</v>
      </c>
      <c r="M86" s="283">
        <f t="shared" ref="M86:M92" si="88">F86-I86</f>
        <v>-1463636</v>
      </c>
      <c r="N86" s="170">
        <f t="shared" ref="N86:N92" si="89">F86-L86</f>
        <v>-1463636</v>
      </c>
      <c r="O86" s="467"/>
      <c r="P86" s="455">
        <v>0</v>
      </c>
      <c r="Q86" s="458">
        <v>0</v>
      </c>
      <c r="S86" s="155" t="str">
        <f>+IF(JUNIO!S86=0,"",JUNIO!S86)</f>
        <v>1020200-4</v>
      </c>
      <c r="T86" s="159" t="str">
        <f>+IF(JUNIO!T86=0,"",JUNIO!T86)</f>
        <v>Otros Honorarios (Servicios de Cooperativa)</v>
      </c>
      <c r="U86" s="29">
        <f>+ENERO!U86</f>
        <v>25000000</v>
      </c>
      <c r="V86" s="17">
        <f>JUNIO!V86+JULIO!AL86</f>
        <v>0</v>
      </c>
      <c r="W86" s="17">
        <f>JUNIO!W86+JULIO!AM86</f>
        <v>0</v>
      </c>
      <c r="X86" s="20">
        <f>SUM(U86:W86)</f>
        <v>25000000</v>
      </c>
      <c r="Y86" s="21">
        <f>JUNIO!AA86</f>
        <v>6286600</v>
      </c>
      <c r="Z86" s="457">
        <v>448000</v>
      </c>
      <c r="AA86" s="20">
        <f>SUM(Y86:Z86)</f>
        <v>6734600</v>
      </c>
      <c r="AB86" s="21">
        <f>JUNIO!AD86</f>
        <v>6286600</v>
      </c>
      <c r="AC86" s="457">
        <v>448000</v>
      </c>
      <c r="AD86" s="20">
        <f>SUM(AB86:AC86)</f>
        <v>6734600</v>
      </c>
      <c r="AE86" s="21">
        <f>JUNIO!AG86</f>
        <v>4239400</v>
      </c>
      <c r="AF86" s="457">
        <v>994400</v>
      </c>
      <c r="AG86" s="20">
        <f>SUM(AE86:AF86)</f>
        <v>5233800</v>
      </c>
      <c r="AH86" s="21">
        <f>X86-AA86</f>
        <v>18265400</v>
      </c>
      <c r="AI86" s="17">
        <f>X86-AD86</f>
        <v>18265400</v>
      </c>
      <c r="AJ86" s="18">
        <f>X86-AG86</f>
        <v>19766200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+IF(JUNIO!A87=0,"",JUNIO!A87)</f>
        <v>1130202</v>
      </c>
      <c r="B87" s="55" t="str">
        <f>+IF(JUNIO!B87=0,"",JUNIO!B87)</f>
        <v>COMERCIALIZACIÓN DE MERCANCÍAS</v>
      </c>
      <c r="C87" s="456">
        <f>+ENERO!C87</f>
        <v>0</v>
      </c>
      <c r="D87" s="456">
        <f>JUNIO!D87+JULIO!P87</f>
        <v>0</v>
      </c>
      <c r="E87" s="456">
        <f>JUNIO!E87+JULIO!Q87</f>
        <v>0</v>
      </c>
      <c r="F87" s="170">
        <f t="shared" si="85"/>
        <v>0</v>
      </c>
      <c r="G87" s="283">
        <f>JUNIO!I87</f>
        <v>5073051</v>
      </c>
      <c r="H87" s="457">
        <v>2433369</v>
      </c>
      <c r="I87" s="170">
        <f t="shared" si="86"/>
        <v>7506420</v>
      </c>
      <c r="J87" s="283">
        <f>JUNIO!L87</f>
        <v>5073051</v>
      </c>
      <c r="K87" s="457">
        <v>2433369</v>
      </c>
      <c r="L87" s="170">
        <f t="shared" si="87"/>
        <v>7506420</v>
      </c>
      <c r="M87" s="283">
        <f t="shared" si="88"/>
        <v>-7506420</v>
      </c>
      <c r="N87" s="170">
        <f t="shared" si="89"/>
        <v>-7506420</v>
      </c>
      <c r="P87" s="455">
        <v>0</v>
      </c>
      <c r="Q87" s="458">
        <v>0</v>
      </c>
      <c r="R87" s="10"/>
      <c r="S87" s="155" t="str">
        <f>+IF(JUNIO!S87=0,"",JUNIO!S87)</f>
        <v/>
      </c>
      <c r="T87" s="159" t="str">
        <f>+IF(JUNIO!T87=0,"",JUNIO!T87)</f>
        <v/>
      </c>
      <c r="U87" s="29">
        <f>+ENERO!U87</f>
        <v>0</v>
      </c>
      <c r="V87" s="17">
        <f>JUNIO!V87+JULIO!AL87</f>
        <v>0</v>
      </c>
      <c r="W87" s="17">
        <f>JUNIO!W87+JULIO!AM87</f>
        <v>0</v>
      </c>
      <c r="X87" s="20">
        <f>SUM(U87:W87)</f>
        <v>0</v>
      </c>
      <c r="Y87" s="21">
        <f>JUNIO!AA87</f>
        <v>0</v>
      </c>
      <c r="Z87" s="457">
        <v>0</v>
      </c>
      <c r="AA87" s="20">
        <f>SUM(Y87:Z87)</f>
        <v>0</v>
      </c>
      <c r="AB87" s="21">
        <f>JUNIO!AD87</f>
        <v>0</v>
      </c>
      <c r="AC87" s="457">
        <v>0</v>
      </c>
      <c r="AD87" s="20">
        <f>SUM(AB87:AC87)</f>
        <v>0</v>
      </c>
      <c r="AE87" s="21">
        <f>JUNIO!AG87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+IF(JUNIO!A88=0,"",JUNIO!A88)</f>
        <v>1130203</v>
      </c>
      <c r="B88" s="55" t="str">
        <f>+IF(JUNIO!B88=0,"",JUNIO!B88)</f>
        <v>CONVENIOS CON LA NACION LIGADOS A LA VTA DE SERVICIOS</v>
      </c>
      <c r="C88" s="456">
        <f>+ENERO!C88</f>
        <v>0</v>
      </c>
      <c r="D88" s="456">
        <f>JUNIO!D88+JULIO!P88</f>
        <v>0</v>
      </c>
      <c r="E88" s="456">
        <f>JUNIO!E88+JULIO!Q88</f>
        <v>0</v>
      </c>
      <c r="F88" s="170">
        <f t="shared" si="85"/>
        <v>0</v>
      </c>
      <c r="G88" s="283">
        <f>JUNIO!I88</f>
        <v>0</v>
      </c>
      <c r="H88" s="457">
        <v>0</v>
      </c>
      <c r="I88" s="170">
        <f t="shared" si="86"/>
        <v>0</v>
      </c>
      <c r="J88" s="283">
        <f>JUNIO!L88</f>
        <v>0</v>
      </c>
      <c r="K88" s="457">
        <v>0</v>
      </c>
      <c r="L88" s="170">
        <f t="shared" si="87"/>
        <v>0</v>
      </c>
      <c r="M88" s="283">
        <f t="shared" si="88"/>
        <v>0</v>
      </c>
      <c r="N88" s="170">
        <f t="shared" si="89"/>
        <v>0</v>
      </c>
      <c r="P88" s="455">
        <v>0</v>
      </c>
      <c r="Q88" s="458">
        <v>0</v>
      </c>
      <c r="R88" s="10"/>
      <c r="S88" s="155">
        <f>+IF(JUNIO!S88=0,"",JUNIO!S88)</f>
        <v>1020299</v>
      </c>
      <c r="T88" s="159" t="str">
        <f>+IF(JUNIO!T88=0,"",JUNIO!T88)</f>
        <v>Vigencias Anteriores</v>
      </c>
      <c r="U88" s="29">
        <f>+ENERO!U88</f>
        <v>4000000</v>
      </c>
      <c r="V88" s="17">
        <f>JUNIO!V88+JULIO!AL88</f>
        <v>0</v>
      </c>
      <c r="W88" s="17">
        <f>JUNIO!W88+JULIO!AM88</f>
        <v>4687311</v>
      </c>
      <c r="X88" s="20">
        <f>SUM(U88:W88)</f>
        <v>8687311</v>
      </c>
      <c r="Y88" s="21">
        <f>JUNIO!AA88</f>
        <v>8687311</v>
      </c>
      <c r="Z88" s="457">
        <v>0</v>
      </c>
      <c r="AA88" s="20">
        <f>SUM(Y88:Z88)</f>
        <v>8687311</v>
      </c>
      <c r="AB88" s="21">
        <f>JUNIO!AD88</f>
        <v>8687311</v>
      </c>
      <c r="AC88" s="457">
        <v>0</v>
      </c>
      <c r="AD88" s="20">
        <f>SUM(AB88:AC88)</f>
        <v>8687311</v>
      </c>
      <c r="AE88" s="21">
        <f>JUNIO!AG88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+IF(JUNIO!A89=0,"",JUNIO!A89)</f>
        <v>1130204</v>
      </c>
      <c r="B89" s="55" t="str">
        <f>+IF(JUNIO!B89=0,"",JUNIO!B89)</f>
        <v>CONVENIOS CON EL DEPARTAMENTO LIGADOS A LA VTA SERVICIOS</v>
      </c>
      <c r="C89" s="456">
        <f>+ENERO!C89</f>
        <v>0</v>
      </c>
      <c r="D89" s="456">
        <f>JUNIO!D89+JULIO!P89</f>
        <v>0</v>
      </c>
      <c r="E89" s="456">
        <f>JUNIO!E89+JULIO!Q89</f>
        <v>0</v>
      </c>
      <c r="F89" s="170">
        <f t="shared" si="85"/>
        <v>0</v>
      </c>
      <c r="G89" s="283">
        <f>JUNIO!I89</f>
        <v>0</v>
      </c>
      <c r="H89" s="457">
        <v>0</v>
      </c>
      <c r="I89" s="170">
        <f t="shared" si="86"/>
        <v>0</v>
      </c>
      <c r="J89" s="283">
        <f>JUNIO!L89</f>
        <v>0</v>
      </c>
      <c r="K89" s="457">
        <v>0</v>
      </c>
      <c r="L89" s="170">
        <f t="shared" si="87"/>
        <v>0</v>
      </c>
      <c r="M89" s="283">
        <f t="shared" si="88"/>
        <v>0</v>
      </c>
      <c r="N89" s="170">
        <f t="shared" si="89"/>
        <v>0</v>
      </c>
      <c r="P89" s="455">
        <v>0</v>
      </c>
      <c r="Q89" s="458">
        <v>0</v>
      </c>
      <c r="R89" s="10"/>
      <c r="S89" s="448" t="str">
        <f>+IF(JUNIO!S89=0,"",JUNIO!S89)</f>
        <v/>
      </c>
      <c r="T89" s="649" t="str">
        <f>+IF(JUNIO!T89=0,"",JUNIO!T89)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+IF(JUNIO!A90=0,"",JUNIO!A90)</f>
        <v>1130205</v>
      </c>
      <c r="B90" s="55" t="str">
        <f>+IF(JUNIO!B90=0,"",JUNIO!B90)</f>
        <v>CONVENIOS CON EL MUNICIPIO LIGADOS A LA VTA DE SERVICIOS</v>
      </c>
      <c r="C90" s="456">
        <f>+ENERO!C90</f>
        <v>0</v>
      </c>
      <c r="D90" s="456">
        <f>JUNIO!D90+JULIO!P90</f>
        <v>0</v>
      </c>
      <c r="E90" s="456">
        <f>JUNIO!E90+JULIO!Q90</f>
        <v>0</v>
      </c>
      <c r="F90" s="170">
        <f t="shared" si="85"/>
        <v>0</v>
      </c>
      <c r="G90" s="283">
        <f>JUNIO!I90</f>
        <v>0</v>
      </c>
      <c r="H90" s="457">
        <v>0</v>
      </c>
      <c r="I90" s="170">
        <f t="shared" si="86"/>
        <v>0</v>
      </c>
      <c r="J90" s="283">
        <f>JUNIO!L90</f>
        <v>0</v>
      </c>
      <c r="K90" s="457">
        <v>0</v>
      </c>
      <c r="L90" s="170">
        <f t="shared" si="87"/>
        <v>0</v>
      </c>
      <c r="M90" s="283">
        <f t="shared" si="88"/>
        <v>0</v>
      </c>
      <c r="N90" s="170">
        <f t="shared" si="89"/>
        <v>0</v>
      </c>
      <c r="O90" s="467"/>
      <c r="P90" s="455">
        <v>0</v>
      </c>
      <c r="Q90" s="458">
        <v>0</v>
      </c>
      <c r="R90" s="32"/>
      <c r="S90" s="34">
        <f>+IF(JUNIO!S90=0,"",JUNIO!S90)</f>
        <v>1020300</v>
      </c>
      <c r="T90" s="158" t="str">
        <f>+IF(JUNIO!T90=0,"",JUNIO!T90)</f>
        <v>Contribuciones Inherentes nómina al Sector Privado</v>
      </c>
      <c r="U90" s="157">
        <f t="shared" ref="U90:AJ90" si="90">U91+U96+U102</f>
        <v>371241003</v>
      </c>
      <c r="V90" s="144">
        <f t="shared" si="90"/>
        <v>0</v>
      </c>
      <c r="W90" s="144">
        <f t="shared" si="90"/>
        <v>5352587</v>
      </c>
      <c r="X90" s="152">
        <f t="shared" si="90"/>
        <v>376593590</v>
      </c>
      <c r="Y90" s="151">
        <f t="shared" si="90"/>
        <v>173501043</v>
      </c>
      <c r="Z90" s="144">
        <f t="shared" si="90"/>
        <v>39502634</v>
      </c>
      <c r="AA90" s="152">
        <f t="shared" si="90"/>
        <v>213003677</v>
      </c>
      <c r="AB90" s="151">
        <f t="shared" si="90"/>
        <v>173501043</v>
      </c>
      <c r="AC90" s="144">
        <f t="shared" si="90"/>
        <v>39502634</v>
      </c>
      <c r="AD90" s="152">
        <f t="shared" si="90"/>
        <v>213003677</v>
      </c>
      <c r="AE90" s="151">
        <f t="shared" si="90"/>
        <v>163606372</v>
      </c>
      <c r="AF90" s="144">
        <f t="shared" si="90"/>
        <v>37152905</v>
      </c>
      <c r="AG90" s="152">
        <f t="shared" si="90"/>
        <v>200759277</v>
      </c>
      <c r="AH90" s="151">
        <f t="shared" si="90"/>
        <v>163589913</v>
      </c>
      <c r="AI90" s="144">
        <f t="shared" si="90"/>
        <v>163589913</v>
      </c>
      <c r="AJ90" s="153">
        <f t="shared" si="90"/>
        <v>175834313</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+IF(JUNIO!A91=0,"",JUNIO!A91)</f>
        <v>1130206</v>
      </c>
      <c r="B91" s="55" t="str">
        <f>+IF(JUNIO!B91=0,"",JUNIO!B91)</f>
        <v>OTROS CONVENIOS LIGADOS A LA VTA DE SERVICIOS</v>
      </c>
      <c r="C91" s="456">
        <f>+ENERO!C91</f>
        <v>0</v>
      </c>
      <c r="D91" s="456">
        <f>JUNIO!D91+JULIO!P91</f>
        <v>0</v>
      </c>
      <c r="E91" s="456">
        <f>JUNIO!E91+JULIO!Q91</f>
        <v>0</v>
      </c>
      <c r="F91" s="170">
        <f t="shared" si="85"/>
        <v>0</v>
      </c>
      <c r="G91" s="283">
        <f>JUNIO!I91</f>
        <v>0</v>
      </c>
      <c r="H91" s="457">
        <v>0</v>
      </c>
      <c r="I91" s="170">
        <f t="shared" si="86"/>
        <v>0</v>
      </c>
      <c r="J91" s="283">
        <f>JUNIO!L91</f>
        <v>0</v>
      </c>
      <c r="K91" s="457">
        <v>0</v>
      </c>
      <c r="L91" s="170">
        <f t="shared" si="87"/>
        <v>0</v>
      </c>
      <c r="M91" s="283">
        <f t="shared" si="88"/>
        <v>0</v>
      </c>
      <c r="N91" s="170">
        <f t="shared" si="89"/>
        <v>0</v>
      </c>
      <c r="O91" s="467"/>
      <c r="P91" s="455">
        <v>0</v>
      </c>
      <c r="Q91" s="458">
        <v>0</v>
      </c>
      <c r="R91" s="32"/>
      <c r="S91" s="155">
        <f>+IF(JUNIO!S91=0,"",JUNIO!S91)</f>
        <v>1020301</v>
      </c>
      <c r="T91" s="159" t="str">
        <f>+IF(JUNIO!T91=0,"",JUNIO!T91)</f>
        <v>Contribuciones - Sin Situación de Fondos</v>
      </c>
      <c r="U91" s="29">
        <f t="shared" ref="U91:AJ91" si="91">SUM(U92:U95)</f>
        <v>165265755</v>
      </c>
      <c r="V91" s="17">
        <f t="shared" si="91"/>
        <v>0</v>
      </c>
      <c r="W91" s="17">
        <f t="shared" si="91"/>
        <v>0</v>
      </c>
      <c r="X91" s="20">
        <f t="shared" si="91"/>
        <v>165265755</v>
      </c>
      <c r="Y91" s="21">
        <f t="shared" si="91"/>
        <v>56915305</v>
      </c>
      <c r="Z91" s="169">
        <f t="shared" si="91"/>
        <v>2776040</v>
      </c>
      <c r="AA91" s="20">
        <f t="shared" si="91"/>
        <v>59691345</v>
      </c>
      <c r="AB91" s="21">
        <f t="shared" si="91"/>
        <v>56915305</v>
      </c>
      <c r="AC91" s="169">
        <f t="shared" si="91"/>
        <v>2776040</v>
      </c>
      <c r="AD91" s="20">
        <f t="shared" si="91"/>
        <v>59691345</v>
      </c>
      <c r="AE91" s="21">
        <f t="shared" si="91"/>
        <v>52028105</v>
      </c>
      <c r="AF91" s="169">
        <f t="shared" si="91"/>
        <v>7663240</v>
      </c>
      <c r="AG91" s="20">
        <f t="shared" si="91"/>
        <v>59691345</v>
      </c>
      <c r="AH91" s="21">
        <f t="shared" si="91"/>
        <v>105574410</v>
      </c>
      <c r="AI91" s="17">
        <f t="shared" si="91"/>
        <v>105574410</v>
      </c>
      <c r="AJ91" s="18">
        <f t="shared" si="91"/>
        <v>105574410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+IF(JUNIO!A92=0,"",JUNIO!A92)</f>
        <v>1130207</v>
      </c>
      <c r="B92" s="563" t="s">
        <v>482</v>
      </c>
      <c r="C92" s="456">
        <f>+ENERO!C92</f>
        <v>0</v>
      </c>
      <c r="D92" s="456">
        <f>JUNIO!D92+JULIO!P92</f>
        <v>0</v>
      </c>
      <c r="E92" s="456">
        <f>JUNIO!E92+JULIO!Q92</f>
        <v>0</v>
      </c>
      <c r="F92" s="170">
        <f t="shared" si="85"/>
        <v>0</v>
      </c>
      <c r="G92" s="283">
        <f>JUNIO!I92</f>
        <v>0</v>
      </c>
      <c r="H92" s="457">
        <v>0</v>
      </c>
      <c r="I92" s="170">
        <f t="shared" si="86"/>
        <v>0</v>
      </c>
      <c r="J92" s="283">
        <f>JUNIO!L92</f>
        <v>0</v>
      </c>
      <c r="K92" s="457">
        <v>0</v>
      </c>
      <c r="L92" s="170">
        <f t="shared" si="87"/>
        <v>0</v>
      </c>
      <c r="M92" s="283">
        <f t="shared" si="88"/>
        <v>0</v>
      </c>
      <c r="N92" s="170">
        <f t="shared" si="89"/>
        <v>0</v>
      </c>
      <c r="O92" s="467"/>
      <c r="P92" s="455">
        <v>0</v>
      </c>
      <c r="Q92" s="458">
        <v>0</v>
      </c>
      <c r="R92" s="32"/>
      <c r="S92" s="156" t="str">
        <f>+IF(JUNIO!S92=0,"",JUNIO!S92)</f>
        <v>1020301-1</v>
      </c>
      <c r="T92" s="55" t="str">
        <f>+IF(JUNIO!T92=0,"",JUNIO!T92)</f>
        <v>Aportes a E.P.S.- Sin sit. Fondos</v>
      </c>
      <c r="U92" s="29">
        <f>+ENERO!U92</f>
        <v>72234575</v>
      </c>
      <c r="V92" s="17">
        <f>JUNIO!V92+JULIO!AL92</f>
        <v>0</v>
      </c>
      <c r="W92" s="17">
        <f>JUNIO!W92+JULIO!AM92</f>
        <v>0</v>
      </c>
      <c r="X92" s="20">
        <f>SUM(U92:W92)</f>
        <v>72234575</v>
      </c>
      <c r="Y92" s="21">
        <f>JUNIO!AA92</f>
        <v>26112425</v>
      </c>
      <c r="Z92" s="457">
        <v>2776040</v>
      </c>
      <c r="AA92" s="20">
        <f>SUM(Y92:Z92)</f>
        <v>28888465</v>
      </c>
      <c r="AB92" s="21">
        <f>JUNIO!AD92</f>
        <v>26112425</v>
      </c>
      <c r="AC92" s="457">
        <v>2776040</v>
      </c>
      <c r="AD92" s="20">
        <f>SUM(AB92:AC92)</f>
        <v>28888465</v>
      </c>
      <c r="AE92" s="21">
        <f>JUNIO!AG92</f>
        <v>24086025</v>
      </c>
      <c r="AF92" s="457">
        <v>4802440</v>
      </c>
      <c r="AG92" s="20">
        <f>SUM(AE92:AF92)</f>
        <v>28888465</v>
      </c>
      <c r="AH92" s="21">
        <f>X92-AA92</f>
        <v>43346110</v>
      </c>
      <c r="AI92" s="17">
        <f>X92-AD92</f>
        <v>43346110</v>
      </c>
      <c r="AJ92" s="18">
        <f>X92-AG92</f>
        <v>43346110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+IF(JUNIO!A93=0,"",JUNIO!A93)</f>
        <v>1130209</v>
      </c>
      <c r="B93" s="170" t="str">
        <f>+IF(JUNIO!B93=0,"",JUNIO!B93)</f>
        <v>OTROS</v>
      </c>
      <c r="C93" s="172">
        <f t="shared" ref="C93:N93" si="92">SUM(C94:C97)</f>
        <v>111626604</v>
      </c>
      <c r="D93" s="172">
        <f t="shared" si="92"/>
        <v>0</v>
      </c>
      <c r="E93" s="172">
        <f t="shared" si="92"/>
        <v>0</v>
      </c>
      <c r="F93" s="173">
        <f t="shared" si="92"/>
        <v>111626604</v>
      </c>
      <c r="G93" s="171">
        <f t="shared" si="92"/>
        <v>69545488</v>
      </c>
      <c r="H93" s="172">
        <f t="shared" si="92"/>
        <v>12741943</v>
      </c>
      <c r="I93" s="173">
        <f t="shared" si="92"/>
        <v>82287431</v>
      </c>
      <c r="J93" s="171">
        <f t="shared" si="92"/>
        <v>69545488</v>
      </c>
      <c r="K93" s="172">
        <f t="shared" si="92"/>
        <v>12741943</v>
      </c>
      <c r="L93" s="173">
        <f t="shared" si="92"/>
        <v>82287431</v>
      </c>
      <c r="M93" s="171">
        <f t="shared" si="92"/>
        <v>29339173</v>
      </c>
      <c r="N93" s="173">
        <f t="shared" si="92"/>
        <v>29339173</v>
      </c>
      <c r="O93" s="467"/>
      <c r="P93" s="171">
        <f>SUM(P94:P97)</f>
        <v>0</v>
      </c>
      <c r="Q93" s="173">
        <f>SUM(Q94:Q97)</f>
        <v>0</v>
      </c>
      <c r="R93" s="32"/>
      <c r="S93" s="156" t="str">
        <f>+IF(JUNIO!S93=0,"",JUNIO!S93)</f>
        <v>1020301-2</v>
      </c>
      <c r="T93" s="55" t="str">
        <f>+IF(JUNIO!T93=0,"",JUNIO!T93)</f>
        <v>Aportes Fondos Pensionales - Sin Sit. Fondos</v>
      </c>
      <c r="U93" s="29">
        <f>+ENERO!U93</f>
        <v>78026691</v>
      </c>
      <c r="V93" s="17">
        <f>JUNIO!V93+JULIO!AL93</f>
        <v>0</v>
      </c>
      <c r="W93" s="17">
        <f>JUNIO!W93+JULIO!AM93</f>
        <v>0</v>
      </c>
      <c r="X93" s="20">
        <f>SUM(U93:W93)</f>
        <v>78026691</v>
      </c>
      <c r="Y93" s="21">
        <f>JUNIO!AA93</f>
        <v>30802880</v>
      </c>
      <c r="Z93" s="457">
        <v>0</v>
      </c>
      <c r="AA93" s="20">
        <f>SUM(Y93:Z93)</f>
        <v>30802880</v>
      </c>
      <c r="AB93" s="21">
        <f>JUNIO!AD93</f>
        <v>30802880</v>
      </c>
      <c r="AC93" s="457">
        <v>0</v>
      </c>
      <c r="AD93" s="20">
        <f>SUM(AB93:AC93)</f>
        <v>30802880</v>
      </c>
      <c r="AE93" s="21">
        <f>JUNIO!AG93</f>
        <v>27942080</v>
      </c>
      <c r="AF93" s="457">
        <v>2860800</v>
      </c>
      <c r="AG93" s="20">
        <f>SUM(AE93:AF93)</f>
        <v>30802880</v>
      </c>
      <c r="AH93" s="21">
        <f>X93-AA93</f>
        <v>47223811</v>
      </c>
      <c r="AI93" s="17">
        <f>X93-AD93</f>
        <v>47223811</v>
      </c>
      <c r="AJ93" s="18">
        <f>X93-AG93</f>
        <v>47223811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+IF(JUNIO!A94=0,"",JUNIO!A94)</f>
        <v>1130209 - 1</v>
      </c>
      <c r="B94" s="58" t="str">
        <f>+IF(JUNIO!B94=0,"",JUNIO!B94)</f>
        <v>Bienestar Social</v>
      </c>
      <c r="C94" s="456">
        <f>+ENERO!C94</f>
        <v>6347410</v>
      </c>
      <c r="D94" s="456">
        <f>JUNIO!D94+JULIO!P94</f>
        <v>0</v>
      </c>
      <c r="E94" s="456">
        <f>JUNIO!E94+JULIO!Q94</f>
        <v>0</v>
      </c>
      <c r="F94" s="170">
        <f>SUM(C94:E94)</f>
        <v>6347410</v>
      </c>
      <c r="G94" s="283">
        <f>JUNIO!I94</f>
        <v>0</v>
      </c>
      <c r="H94" s="457">
        <v>0</v>
      </c>
      <c r="I94" s="170">
        <f>SUM(G94:H94)</f>
        <v>0</v>
      </c>
      <c r="J94" s="283">
        <f>JUNIO!L94</f>
        <v>0</v>
      </c>
      <c r="K94" s="457">
        <v>0</v>
      </c>
      <c r="L94" s="170">
        <f>SUM(J94:K94)</f>
        <v>0</v>
      </c>
      <c r="M94" s="283">
        <f>F94-I94</f>
        <v>6347410</v>
      </c>
      <c r="N94" s="170">
        <f>F94-L94</f>
        <v>6347410</v>
      </c>
      <c r="O94" s="467"/>
      <c r="P94" s="455">
        <v>0</v>
      </c>
      <c r="Q94" s="458">
        <v>0</v>
      </c>
      <c r="R94" s="32"/>
      <c r="S94" s="156" t="str">
        <f>+IF(JUNIO!S94=0,"",JUNIO!S94)</f>
        <v>1020301-3</v>
      </c>
      <c r="T94" s="55" t="str">
        <f>+IF(JUNIO!T94=0,"",JUNIO!T94)</f>
        <v xml:space="preserve">Aportes a Fondos de Cesantia - Sin Sit. de Fondos </v>
      </c>
      <c r="U94" s="29">
        <f>+ENERO!U94</f>
        <v>15004488</v>
      </c>
      <c r="V94" s="17">
        <f>JUNIO!V94+JULIO!AL94</f>
        <v>0</v>
      </c>
      <c r="W94" s="17">
        <f>JUNIO!W94+JULIO!AM94</f>
        <v>0</v>
      </c>
      <c r="X94" s="20">
        <f>SUM(U94:W94)</f>
        <v>15004488</v>
      </c>
      <c r="Y94" s="21">
        <f>JUNIO!AA94</f>
        <v>0</v>
      </c>
      <c r="Z94" s="457">
        <v>0</v>
      </c>
      <c r="AA94" s="20">
        <f>SUM(Y94:Z94)</f>
        <v>0</v>
      </c>
      <c r="AB94" s="21">
        <f>JUNIO!AD94</f>
        <v>0</v>
      </c>
      <c r="AC94" s="457">
        <v>0</v>
      </c>
      <c r="AD94" s="20">
        <f>SUM(AB94:AC94)</f>
        <v>0</v>
      </c>
      <c r="AE94" s="21">
        <f>JUNIO!AG94</f>
        <v>0</v>
      </c>
      <c r="AF94" s="457">
        <v>0</v>
      </c>
      <c r="AG94" s="20">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+IF(JUNIO!A95=0,"",JUNIO!A95)</f>
        <v>1130209 - 2</v>
      </c>
      <c r="B95" s="58" t="str">
        <f>+IF(JUNIO!B95=0,"",JUNIO!B95)</f>
        <v>Fondo de la Vivienda</v>
      </c>
      <c r="C95" s="456">
        <f>+ENERO!C95</f>
        <v>0</v>
      </c>
      <c r="D95" s="456">
        <f>JUNIO!D95+JULIO!P95</f>
        <v>0</v>
      </c>
      <c r="E95" s="456">
        <f>JUNIO!E95+JULIO!Q95</f>
        <v>0</v>
      </c>
      <c r="F95" s="170">
        <f>SUM(C95:E95)</f>
        <v>0</v>
      </c>
      <c r="G95" s="283">
        <f>JUNIO!I95</f>
        <v>0</v>
      </c>
      <c r="H95" s="457">
        <v>0</v>
      </c>
      <c r="I95" s="170">
        <f>SUM(G95:H95)</f>
        <v>0</v>
      </c>
      <c r="J95" s="283">
        <f>JUNIO!L95</f>
        <v>0</v>
      </c>
      <c r="K95" s="457">
        <v>0</v>
      </c>
      <c r="L95" s="170">
        <f>SUM(J95:K95)</f>
        <v>0</v>
      </c>
      <c r="M95" s="283">
        <f>F95-I95</f>
        <v>0</v>
      </c>
      <c r="N95" s="170">
        <f>F95-L95</f>
        <v>0</v>
      </c>
      <c r="O95" s="467"/>
      <c r="P95" s="455">
        <v>0</v>
      </c>
      <c r="Q95" s="458">
        <v>0</v>
      </c>
      <c r="R95" s="32"/>
      <c r="S95" s="156" t="str">
        <f>+IF(JUNIO!S95=0,"",JUNIO!S95)</f>
        <v>1020301-4</v>
      </c>
      <c r="T95" s="55" t="str">
        <f>+IF(JUNIO!T95=0,"",JUNIO!T95)</f>
        <v>Aporte a ARL. - Sin Sit. de Fondos</v>
      </c>
      <c r="U95" s="29">
        <f>+ENERO!U95</f>
        <v>1</v>
      </c>
      <c r="V95" s="17">
        <f>JUNIO!V95+JULIO!AL95</f>
        <v>0</v>
      </c>
      <c r="W95" s="17">
        <f>JUNIO!W95+JULIO!AM95</f>
        <v>0</v>
      </c>
      <c r="X95" s="20">
        <f>SUM(U95:W95)</f>
        <v>1</v>
      </c>
      <c r="Y95" s="21">
        <f>JUNIO!AA95</f>
        <v>0</v>
      </c>
      <c r="Z95" s="457">
        <v>0</v>
      </c>
      <c r="AA95" s="20">
        <f>SUM(Y95:Z95)</f>
        <v>0</v>
      </c>
      <c r="AB95" s="21">
        <f>JUNIO!AD95</f>
        <v>0</v>
      </c>
      <c r="AC95" s="457">
        <v>0</v>
      </c>
      <c r="AD95" s="20">
        <f>SUM(AB95:AC95)</f>
        <v>0</v>
      </c>
      <c r="AE95" s="21">
        <f>JUNIO!AG95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+IF(JUNIO!A96=0,"",JUNIO!A96)</f>
        <v>1130209 - 3</v>
      </c>
      <c r="B96" s="58" t="str">
        <f>+IF(JUNIO!B96=0,"",JUNIO!B96)</f>
        <v xml:space="preserve">Aprovechamientos </v>
      </c>
      <c r="C96" s="456">
        <f>+ENERO!C96</f>
        <v>105279194</v>
      </c>
      <c r="D96" s="456">
        <f>JUNIO!D96+JULIO!P96</f>
        <v>0</v>
      </c>
      <c r="E96" s="456">
        <f>JUNIO!E96+JULIO!Q96</f>
        <v>0</v>
      </c>
      <c r="F96" s="170">
        <f>SUM(C96:E96)</f>
        <v>105279194</v>
      </c>
      <c r="G96" s="283">
        <f>JUNIO!I96</f>
        <v>69545488</v>
      </c>
      <c r="H96" s="457">
        <v>12741943</v>
      </c>
      <c r="I96" s="170">
        <f>SUM(G96:H96)</f>
        <v>82287431</v>
      </c>
      <c r="J96" s="283">
        <f>JUNIO!L96</f>
        <v>69545488</v>
      </c>
      <c r="K96" s="457">
        <v>12741943</v>
      </c>
      <c r="L96" s="170">
        <f>SUM(J96:K96)</f>
        <v>82287431</v>
      </c>
      <c r="M96" s="283">
        <f>F96-I96</f>
        <v>22991763</v>
      </c>
      <c r="N96" s="170">
        <f>F96-L96</f>
        <v>22991763</v>
      </c>
      <c r="O96" s="467"/>
      <c r="P96" s="455">
        <v>0</v>
      </c>
      <c r="Q96" s="458">
        <v>0</v>
      </c>
      <c r="S96" s="155">
        <f>+IF(JUNIO!S96=0,"",JUNIO!S96)</f>
        <v>1020302</v>
      </c>
      <c r="T96" s="159" t="str">
        <f>+IF(JUNIO!T96=0,"",JUNIO!T96)</f>
        <v>Contribuciones - Otros</v>
      </c>
      <c r="U96" s="29">
        <f t="shared" ref="U96:AJ96" si="93">SUM(U97:U101)</f>
        <v>205975248</v>
      </c>
      <c r="V96" s="17">
        <f t="shared" si="93"/>
        <v>0</v>
      </c>
      <c r="W96" s="17">
        <f t="shared" si="93"/>
        <v>0</v>
      </c>
      <c r="X96" s="20">
        <f t="shared" si="93"/>
        <v>205975248</v>
      </c>
      <c r="Y96" s="21">
        <f t="shared" si="93"/>
        <v>111233151</v>
      </c>
      <c r="Z96" s="169">
        <f t="shared" si="93"/>
        <v>36726594</v>
      </c>
      <c r="AA96" s="20">
        <f t="shared" si="93"/>
        <v>147959745</v>
      </c>
      <c r="AB96" s="21">
        <f t="shared" si="93"/>
        <v>111233151</v>
      </c>
      <c r="AC96" s="169">
        <f t="shared" si="93"/>
        <v>36726594</v>
      </c>
      <c r="AD96" s="20">
        <f t="shared" si="93"/>
        <v>147959745</v>
      </c>
      <c r="AE96" s="21">
        <f t="shared" si="93"/>
        <v>106225680</v>
      </c>
      <c r="AF96" s="169">
        <f t="shared" si="93"/>
        <v>29489665</v>
      </c>
      <c r="AG96" s="20">
        <f t="shared" si="93"/>
        <v>135715345</v>
      </c>
      <c r="AH96" s="21">
        <f t="shared" si="93"/>
        <v>58015503</v>
      </c>
      <c r="AI96" s="17">
        <f t="shared" si="93"/>
        <v>58015503</v>
      </c>
      <c r="AJ96" s="18">
        <f t="shared" si="93"/>
        <v>70259903</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+IF(JUNIO!A97=0,"",JUNIO!A97)</f>
        <v>1130209 - 4</v>
      </c>
      <c r="B97" s="219" t="str">
        <f>+IF(JUNIO!B97=0,"",JUNIO!B97)</f>
        <v>Otros</v>
      </c>
      <c r="C97" s="564">
        <f>+ENERO!C97</f>
        <v>0</v>
      </c>
      <c r="D97" s="564">
        <f>JUNIO!D97+JULIO!P97</f>
        <v>0</v>
      </c>
      <c r="E97" s="564">
        <f>JUNIO!E97+JULIO!Q97</f>
        <v>0</v>
      </c>
      <c r="F97" s="565">
        <f>SUM(C97:E97)</f>
        <v>0</v>
      </c>
      <c r="G97" s="566">
        <f>JUNIO!I97</f>
        <v>0</v>
      </c>
      <c r="H97" s="475">
        <v>0</v>
      </c>
      <c r="I97" s="565">
        <f>SUM(G97:H97)</f>
        <v>0</v>
      </c>
      <c r="J97" s="566">
        <f>JUNIO!L97</f>
        <v>0</v>
      </c>
      <c r="K97" s="475">
        <v>0</v>
      </c>
      <c r="L97" s="565">
        <f>SUM(J97:K97)</f>
        <v>0</v>
      </c>
      <c r="M97" s="566">
        <f>F97-I97</f>
        <v>0</v>
      </c>
      <c r="N97" s="565">
        <f>F97-L97</f>
        <v>0</v>
      </c>
      <c r="O97" s="467"/>
      <c r="P97" s="471">
        <v>0</v>
      </c>
      <c r="Q97" s="476">
        <v>0</v>
      </c>
      <c r="R97" s="32"/>
      <c r="S97" s="156" t="str">
        <f>+IF(JUNIO!S97=0,"",JUNIO!S97)</f>
        <v>1020302-1</v>
      </c>
      <c r="T97" s="55" t="str">
        <f>+IF(JUNIO!T97=0,"",JUNIO!T97)</f>
        <v>Aportes a E.P.S.- Con sit. Fondos</v>
      </c>
      <c r="U97" s="29">
        <f>+ENERO!U97</f>
        <v>13794433</v>
      </c>
      <c r="V97" s="17">
        <f>JUNIO!V97+JULIO!AL97</f>
        <v>0</v>
      </c>
      <c r="W97" s="17">
        <f>JUNIO!W97+JULIO!AM97</f>
        <v>0</v>
      </c>
      <c r="X97" s="20">
        <f t="shared" ref="X97:X102" si="94">SUM(U97:W97)</f>
        <v>13794433</v>
      </c>
      <c r="Y97" s="21">
        <f>JUNIO!AA97</f>
        <v>12193060</v>
      </c>
      <c r="Z97" s="457">
        <v>0</v>
      </c>
      <c r="AA97" s="20">
        <f t="shared" ref="AA97:AA102" si="95">SUM(Y97:Z97)</f>
        <v>12193060</v>
      </c>
      <c r="AB97" s="21">
        <f>JUNIO!AD97</f>
        <v>12193060</v>
      </c>
      <c r="AC97" s="457">
        <v>0</v>
      </c>
      <c r="AD97" s="20">
        <f t="shared" ref="AD97:AD102" si="96">SUM(AB97:AC97)</f>
        <v>12193060</v>
      </c>
      <c r="AE97" s="21">
        <f>JUNIO!AG97</f>
        <v>12193060</v>
      </c>
      <c r="AF97" s="457">
        <v>0</v>
      </c>
      <c r="AG97" s="20">
        <f t="shared" ref="AG97:AG102" si="97">SUM(AE97:AF97)</f>
        <v>12193060</v>
      </c>
      <c r="AH97" s="21">
        <f t="shared" ref="AH97:AH102" si="98">X97-AA97</f>
        <v>1601373</v>
      </c>
      <c r="AI97" s="17">
        <f t="shared" ref="AI97:AI102" si="99">X97-AD97</f>
        <v>1601373</v>
      </c>
      <c r="AJ97" s="18">
        <f t="shared" ref="AJ97:AJ102" si="100">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+IF(JUNIO!S98=0,"",JUNIO!S98)</f>
        <v>1020302-2</v>
      </c>
      <c r="T98" s="55" t="str">
        <f>+IF(JUNIO!T98=0,"",JUNIO!T98)</f>
        <v>Aportes Fondos Pensionales - Con Sit. Fondos</v>
      </c>
      <c r="U98" s="29">
        <f>+ENERO!U98</f>
        <v>43426005</v>
      </c>
      <c r="V98" s="17">
        <f>JUNIO!V98+JULIO!AL98</f>
        <v>0</v>
      </c>
      <c r="W98" s="17">
        <f>JUNIO!W98+JULIO!AM98</f>
        <v>0</v>
      </c>
      <c r="X98" s="20">
        <f t="shared" si="94"/>
        <v>43426005</v>
      </c>
      <c r="Y98" s="21">
        <f>JUNIO!AA98</f>
        <v>15897950</v>
      </c>
      <c r="Z98" s="457">
        <v>7726091</v>
      </c>
      <c r="AA98" s="20">
        <f t="shared" si="95"/>
        <v>23624041</v>
      </c>
      <c r="AB98" s="21">
        <f>JUNIO!AD98</f>
        <v>15897950</v>
      </c>
      <c r="AC98" s="457">
        <v>7726091</v>
      </c>
      <c r="AD98" s="20">
        <f t="shared" si="96"/>
        <v>23624041</v>
      </c>
      <c r="AE98" s="21">
        <f>JUNIO!AG98</f>
        <v>15897950</v>
      </c>
      <c r="AF98" s="457">
        <v>779091</v>
      </c>
      <c r="AG98" s="20">
        <f t="shared" si="97"/>
        <v>16677041</v>
      </c>
      <c r="AH98" s="21">
        <f t="shared" si="98"/>
        <v>19801964</v>
      </c>
      <c r="AI98" s="17">
        <f t="shared" si="99"/>
        <v>19801964</v>
      </c>
      <c r="AJ98" s="18">
        <f t="shared" si="100"/>
        <v>26748964</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+IF(JUNIO!A99=0,"",JUNIO!A99)</f>
        <v>11303</v>
      </c>
      <c r="B99" s="570" t="str">
        <f>+IF(JUNIO!B99=0,"",JUNIO!B99)</f>
        <v>Aportes no ligados a venta servicios de salud</v>
      </c>
      <c r="C99" s="572">
        <f t="shared" ref="C99:N99" si="101">SUM(C100:C106)</f>
        <v>0</v>
      </c>
      <c r="D99" s="572">
        <f t="shared" si="101"/>
        <v>227076373</v>
      </c>
      <c r="E99" s="572">
        <f t="shared" si="101"/>
        <v>25449068</v>
      </c>
      <c r="F99" s="573">
        <f t="shared" si="101"/>
        <v>252525441</v>
      </c>
      <c r="G99" s="571">
        <f t="shared" si="101"/>
        <v>126262721</v>
      </c>
      <c r="H99" s="572">
        <f t="shared" si="101"/>
        <v>21043769</v>
      </c>
      <c r="I99" s="573">
        <f t="shared" si="101"/>
        <v>147306490</v>
      </c>
      <c r="J99" s="571">
        <f t="shared" si="101"/>
        <v>126262721</v>
      </c>
      <c r="K99" s="572">
        <f t="shared" si="101"/>
        <v>21043769</v>
      </c>
      <c r="L99" s="573">
        <f t="shared" si="101"/>
        <v>147306490</v>
      </c>
      <c r="M99" s="571">
        <f t="shared" si="101"/>
        <v>105218951</v>
      </c>
      <c r="N99" s="573">
        <f t="shared" si="101"/>
        <v>105218951</v>
      </c>
      <c r="P99" s="215">
        <f>SUM(P100:P106)</f>
        <v>0</v>
      </c>
      <c r="Q99" s="216">
        <f>SUM(Q100:Q106)</f>
        <v>0</v>
      </c>
      <c r="R99" s="32"/>
      <c r="S99" s="156" t="str">
        <f>+IF(JUNIO!S99=0,"",JUNIO!S99)</f>
        <v>1020302-3</v>
      </c>
      <c r="T99" s="55" t="str">
        <f>+IF(JUNIO!T99=0,"",JUNIO!T99)</f>
        <v xml:space="preserve">Aportes a Fondos de Cesantia - Con Sit. de Fondos </v>
      </c>
      <c r="U99" s="29">
        <f>+ENERO!U99</f>
        <v>78984976</v>
      </c>
      <c r="V99" s="17">
        <f>JUNIO!V99+JULIO!AL99</f>
        <v>0</v>
      </c>
      <c r="W99" s="17">
        <f>JUNIO!W99+JULIO!AM99</f>
        <v>0</v>
      </c>
      <c r="X99" s="20">
        <f t="shared" si="94"/>
        <v>78984976</v>
      </c>
      <c r="Y99" s="21">
        <f>JUNIO!AA99</f>
        <v>53304141</v>
      </c>
      <c r="Z99" s="457">
        <v>23750103</v>
      </c>
      <c r="AA99" s="20">
        <f t="shared" si="95"/>
        <v>77054244</v>
      </c>
      <c r="AB99" s="21">
        <f>JUNIO!AD99</f>
        <v>53304141</v>
      </c>
      <c r="AC99" s="457">
        <v>23750103</v>
      </c>
      <c r="AD99" s="20">
        <f t="shared" si="96"/>
        <v>77054244</v>
      </c>
      <c r="AE99" s="21">
        <f>JUNIO!AG99</f>
        <v>53166670</v>
      </c>
      <c r="AF99" s="457">
        <v>23840574</v>
      </c>
      <c r="AG99" s="20">
        <f t="shared" si="97"/>
        <v>77007244</v>
      </c>
      <c r="AH99" s="21">
        <f t="shared" si="98"/>
        <v>1930732</v>
      </c>
      <c r="AI99" s="17">
        <f t="shared" si="99"/>
        <v>1930732</v>
      </c>
      <c r="AJ99" s="18">
        <f t="shared" si="100"/>
        <v>1977732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+IF(JUNIO!A100=0,"",JUNIO!A100)</f>
        <v>11303-1</v>
      </c>
      <c r="B100" s="59" t="str">
        <f>+IF(JUNIO!B100=0,"",JUNIO!B100)</f>
        <v xml:space="preserve">NACION </v>
      </c>
      <c r="C100" s="574">
        <f>+ENERO!C100</f>
        <v>0</v>
      </c>
      <c r="D100" s="574">
        <f>JUNIO!D100+JULIO!P100</f>
        <v>0</v>
      </c>
      <c r="E100" s="574">
        <f>JUNIO!E100+JULIO!Q100</f>
        <v>0</v>
      </c>
      <c r="F100" s="575">
        <f t="shared" ref="F100:F106" si="102">SUM(C100:E100)</f>
        <v>0</v>
      </c>
      <c r="G100" s="576">
        <f>JUNIO!I100</f>
        <v>0</v>
      </c>
      <c r="H100" s="457">
        <v>0</v>
      </c>
      <c r="I100" s="575">
        <f t="shared" ref="I100:I106" si="103">SUM(G100:H100)</f>
        <v>0</v>
      </c>
      <c r="J100" s="576">
        <f>JUNIO!L100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+IF(JUNIO!S100=0,"",JUNIO!S100)</f>
        <v>1020302-4</v>
      </c>
      <c r="T100" s="55" t="str">
        <f>+IF(JUNIO!T100=0,"",JUNIO!T100)</f>
        <v>Aporte a ARL. - Con Sit. de Fondos</v>
      </c>
      <c r="U100" s="29">
        <f>+ENERO!U100</f>
        <v>24654894</v>
      </c>
      <c r="V100" s="17">
        <f>JUNIO!V100+JULIO!AL100</f>
        <v>0</v>
      </c>
      <c r="W100" s="17">
        <f>JUNIO!W100+JULIO!AM100</f>
        <v>0</v>
      </c>
      <c r="X100" s="20">
        <f t="shared" si="94"/>
        <v>24654894</v>
      </c>
      <c r="Y100" s="21">
        <f>JUNIO!AA100</f>
        <v>11146700</v>
      </c>
      <c r="Z100" s="457">
        <v>2198600</v>
      </c>
      <c r="AA100" s="20">
        <f t="shared" si="95"/>
        <v>13345300</v>
      </c>
      <c r="AB100" s="21">
        <f>JUNIO!AD100</f>
        <v>11146700</v>
      </c>
      <c r="AC100" s="457">
        <v>2198600</v>
      </c>
      <c r="AD100" s="20">
        <f t="shared" si="96"/>
        <v>13345300</v>
      </c>
      <c r="AE100" s="21">
        <f>JUNIO!AG100</f>
        <v>9226400</v>
      </c>
      <c r="AF100" s="457">
        <v>1920300</v>
      </c>
      <c r="AG100" s="20">
        <f t="shared" si="97"/>
        <v>11146700</v>
      </c>
      <c r="AH100" s="21">
        <f t="shared" si="98"/>
        <v>11309594</v>
      </c>
      <c r="AI100" s="17">
        <f t="shared" si="99"/>
        <v>11309594</v>
      </c>
      <c r="AJ100" s="18">
        <f t="shared" si="100"/>
        <v>13508194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+IF(JUNIO!A101=0,"",JUNIO!A101)</f>
        <v>11303-2</v>
      </c>
      <c r="B101" s="59" t="str">
        <f>+IF(JUNIO!B101=0,"",JUNIO!B101)</f>
        <v>DEPARTAMENTO</v>
      </c>
      <c r="C101" s="574">
        <f>+ENERO!C101</f>
        <v>0</v>
      </c>
      <c r="D101" s="574">
        <f>JUNIO!D101+JULIO!P101</f>
        <v>0</v>
      </c>
      <c r="E101" s="574">
        <f>JUNIO!E101+JULIO!Q101</f>
        <v>0</v>
      </c>
      <c r="F101" s="575">
        <f t="shared" si="102"/>
        <v>0</v>
      </c>
      <c r="G101" s="576">
        <f>JUNIO!I101</f>
        <v>0</v>
      </c>
      <c r="H101" s="457">
        <v>0</v>
      </c>
      <c r="I101" s="575">
        <f t="shared" si="103"/>
        <v>0</v>
      </c>
      <c r="J101" s="576">
        <f>JUNIO!L101</f>
        <v>0</v>
      </c>
      <c r="K101" s="457">
        <v>0</v>
      </c>
      <c r="L101" s="575">
        <f t="shared" si="104"/>
        <v>0</v>
      </c>
      <c r="M101" s="576">
        <f t="shared" si="105"/>
        <v>0</v>
      </c>
      <c r="N101" s="575">
        <f t="shared" si="106"/>
        <v>0</v>
      </c>
      <c r="O101" s="562"/>
      <c r="P101" s="455">
        <v>0</v>
      </c>
      <c r="Q101" s="458">
        <v>0</v>
      </c>
      <c r="R101" s="10"/>
      <c r="S101" s="156" t="str">
        <f>+IF(JUNIO!S101=0,"",JUNIO!S101)</f>
        <v>1020302-5</v>
      </c>
      <c r="T101" s="55" t="str">
        <f>+IF(JUNIO!T101=0,"",JUNIO!T101)</f>
        <v>Aporte a Caja Compensación Familiar</v>
      </c>
      <c r="U101" s="29">
        <f>+ENERO!U101</f>
        <v>45114940</v>
      </c>
      <c r="V101" s="17">
        <f>JUNIO!V101+JULIO!AL101</f>
        <v>0</v>
      </c>
      <c r="W101" s="17">
        <f>JUNIO!W101+JULIO!AM101</f>
        <v>0</v>
      </c>
      <c r="X101" s="20">
        <f t="shared" si="94"/>
        <v>45114940</v>
      </c>
      <c r="Y101" s="21">
        <f>JUNIO!AA101</f>
        <v>18691300</v>
      </c>
      <c r="Z101" s="457">
        <v>3051800</v>
      </c>
      <c r="AA101" s="20">
        <f t="shared" si="95"/>
        <v>21743100</v>
      </c>
      <c r="AB101" s="21">
        <f>JUNIO!AD101</f>
        <v>18691300</v>
      </c>
      <c r="AC101" s="457">
        <v>3051800</v>
      </c>
      <c r="AD101" s="20">
        <f t="shared" si="96"/>
        <v>21743100</v>
      </c>
      <c r="AE101" s="21">
        <f>JUNIO!AG101</f>
        <v>15741600</v>
      </c>
      <c r="AF101" s="457">
        <v>2949700</v>
      </c>
      <c r="AG101" s="20">
        <f t="shared" si="97"/>
        <v>18691300</v>
      </c>
      <c r="AH101" s="21">
        <f t="shared" si="98"/>
        <v>23371840</v>
      </c>
      <c r="AI101" s="17">
        <f t="shared" si="99"/>
        <v>23371840</v>
      </c>
      <c r="AJ101" s="18">
        <f t="shared" si="100"/>
        <v>26423640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+IF(JUNIO!A102=0,"",JUNIO!A102)</f>
        <v>11303-3</v>
      </c>
      <c r="B102" s="59" t="str">
        <f>+IF(JUNIO!B102=0,"",JUNIO!B102)</f>
        <v>MUNICIPIO</v>
      </c>
      <c r="C102" s="574">
        <f>+ENERO!C102</f>
        <v>0</v>
      </c>
      <c r="D102" s="574">
        <f>JUNIO!D102+JULIO!P102</f>
        <v>0</v>
      </c>
      <c r="E102" s="574">
        <f>JUNIO!E102+JULIO!Q102</f>
        <v>0</v>
      </c>
      <c r="F102" s="575">
        <f t="shared" si="102"/>
        <v>0</v>
      </c>
      <c r="G102" s="576">
        <f>JUNIO!I102</f>
        <v>0</v>
      </c>
      <c r="H102" s="457">
        <v>0</v>
      </c>
      <c r="I102" s="575">
        <f t="shared" si="103"/>
        <v>0</v>
      </c>
      <c r="J102" s="576">
        <f>JUNIO!L102</f>
        <v>0</v>
      </c>
      <c r="K102" s="457">
        <v>0</v>
      </c>
      <c r="L102" s="575">
        <f t="shared" si="104"/>
        <v>0</v>
      </c>
      <c r="M102" s="576">
        <f t="shared" si="105"/>
        <v>0</v>
      </c>
      <c r="N102" s="575">
        <f t="shared" si="106"/>
        <v>0</v>
      </c>
      <c r="O102" s="562"/>
      <c r="P102" s="455">
        <v>0</v>
      </c>
      <c r="Q102" s="458">
        <v>0</v>
      </c>
      <c r="R102" s="10"/>
      <c r="S102" s="155">
        <f>+IF(JUNIO!S102=0,"",JUNIO!S102)</f>
        <v>1020399</v>
      </c>
      <c r="T102" s="159" t="str">
        <f>+IF(JUNIO!T102=0,"",JUNIO!T102)</f>
        <v>Vigencias Anteriores</v>
      </c>
      <c r="U102" s="29">
        <f>+ENERO!U102</f>
        <v>0</v>
      </c>
      <c r="V102" s="17">
        <f>JUNIO!V102+JULIO!AL102</f>
        <v>0</v>
      </c>
      <c r="W102" s="17">
        <f>JUNIO!W102+JULIO!AM102</f>
        <v>5352587</v>
      </c>
      <c r="X102" s="20">
        <f t="shared" si="94"/>
        <v>5352587</v>
      </c>
      <c r="Y102" s="21">
        <f>JUNIO!AA102</f>
        <v>5352587</v>
      </c>
      <c r="Z102" s="457">
        <v>0</v>
      </c>
      <c r="AA102" s="20">
        <f t="shared" si="95"/>
        <v>5352587</v>
      </c>
      <c r="AB102" s="21">
        <f>JUNIO!AD102</f>
        <v>5352587</v>
      </c>
      <c r="AC102" s="457">
        <v>0</v>
      </c>
      <c r="AD102" s="20">
        <f t="shared" si="96"/>
        <v>5352587</v>
      </c>
      <c r="AE102" s="21">
        <f>JUNIO!AG102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+IF(JUNIO!A103=0,"",JUNIO!A103)</f>
        <v>11303-4</v>
      </c>
      <c r="B103" s="59" t="str">
        <f>+IF(JUNIO!B103=0,"",JUNIO!B103)</f>
        <v>CONVENIOS (EMPRESTITO)</v>
      </c>
      <c r="C103" s="574">
        <f>+ENERO!C103</f>
        <v>0</v>
      </c>
      <c r="D103" s="574">
        <f>JUNIO!D103+JULIO!P103</f>
        <v>0</v>
      </c>
      <c r="E103" s="574">
        <f>JUNIO!E103+JULIO!Q103</f>
        <v>0</v>
      </c>
      <c r="F103" s="575">
        <f t="shared" si="102"/>
        <v>0</v>
      </c>
      <c r="G103" s="576">
        <f>JUNIO!I103</f>
        <v>0</v>
      </c>
      <c r="H103" s="457">
        <v>0</v>
      </c>
      <c r="I103" s="575">
        <f t="shared" si="103"/>
        <v>0</v>
      </c>
      <c r="J103" s="576">
        <f>JUNIO!L103</f>
        <v>0</v>
      </c>
      <c r="K103" s="457">
        <v>0</v>
      </c>
      <c r="L103" s="575">
        <f t="shared" si="104"/>
        <v>0</v>
      </c>
      <c r="M103" s="576">
        <f t="shared" si="105"/>
        <v>0</v>
      </c>
      <c r="N103" s="575">
        <f t="shared" si="106"/>
        <v>0</v>
      </c>
      <c r="O103" s="562"/>
      <c r="P103" s="455">
        <v>0</v>
      </c>
      <c r="Q103" s="458">
        <v>0</v>
      </c>
      <c r="R103" s="10"/>
      <c r="S103" s="448" t="str">
        <f>+IF(JUNIO!S103=0,"",JUNIO!S103)</f>
        <v/>
      </c>
      <c r="T103" s="649" t="str">
        <f>+IF(JUNIO!T103=0,"",JUNIO!T103)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+IF(JUNIO!A104=0,"",JUNIO!A104)</f>
        <v>11303-5</v>
      </c>
      <c r="B104" s="59" t="str">
        <f>+IF(JUNIO!B104=0,"",JUNIO!B104)</f>
        <v>OTROS CONVENIOS</v>
      </c>
      <c r="C104" s="574">
        <f>+ENERO!C104</f>
        <v>0</v>
      </c>
      <c r="D104" s="574">
        <f>JUNIO!D104+JULIO!P104</f>
        <v>0</v>
      </c>
      <c r="E104" s="574">
        <f>JUNIO!E104+JULIO!Q104</f>
        <v>0</v>
      </c>
      <c r="F104" s="575">
        <f t="shared" si="102"/>
        <v>0</v>
      </c>
      <c r="G104" s="576">
        <f>JUNIO!I104</f>
        <v>0</v>
      </c>
      <c r="H104" s="457">
        <v>0</v>
      </c>
      <c r="I104" s="575">
        <f t="shared" si="103"/>
        <v>0</v>
      </c>
      <c r="J104" s="576">
        <f>JUNIO!L104</f>
        <v>0</v>
      </c>
      <c r="K104" s="457">
        <v>0</v>
      </c>
      <c r="L104" s="575">
        <f t="shared" si="104"/>
        <v>0</v>
      </c>
      <c r="M104" s="576">
        <f t="shared" si="105"/>
        <v>0</v>
      </c>
      <c r="N104" s="575">
        <f t="shared" si="106"/>
        <v>0</v>
      </c>
      <c r="O104" s="562"/>
      <c r="P104" s="455">
        <v>0</v>
      </c>
      <c r="Q104" s="458">
        <v>0</v>
      </c>
      <c r="R104" s="10"/>
      <c r="S104" s="34">
        <f>+IF(JUNIO!S104=0,"",JUNIO!S104)</f>
        <v>1020400</v>
      </c>
      <c r="T104" s="158" t="str">
        <f>+IF(JUNIO!T104=0,"",JUNIO!T104)</f>
        <v>Contribuciones Inherentes nómina del Sector Publico</v>
      </c>
      <c r="U104" s="157">
        <f t="shared" ref="U104:AJ104" si="107">U105+U108</f>
        <v>56393675</v>
      </c>
      <c r="V104" s="144">
        <f t="shared" si="107"/>
        <v>0</v>
      </c>
      <c r="W104" s="144">
        <f t="shared" si="107"/>
        <v>0</v>
      </c>
      <c r="X104" s="152">
        <f t="shared" si="107"/>
        <v>56393675</v>
      </c>
      <c r="Y104" s="151">
        <f t="shared" si="107"/>
        <v>23520300</v>
      </c>
      <c r="Z104" s="144">
        <f t="shared" si="107"/>
        <v>4074100</v>
      </c>
      <c r="AA104" s="152">
        <f t="shared" si="107"/>
        <v>27594400</v>
      </c>
      <c r="AB104" s="151">
        <f t="shared" si="107"/>
        <v>23520300</v>
      </c>
      <c r="AC104" s="144">
        <f t="shared" si="107"/>
        <v>4074100</v>
      </c>
      <c r="AD104" s="152">
        <f t="shared" si="107"/>
        <v>27594400</v>
      </c>
      <c r="AE104" s="151">
        <f t="shared" si="107"/>
        <v>19525800</v>
      </c>
      <c r="AF104" s="144">
        <f t="shared" si="107"/>
        <v>3994500</v>
      </c>
      <c r="AG104" s="152">
        <f t="shared" si="107"/>
        <v>23520300</v>
      </c>
      <c r="AH104" s="151">
        <f t="shared" si="107"/>
        <v>28799275</v>
      </c>
      <c r="AI104" s="144">
        <f t="shared" si="107"/>
        <v>28799275</v>
      </c>
      <c r="AJ104" s="153">
        <f t="shared" si="107"/>
        <v>32873375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+IF(JUNIO!A105=0,"",JUNIO!A105)</f>
        <v>11303-6</v>
      </c>
      <c r="B105" s="59" t="str">
        <f>+IF(JUNIO!B105=0,"",JUNIO!B105)</f>
        <v>APORTES PATRONALES MUNICIPIO / DEPARTAMENTO</v>
      </c>
      <c r="C105" s="574">
        <f>+ENERO!C105</f>
        <v>0</v>
      </c>
      <c r="D105" s="574">
        <f>JUNIO!D105+JULIO!P105</f>
        <v>227076373</v>
      </c>
      <c r="E105" s="574">
        <f>JUNIO!E105+JULIO!Q105</f>
        <v>25449068</v>
      </c>
      <c r="F105" s="575">
        <f t="shared" si="102"/>
        <v>252525441</v>
      </c>
      <c r="G105" s="576">
        <f>JUNIO!I105</f>
        <v>126262721</v>
      </c>
      <c r="H105" s="457">
        <v>21043769</v>
      </c>
      <c r="I105" s="575">
        <f t="shared" si="103"/>
        <v>147306490</v>
      </c>
      <c r="J105" s="576">
        <f>JUNIO!L105</f>
        <v>126262721</v>
      </c>
      <c r="K105" s="457">
        <v>21043769</v>
      </c>
      <c r="L105" s="575">
        <f t="shared" si="104"/>
        <v>147306490</v>
      </c>
      <c r="M105" s="576">
        <f t="shared" si="105"/>
        <v>105218951</v>
      </c>
      <c r="N105" s="575">
        <f t="shared" si="106"/>
        <v>105218951</v>
      </c>
      <c r="O105" s="562"/>
      <c r="P105" s="455">
        <v>0</v>
      </c>
      <c r="Q105" s="458">
        <v>0</v>
      </c>
      <c r="R105" s="10"/>
      <c r="S105" s="155">
        <f>+IF(JUNIO!S105=0,"",JUNIO!S105)</f>
        <v>1020402</v>
      </c>
      <c r="T105" s="159" t="str">
        <f>+IF(JUNIO!T105=0,"",JUNIO!T105)</f>
        <v>Contribuciones - Otros</v>
      </c>
      <c r="U105" s="29">
        <f t="shared" ref="U105:AJ105" si="108">SUM(U106:U107)</f>
        <v>56393675</v>
      </c>
      <c r="V105" s="17">
        <f t="shared" si="108"/>
        <v>0</v>
      </c>
      <c r="W105" s="17">
        <f t="shared" si="108"/>
        <v>0</v>
      </c>
      <c r="X105" s="20">
        <f t="shared" si="108"/>
        <v>56393675</v>
      </c>
      <c r="Y105" s="21">
        <f t="shared" si="108"/>
        <v>23520300</v>
      </c>
      <c r="Z105" s="169">
        <f t="shared" si="108"/>
        <v>4074100</v>
      </c>
      <c r="AA105" s="20">
        <f t="shared" si="108"/>
        <v>27594400</v>
      </c>
      <c r="AB105" s="21">
        <f t="shared" si="108"/>
        <v>23520300</v>
      </c>
      <c r="AC105" s="169">
        <f t="shared" si="108"/>
        <v>4074100</v>
      </c>
      <c r="AD105" s="20">
        <f t="shared" si="108"/>
        <v>27594400</v>
      </c>
      <c r="AE105" s="21">
        <f t="shared" si="108"/>
        <v>19525800</v>
      </c>
      <c r="AF105" s="169">
        <f t="shared" si="108"/>
        <v>3994500</v>
      </c>
      <c r="AG105" s="20">
        <f t="shared" si="108"/>
        <v>23520300</v>
      </c>
      <c r="AH105" s="21">
        <f t="shared" si="108"/>
        <v>28799275</v>
      </c>
      <c r="AI105" s="17">
        <f t="shared" si="108"/>
        <v>28799275</v>
      </c>
      <c r="AJ105" s="18">
        <f t="shared" si="108"/>
        <v>32873375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+IF(JUNIO!A106=0,"",JUNIO!A106)</f>
        <v>11303-5</v>
      </c>
      <c r="B106" s="578" t="str">
        <f>+IF(JUNIO!B106=0,"",JUNIO!B106)</f>
        <v>Vigencias Anteriores</v>
      </c>
      <c r="C106" s="564">
        <f>+ENERO!C106</f>
        <v>0</v>
      </c>
      <c r="D106" s="564">
        <f>JUNIO!D106+JULIO!P106</f>
        <v>0</v>
      </c>
      <c r="E106" s="564">
        <f>JUNIO!E106+JULIO!Q106</f>
        <v>0</v>
      </c>
      <c r="F106" s="565">
        <f t="shared" si="102"/>
        <v>0</v>
      </c>
      <c r="G106" s="566">
        <f>JUNIO!I106</f>
        <v>0</v>
      </c>
      <c r="H106" s="475">
        <v>0</v>
      </c>
      <c r="I106" s="565">
        <f t="shared" si="103"/>
        <v>0</v>
      </c>
      <c r="J106" s="566">
        <f>JUNIO!L106</f>
        <v>0</v>
      </c>
      <c r="K106" s="475">
        <v>0</v>
      </c>
      <c r="L106" s="565">
        <f t="shared" si="104"/>
        <v>0</v>
      </c>
      <c r="M106" s="566">
        <f t="shared" si="105"/>
        <v>0</v>
      </c>
      <c r="N106" s="565">
        <f t="shared" si="106"/>
        <v>0</v>
      </c>
      <c r="O106" s="562"/>
      <c r="P106" s="471">
        <v>0</v>
      </c>
      <c r="Q106" s="476">
        <v>0</v>
      </c>
      <c r="R106" s="10"/>
      <c r="S106" s="156" t="str">
        <f>+IF(JUNIO!S106=0,"",JUNIO!S106)</f>
        <v>1020402-1</v>
      </c>
      <c r="T106" s="159" t="str">
        <f>+IF(JUNIO!T106=0,"",JUNIO!T106)</f>
        <v>S.E.N.A.</v>
      </c>
      <c r="U106" s="29">
        <f>+ENERO!U106</f>
        <v>22557470</v>
      </c>
      <c r="V106" s="17">
        <f>JUNIO!V106+JULIO!AL106</f>
        <v>0</v>
      </c>
      <c r="W106" s="17">
        <f>JUNIO!W106+JULIO!AM106</f>
        <v>0</v>
      </c>
      <c r="X106" s="20">
        <f>SUM(U106:W106)</f>
        <v>22557470</v>
      </c>
      <c r="Y106" s="21">
        <f>JUNIO!AA106</f>
        <v>9449500</v>
      </c>
      <c r="Z106" s="457">
        <v>1629600</v>
      </c>
      <c r="AA106" s="20">
        <f>SUM(Y106:Z106)</f>
        <v>11079100</v>
      </c>
      <c r="AB106" s="21">
        <f>JUNIO!AD106</f>
        <v>9449500</v>
      </c>
      <c r="AC106" s="457">
        <v>1629600</v>
      </c>
      <c r="AD106" s="20">
        <f>SUM(AB106:AC106)</f>
        <v>11079100</v>
      </c>
      <c r="AE106" s="21">
        <f>JUNIO!AG106</f>
        <v>7851700</v>
      </c>
      <c r="AF106" s="457">
        <v>1597800</v>
      </c>
      <c r="AG106" s="20">
        <f>SUM(AE106:AF106)</f>
        <v>9449500</v>
      </c>
      <c r="AH106" s="21">
        <f>X106-AA106</f>
        <v>11478370</v>
      </c>
      <c r="AI106" s="17">
        <f>X106-AD106</f>
        <v>11478370</v>
      </c>
      <c r="AJ106" s="18">
        <f>X106-AG106</f>
        <v>13107970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+IF(JUNIO!S107=0,"",JUNIO!S107)</f>
        <v>1020402-2</v>
      </c>
      <c r="T107" s="159" t="str">
        <f>+IF(JUNIO!T107=0,"",JUNIO!T107)</f>
        <v>I.C.B.F.</v>
      </c>
      <c r="U107" s="29">
        <f>+ENERO!U107</f>
        <v>33836205</v>
      </c>
      <c r="V107" s="17">
        <f>JUNIO!V107+JULIO!AL107</f>
        <v>0</v>
      </c>
      <c r="W107" s="17">
        <f>JUNIO!W107+JULIO!AM107</f>
        <v>0</v>
      </c>
      <c r="X107" s="20">
        <f>SUM(U107:W107)</f>
        <v>33836205</v>
      </c>
      <c r="Y107" s="21">
        <f>JUNIO!AA107</f>
        <v>14070800</v>
      </c>
      <c r="Z107" s="457">
        <v>2444500</v>
      </c>
      <c r="AA107" s="20">
        <f>SUM(Y107:Z107)</f>
        <v>16515300</v>
      </c>
      <c r="AB107" s="21">
        <f>JUNIO!AD107</f>
        <v>14070800</v>
      </c>
      <c r="AC107" s="457">
        <v>2444500</v>
      </c>
      <c r="AD107" s="20">
        <f>SUM(AB107:AC107)</f>
        <v>16515300</v>
      </c>
      <c r="AE107" s="21">
        <f>JUNIO!AG107</f>
        <v>11674100</v>
      </c>
      <c r="AF107" s="457">
        <v>2396700</v>
      </c>
      <c r="AG107" s="20">
        <f>SUM(AE107:AF107)</f>
        <v>14070800</v>
      </c>
      <c r="AH107" s="21">
        <f>X107-AA107</f>
        <v>17320905</v>
      </c>
      <c r="AI107" s="17">
        <f>X107-AD107</f>
        <v>17320905</v>
      </c>
      <c r="AJ107" s="18">
        <f>X107-AG107</f>
        <v>19765405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+IF(JUNIO!A108=0,"",JUNIO!A108)</f>
        <v>2000</v>
      </c>
      <c r="B108" s="439" t="str">
        <f>+IF(JUNIO!B108=0,"",JUNIO!B108)</f>
        <v>INGRESOS DE CAPITAL</v>
      </c>
      <c r="C108" s="215">
        <f t="shared" ref="C108:N108" si="109">SUM(C109:C117)</f>
        <v>1452387</v>
      </c>
      <c r="D108" s="435">
        <f t="shared" si="109"/>
        <v>0</v>
      </c>
      <c r="E108" s="435">
        <f t="shared" si="109"/>
        <v>149110140</v>
      </c>
      <c r="F108" s="216">
        <f t="shared" si="109"/>
        <v>150562527</v>
      </c>
      <c r="G108" s="215">
        <f t="shared" si="109"/>
        <v>1982740</v>
      </c>
      <c r="H108" s="435">
        <f t="shared" si="109"/>
        <v>323883</v>
      </c>
      <c r="I108" s="216">
        <f t="shared" si="109"/>
        <v>2306623</v>
      </c>
      <c r="J108" s="215">
        <f t="shared" si="109"/>
        <v>1982740</v>
      </c>
      <c r="K108" s="435">
        <f t="shared" si="109"/>
        <v>323883</v>
      </c>
      <c r="L108" s="216">
        <f t="shared" si="109"/>
        <v>2306623</v>
      </c>
      <c r="M108" s="215">
        <f t="shared" si="109"/>
        <v>148255904</v>
      </c>
      <c r="N108" s="216">
        <f t="shared" si="109"/>
        <v>148255904</v>
      </c>
      <c r="O108" s="562"/>
      <c r="P108" s="215">
        <f>SUM(P109:P117)</f>
        <v>0</v>
      </c>
      <c r="Q108" s="216">
        <f>SUM(Q109:Q117)</f>
        <v>149110140</v>
      </c>
      <c r="R108" s="10"/>
      <c r="S108" s="155">
        <f>+IF(JUNIO!S108=0,"",JUNIO!S108)</f>
        <v>1020499</v>
      </c>
      <c r="T108" s="159" t="str">
        <f>+IF(JUNIO!T108=0,"",JUNIO!T108)</f>
        <v>Vigencias Anteriores</v>
      </c>
      <c r="U108" s="29">
        <f>+ENERO!U108</f>
        <v>0</v>
      </c>
      <c r="V108" s="17">
        <f>JUNIO!V108+JULIO!AL108</f>
        <v>0</v>
      </c>
      <c r="W108" s="17">
        <f>JUNIO!W108+JULIO!AM108</f>
        <v>0</v>
      </c>
      <c r="X108" s="20">
        <f>SUM(U108:W108)</f>
        <v>0</v>
      </c>
      <c r="Y108" s="21">
        <f>JUNIO!AA108</f>
        <v>0</v>
      </c>
      <c r="Z108" s="457">
        <v>0</v>
      </c>
      <c r="AA108" s="20">
        <f>SUM(Y108:Z108)</f>
        <v>0</v>
      </c>
      <c r="AB108" s="21">
        <f>JUNIO!AD108</f>
        <v>0</v>
      </c>
      <c r="AC108" s="457">
        <v>0</v>
      </c>
      <c r="AD108" s="20">
        <f>SUM(AB108:AC108)</f>
        <v>0</v>
      </c>
      <c r="AE108" s="21">
        <f>JUNIO!AG108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+IF(JUNIO!A109=0,"",JUNIO!A109)</f>
        <v>2100</v>
      </c>
      <c r="B109" s="56" t="str">
        <f>+IF(JUNIO!B109=0,"",JUNIO!B109)</f>
        <v>CREDITO INTERNO</v>
      </c>
      <c r="C109" s="576">
        <f>+ENERO!C109</f>
        <v>0</v>
      </c>
      <c r="D109" s="574">
        <f>JUNIO!D109+JULIO!P109</f>
        <v>0</v>
      </c>
      <c r="E109" s="574">
        <f>JUNIO!E109+JULIO!Q109</f>
        <v>0</v>
      </c>
      <c r="F109" s="575">
        <f t="shared" ref="F109:F116" si="110">SUM(C109:E109)</f>
        <v>0</v>
      </c>
      <c r="G109" s="576">
        <f>JUNIO!I109</f>
        <v>0</v>
      </c>
      <c r="H109" s="457">
        <v>0</v>
      </c>
      <c r="I109" s="575">
        <f t="shared" ref="I109:I116" si="111">SUM(G109:H109)</f>
        <v>0</v>
      </c>
      <c r="J109" s="576">
        <f>JUNIO!L109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+IF(JUNIO!S109=0,"",JUNIO!S109)</f>
        <v/>
      </c>
      <c r="T109" s="649" t="str">
        <f>+IF(JUNIO!T109=0,"",JUNIO!T109)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+IF(JUNIO!A110=0,"",JUNIO!A110)</f>
        <v>2100-1</v>
      </c>
      <c r="B110" s="563" t="s">
        <v>482</v>
      </c>
      <c r="C110" s="576">
        <f>+ENERO!C110</f>
        <v>0</v>
      </c>
      <c r="D110" s="574">
        <f>JUNIO!D110+JULIO!P110</f>
        <v>0</v>
      </c>
      <c r="E110" s="574">
        <f>JUNIO!E110+JULIO!Q110</f>
        <v>0</v>
      </c>
      <c r="F110" s="575">
        <f t="shared" si="110"/>
        <v>0</v>
      </c>
      <c r="G110" s="576">
        <f>JUNIO!I110</f>
        <v>0</v>
      </c>
      <c r="H110" s="457">
        <v>0</v>
      </c>
      <c r="I110" s="575">
        <f t="shared" si="111"/>
        <v>0</v>
      </c>
      <c r="J110" s="576">
        <f>JUNIO!L110</f>
        <v>0</v>
      </c>
      <c r="K110" s="457">
        <v>0</v>
      </c>
      <c r="L110" s="575">
        <f t="shared" si="112"/>
        <v>0</v>
      </c>
      <c r="M110" s="576">
        <f t="shared" si="113"/>
        <v>0</v>
      </c>
      <c r="N110" s="575">
        <f t="shared" si="114"/>
        <v>0</v>
      </c>
      <c r="O110" s="562"/>
      <c r="P110" s="455">
        <v>0</v>
      </c>
      <c r="Q110" s="458">
        <v>0</v>
      </c>
      <c r="R110" s="10"/>
      <c r="S110" s="469">
        <f>+IF(JUNIO!S110=0,"",JUNIO!S110)</f>
        <v>2000000</v>
      </c>
      <c r="T110" s="588" t="str">
        <f>+IF(JUNIO!T110=0,"",JUNIO!T110)</f>
        <v>GASTOS GENERALES</v>
      </c>
      <c r="U110" s="589">
        <f t="shared" ref="U110:AJ110" si="115">U112+U145</f>
        <v>576550123</v>
      </c>
      <c r="V110" s="590">
        <f t="shared" si="115"/>
        <v>-746499</v>
      </c>
      <c r="W110" s="590">
        <f t="shared" si="115"/>
        <v>84451005</v>
      </c>
      <c r="X110" s="591">
        <f t="shared" si="115"/>
        <v>660254629</v>
      </c>
      <c r="Y110" s="464">
        <f t="shared" si="115"/>
        <v>341171893</v>
      </c>
      <c r="Z110" s="590">
        <f t="shared" si="115"/>
        <v>70872314</v>
      </c>
      <c r="AA110" s="591">
        <f t="shared" si="115"/>
        <v>412044207</v>
      </c>
      <c r="AB110" s="464">
        <f t="shared" si="115"/>
        <v>341171891</v>
      </c>
      <c r="AC110" s="590">
        <f t="shared" si="115"/>
        <v>70872314</v>
      </c>
      <c r="AD110" s="591">
        <f t="shared" si="115"/>
        <v>412044205</v>
      </c>
      <c r="AE110" s="464">
        <f t="shared" si="115"/>
        <v>262314492</v>
      </c>
      <c r="AF110" s="590">
        <f t="shared" si="115"/>
        <v>68051079</v>
      </c>
      <c r="AG110" s="591">
        <f t="shared" si="115"/>
        <v>330365571</v>
      </c>
      <c r="AH110" s="464">
        <f t="shared" si="115"/>
        <v>248210422</v>
      </c>
      <c r="AI110" s="590">
        <f t="shared" si="115"/>
        <v>248210424</v>
      </c>
      <c r="AJ110" s="465">
        <f t="shared" si="115"/>
        <v>329889058</v>
      </c>
      <c r="AK110" s="12"/>
      <c r="AL110" s="151">
        <f>AL112+AL145</f>
        <v>0</v>
      </c>
      <c r="AM110" s="153">
        <f>AM112+AM145</f>
        <v>63700000</v>
      </c>
      <c r="AN110" s="10"/>
      <c r="AO110" s="365"/>
      <c r="AP110" s="365"/>
      <c r="AQ110" s="365"/>
      <c r="AR110" s="365"/>
      <c r="AS110" s="365"/>
      <c r="AT110" s="365"/>
      <c r="AU110" s="365"/>
      <c r="AV110" s="365"/>
      <c r="AW110" s="365"/>
      <c r="AX110" s="365"/>
      <c r="AY110" s="365"/>
      <c r="AZ110" s="365"/>
    </row>
    <row r="111" spans="1:70" s="467" customFormat="1" ht="15.75" x14ac:dyDescent="0.2">
      <c r="A111" s="47">
        <f>+IF(JUNIO!A111=0,"",JUNIO!A111)</f>
        <v>2200</v>
      </c>
      <c r="B111" s="56" t="str">
        <f>+IF(JUNIO!B111=0,"",JUNIO!B111)</f>
        <v>CREDITO EXTERNO</v>
      </c>
      <c r="C111" s="576">
        <f>+ENERO!C111</f>
        <v>0</v>
      </c>
      <c r="D111" s="574">
        <f>JUNIO!D111+JULIO!P111</f>
        <v>0</v>
      </c>
      <c r="E111" s="574">
        <f>JUNIO!E111+JULIO!Q111</f>
        <v>0</v>
      </c>
      <c r="F111" s="575">
        <f t="shared" si="110"/>
        <v>0</v>
      </c>
      <c r="G111" s="576">
        <f>JUNIO!I111</f>
        <v>0</v>
      </c>
      <c r="H111" s="457">
        <v>0</v>
      </c>
      <c r="I111" s="575">
        <f t="shared" si="111"/>
        <v>0</v>
      </c>
      <c r="J111" s="576">
        <f>JUNIO!L111</f>
        <v>0</v>
      </c>
      <c r="K111" s="457">
        <v>0</v>
      </c>
      <c r="L111" s="575">
        <f t="shared" si="112"/>
        <v>0</v>
      </c>
      <c r="M111" s="576">
        <f t="shared" si="113"/>
        <v>0</v>
      </c>
      <c r="N111" s="575">
        <f t="shared" si="114"/>
        <v>0</v>
      </c>
      <c r="O111" s="562"/>
      <c r="P111" s="455">
        <v>0</v>
      </c>
      <c r="Q111" s="458">
        <v>0</v>
      </c>
      <c r="R111" s="10"/>
      <c r="S111" s="448" t="str">
        <f>+IF(JUNIO!S111=0,"",JUNIO!S111)</f>
        <v/>
      </c>
      <c r="T111" s="649" t="str">
        <f>+IF(JUNIO!T111=0,"",JUNIO!T111)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+IF(JUNIO!A112=0,"",JUNIO!A112)</f>
        <v>2200-1</v>
      </c>
      <c r="B112" s="563" t="s">
        <v>482</v>
      </c>
      <c r="C112" s="576">
        <f>+ENERO!C112</f>
        <v>0</v>
      </c>
      <c r="D112" s="574">
        <f>JUNIO!D112+JULIO!P112</f>
        <v>0</v>
      </c>
      <c r="E112" s="574">
        <f>JUNIO!E112+JULIO!Q112</f>
        <v>0</v>
      </c>
      <c r="F112" s="575">
        <f t="shared" si="110"/>
        <v>0</v>
      </c>
      <c r="G112" s="576">
        <f>JUNIO!I112</f>
        <v>0</v>
      </c>
      <c r="H112" s="457">
        <v>0</v>
      </c>
      <c r="I112" s="575">
        <f t="shared" si="111"/>
        <v>0</v>
      </c>
      <c r="J112" s="576">
        <f>JUNIO!L112</f>
        <v>0</v>
      </c>
      <c r="K112" s="457">
        <v>0</v>
      </c>
      <c r="L112" s="575">
        <f t="shared" si="112"/>
        <v>0</v>
      </c>
      <c r="M112" s="576">
        <f t="shared" si="113"/>
        <v>0</v>
      </c>
      <c r="N112" s="575">
        <f t="shared" si="114"/>
        <v>0</v>
      </c>
      <c r="O112" s="562"/>
      <c r="P112" s="455">
        <v>0</v>
      </c>
      <c r="Q112" s="458">
        <v>0</v>
      </c>
      <c r="R112" s="10"/>
      <c r="S112" s="469">
        <f>+IF(JUNIO!S112=0,"",JUNIO!S112)</f>
        <v>2010000</v>
      </c>
      <c r="T112" s="470" t="str">
        <f>+IF(JUNIO!T112=0,"",JUNIO!T112)</f>
        <v>Gastos de Administración</v>
      </c>
      <c r="U112" s="157">
        <f t="shared" ref="U112:AJ112" si="116">U114+U123+U141</f>
        <v>198386660</v>
      </c>
      <c r="V112" s="144">
        <f t="shared" si="116"/>
        <v>0</v>
      </c>
      <c r="W112" s="144">
        <f t="shared" si="116"/>
        <v>6463473</v>
      </c>
      <c r="X112" s="152">
        <f t="shared" si="116"/>
        <v>204850133</v>
      </c>
      <c r="Y112" s="151">
        <f t="shared" si="116"/>
        <v>139366840</v>
      </c>
      <c r="Z112" s="144">
        <f t="shared" si="116"/>
        <v>11410695</v>
      </c>
      <c r="AA112" s="152">
        <f t="shared" si="116"/>
        <v>150777535</v>
      </c>
      <c r="AB112" s="151">
        <f t="shared" si="116"/>
        <v>139366838</v>
      </c>
      <c r="AC112" s="144">
        <f t="shared" si="116"/>
        <v>11410695</v>
      </c>
      <c r="AD112" s="152">
        <f t="shared" si="116"/>
        <v>150777533</v>
      </c>
      <c r="AE112" s="151">
        <f t="shared" si="116"/>
        <v>121282600</v>
      </c>
      <c r="AF112" s="144">
        <f t="shared" si="116"/>
        <v>20066964</v>
      </c>
      <c r="AG112" s="152">
        <f t="shared" si="116"/>
        <v>141349564</v>
      </c>
      <c r="AH112" s="151">
        <f t="shared" si="116"/>
        <v>54072598</v>
      </c>
      <c r="AI112" s="144">
        <f t="shared" si="116"/>
        <v>54072600</v>
      </c>
      <c r="AJ112" s="153">
        <f t="shared" si="116"/>
        <v>63500569</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+IF(JUNIO!A113=0,"",JUNIO!A113)</f>
        <v>2300</v>
      </c>
      <c r="B113" s="56" t="str">
        <f>+IF(JUNIO!B113=0,"",JUNIO!B113)</f>
        <v>RENDIMIENTOS FINANCIEROS</v>
      </c>
      <c r="C113" s="576">
        <f>+ENERO!C113</f>
        <v>305317</v>
      </c>
      <c r="D113" s="574">
        <f>JUNIO!D113+JULIO!P113</f>
        <v>0</v>
      </c>
      <c r="E113" s="574">
        <f>JUNIO!E113+JULIO!Q113</f>
        <v>0</v>
      </c>
      <c r="F113" s="575">
        <f t="shared" si="110"/>
        <v>305317</v>
      </c>
      <c r="G113" s="576">
        <f>JUNIO!I113</f>
        <v>225234</v>
      </c>
      <c r="H113" s="457">
        <v>7483</v>
      </c>
      <c r="I113" s="575">
        <f t="shared" si="111"/>
        <v>232717</v>
      </c>
      <c r="J113" s="576">
        <f>JUNIO!L113</f>
        <v>225234</v>
      </c>
      <c r="K113" s="457">
        <v>7483</v>
      </c>
      <c r="L113" s="575">
        <f t="shared" si="112"/>
        <v>232717</v>
      </c>
      <c r="M113" s="576">
        <f t="shared" si="113"/>
        <v>72600</v>
      </c>
      <c r="N113" s="575">
        <f t="shared" si="114"/>
        <v>72600</v>
      </c>
      <c r="O113" s="562"/>
      <c r="P113" s="455">
        <v>0</v>
      </c>
      <c r="Q113" s="458">
        <v>0</v>
      </c>
      <c r="R113" s="10"/>
      <c r="S113" s="448" t="str">
        <f>+IF(JUNIO!S113=0,"",JUNIO!S113)</f>
        <v/>
      </c>
      <c r="T113" s="649" t="str">
        <f>+IF(JUNIO!T113=0,"",JUNIO!T113)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+IF(JUNIO!A114=0,"",JUNIO!A114)</f>
        <v>2400</v>
      </c>
      <c r="B114" s="55" t="str">
        <f>+IF(JUNIO!B114=0,"",JUNIO!B114)</f>
        <v>VENTA DE ACTIVOS</v>
      </c>
      <c r="C114" s="283">
        <f>+ENERO!C114</f>
        <v>0</v>
      </c>
      <c r="D114" s="456">
        <f>JUNIO!D114+JULIO!P114</f>
        <v>0</v>
      </c>
      <c r="E114" s="456">
        <f>JUNIO!E114+JULIO!Q114</f>
        <v>0</v>
      </c>
      <c r="F114" s="170">
        <f t="shared" si="110"/>
        <v>0</v>
      </c>
      <c r="G114" s="283">
        <f>JUNIO!I114</f>
        <v>0</v>
      </c>
      <c r="H114" s="457">
        <v>0</v>
      </c>
      <c r="I114" s="170">
        <f t="shared" si="111"/>
        <v>0</v>
      </c>
      <c r="J114" s="283">
        <f>JUNIO!L114</f>
        <v>0</v>
      </c>
      <c r="K114" s="457">
        <v>0</v>
      </c>
      <c r="L114" s="170">
        <f t="shared" si="112"/>
        <v>0</v>
      </c>
      <c r="M114" s="283">
        <f t="shared" si="113"/>
        <v>0</v>
      </c>
      <c r="N114" s="170">
        <f t="shared" si="114"/>
        <v>0</v>
      </c>
      <c r="O114" s="562"/>
      <c r="P114" s="455">
        <v>0</v>
      </c>
      <c r="Q114" s="458">
        <v>0</v>
      </c>
      <c r="R114" s="10"/>
      <c r="S114" s="34">
        <f>+IF(JUNIO!S114=0,"",JUNIO!S114)</f>
        <v>2010100</v>
      </c>
      <c r="T114" s="158" t="str">
        <f>+IF(JUNIO!T114=0,"",JUNIO!T114)</f>
        <v>Adquisición de bienes</v>
      </c>
      <c r="U114" s="157">
        <f t="shared" ref="U114:AJ114" si="117">SUM(U115:U121)</f>
        <v>67419307</v>
      </c>
      <c r="V114" s="144">
        <f t="shared" si="117"/>
        <v>0</v>
      </c>
      <c r="W114" s="144">
        <f t="shared" si="117"/>
        <v>1397432</v>
      </c>
      <c r="X114" s="152">
        <f t="shared" si="117"/>
        <v>68816739</v>
      </c>
      <c r="Y114" s="151">
        <f t="shared" si="117"/>
        <v>63698576</v>
      </c>
      <c r="Z114" s="144">
        <f t="shared" si="117"/>
        <v>2715341</v>
      </c>
      <c r="AA114" s="152">
        <f t="shared" si="117"/>
        <v>66413917</v>
      </c>
      <c r="AB114" s="151">
        <f t="shared" si="117"/>
        <v>63698574</v>
      </c>
      <c r="AC114" s="144">
        <f t="shared" si="117"/>
        <v>2715341</v>
      </c>
      <c r="AD114" s="152">
        <f t="shared" si="117"/>
        <v>66413915</v>
      </c>
      <c r="AE114" s="151">
        <f t="shared" si="117"/>
        <v>57452252</v>
      </c>
      <c r="AF114" s="144">
        <f t="shared" si="117"/>
        <v>4187260</v>
      </c>
      <c r="AG114" s="152">
        <f t="shared" si="117"/>
        <v>61639512</v>
      </c>
      <c r="AH114" s="151">
        <f t="shared" si="117"/>
        <v>2402822</v>
      </c>
      <c r="AI114" s="144">
        <f t="shared" si="117"/>
        <v>2402824</v>
      </c>
      <c r="AJ114" s="153">
        <f t="shared" si="117"/>
        <v>7177227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+IF(JUNIO!A115=0,"",JUNIO!A115)</f>
        <v>2500</v>
      </c>
      <c r="B115" s="55" t="str">
        <f>+IF(JUNIO!B115=0,"",JUNIO!B115)</f>
        <v>DONACIONES</v>
      </c>
      <c r="C115" s="283">
        <f>+ENERO!C115</f>
        <v>0</v>
      </c>
      <c r="D115" s="456">
        <f>JUNIO!D115+JULIO!P115</f>
        <v>0</v>
      </c>
      <c r="E115" s="456">
        <f>JUNIO!E115+JULIO!Q115</f>
        <v>0</v>
      </c>
      <c r="F115" s="170">
        <f t="shared" si="110"/>
        <v>0</v>
      </c>
      <c r="G115" s="283">
        <f>JUNIO!I115</f>
        <v>0</v>
      </c>
      <c r="H115" s="457">
        <v>0</v>
      </c>
      <c r="I115" s="170">
        <f t="shared" si="111"/>
        <v>0</v>
      </c>
      <c r="J115" s="283">
        <f>JUNIO!L115</f>
        <v>0</v>
      </c>
      <c r="K115" s="457">
        <v>0</v>
      </c>
      <c r="L115" s="170">
        <f t="shared" si="112"/>
        <v>0</v>
      </c>
      <c r="M115" s="283">
        <f t="shared" si="113"/>
        <v>0</v>
      </c>
      <c r="N115" s="170">
        <f t="shared" si="114"/>
        <v>0</v>
      </c>
      <c r="P115" s="455">
        <v>0</v>
      </c>
      <c r="Q115" s="458">
        <v>0</v>
      </c>
      <c r="R115" s="10"/>
      <c r="S115" s="155" t="str">
        <f>+IF(JUNIO!S115=0,"",JUNIO!S115)</f>
        <v>2010100-1</v>
      </c>
      <c r="T115" s="159" t="str">
        <f>+IF(JUNIO!T115=0,"",JUNIO!T115)</f>
        <v>Compra de Equipos</v>
      </c>
      <c r="U115" s="29">
        <f>+ENERO!U115</f>
        <v>42018487</v>
      </c>
      <c r="V115" s="17">
        <f>JUNIO!V115+JULIO!AL115</f>
        <v>0</v>
      </c>
      <c r="W115" s="17">
        <f>JUNIO!W115+JULIO!AM115</f>
        <v>0</v>
      </c>
      <c r="X115" s="20">
        <f t="shared" ref="X115:X121" si="118">SUM(U115:W115)</f>
        <v>42018487</v>
      </c>
      <c r="Y115" s="21">
        <f>JUNIO!AA115</f>
        <v>41250742</v>
      </c>
      <c r="Z115" s="457">
        <v>0</v>
      </c>
      <c r="AA115" s="20">
        <f t="shared" ref="AA115:AA121" si="119">SUM(Y115:Z115)</f>
        <v>41250742</v>
      </c>
      <c r="AB115" s="21">
        <f>JUNIO!AD115</f>
        <v>41250742</v>
      </c>
      <c r="AC115" s="457">
        <v>0</v>
      </c>
      <c r="AD115" s="20">
        <f t="shared" ref="AD115:AD121" si="120">SUM(AB115:AC115)</f>
        <v>41250742</v>
      </c>
      <c r="AE115" s="21">
        <f>JUNIO!AG115</f>
        <v>40750742</v>
      </c>
      <c r="AF115" s="457">
        <v>500000</v>
      </c>
      <c r="AG115" s="20">
        <f t="shared" ref="AG115:AG121" si="121">SUM(AE115:AF115)</f>
        <v>41250742</v>
      </c>
      <c r="AH115" s="21">
        <f t="shared" ref="AH115:AH121" si="122">X115-AA115</f>
        <v>767745</v>
      </c>
      <c r="AI115" s="17">
        <f t="shared" ref="AI115:AI121" si="123">X115-AD115</f>
        <v>767745</v>
      </c>
      <c r="AJ115" s="18">
        <f t="shared" ref="AJ115:AJ121" si="124">X115-AG115</f>
        <v>767745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+IF(JUNIO!A116=0,"",JUNIO!A116)</f>
        <v>2600</v>
      </c>
      <c r="B116" s="55" t="str">
        <f>+IF(JUNIO!B116=0,"",JUNIO!B116)</f>
        <v>RECUPERACIÓN DE CARTERA (AÑO 2012 Y ANTERIORES)</v>
      </c>
      <c r="C116" s="283">
        <f>+ENERO!C116</f>
        <v>1147070</v>
      </c>
      <c r="D116" s="456">
        <f>JUNIO!D116+JULIO!P116</f>
        <v>0</v>
      </c>
      <c r="E116" s="456">
        <f>JUNIO!E116+JULIO!Q116</f>
        <v>0</v>
      </c>
      <c r="F116" s="170">
        <f t="shared" si="110"/>
        <v>1147070</v>
      </c>
      <c r="G116" s="283">
        <f>JUNIO!I116</f>
        <v>1757506</v>
      </c>
      <c r="H116" s="457">
        <v>316400</v>
      </c>
      <c r="I116" s="170">
        <f t="shared" si="111"/>
        <v>2073906</v>
      </c>
      <c r="J116" s="283">
        <f>JUNIO!L116</f>
        <v>1757506</v>
      </c>
      <c r="K116" s="457">
        <v>316400</v>
      </c>
      <c r="L116" s="170">
        <f t="shared" si="112"/>
        <v>2073906</v>
      </c>
      <c r="M116" s="283">
        <f t="shared" si="113"/>
        <v>-926836</v>
      </c>
      <c r="N116" s="170">
        <f t="shared" si="114"/>
        <v>-926836</v>
      </c>
      <c r="P116" s="455">
        <v>0</v>
      </c>
      <c r="Q116" s="458">
        <v>0</v>
      </c>
      <c r="R116" s="10"/>
      <c r="S116" s="155" t="str">
        <f>+IF(JUNIO!S116=0,"",JUNIO!S116)</f>
        <v>2010100-2</v>
      </c>
      <c r="T116" s="159" t="str">
        <f>+IF(JUNIO!T116=0,"",JUNIO!T116)</f>
        <v>Materiales</v>
      </c>
      <c r="U116" s="29">
        <f>+ENERO!U116</f>
        <v>23400820</v>
      </c>
      <c r="V116" s="17">
        <f>JUNIO!V116+JULIO!AL116</f>
        <v>0</v>
      </c>
      <c r="W116" s="17">
        <f>JUNIO!W116+JULIO!AM116</f>
        <v>0</v>
      </c>
      <c r="X116" s="20">
        <f t="shared" si="118"/>
        <v>23400820</v>
      </c>
      <c r="Y116" s="21">
        <f>JUNIO!AA116</f>
        <v>19051402</v>
      </c>
      <c r="Z116" s="457">
        <v>2715341</v>
      </c>
      <c r="AA116" s="20">
        <f t="shared" si="119"/>
        <v>21766743</v>
      </c>
      <c r="AB116" s="21">
        <f>JUNIO!AD116</f>
        <v>19051400</v>
      </c>
      <c r="AC116" s="457">
        <v>2715341</v>
      </c>
      <c r="AD116" s="20">
        <f t="shared" si="120"/>
        <v>21766741</v>
      </c>
      <c r="AE116" s="21">
        <f>JUNIO!AG116</f>
        <v>13305078</v>
      </c>
      <c r="AF116" s="457">
        <v>3687260</v>
      </c>
      <c r="AG116" s="20">
        <f t="shared" si="121"/>
        <v>16992338</v>
      </c>
      <c r="AH116" s="21">
        <f t="shared" si="122"/>
        <v>1634077</v>
      </c>
      <c r="AI116" s="17">
        <f t="shared" si="123"/>
        <v>1634079</v>
      </c>
      <c r="AJ116" s="18">
        <f t="shared" si="124"/>
        <v>6408482</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+IF(JUNIO!A117=0,"",JUNIO!A117)</f>
        <v>2700</v>
      </c>
      <c r="B117" s="55" t="str">
        <f>+IF(JUNIO!B117=0,"",JUNIO!B117)</f>
        <v>OTROS INGRESOS DE CAPITAL</v>
      </c>
      <c r="C117" s="283">
        <f>SUM(C118:C119)</f>
        <v>0</v>
      </c>
      <c r="D117" s="456">
        <f t="shared" ref="D117:N117" si="125">SUM(D118:D119)</f>
        <v>0</v>
      </c>
      <c r="E117" s="456">
        <f t="shared" si="125"/>
        <v>149110140</v>
      </c>
      <c r="F117" s="170">
        <f t="shared" si="125"/>
        <v>149110140</v>
      </c>
      <c r="G117" s="283">
        <f t="shared" si="125"/>
        <v>0</v>
      </c>
      <c r="H117" s="169">
        <f t="shared" si="125"/>
        <v>0</v>
      </c>
      <c r="I117" s="170">
        <f t="shared" si="125"/>
        <v>0</v>
      </c>
      <c r="J117" s="283">
        <f t="shared" si="125"/>
        <v>0</v>
      </c>
      <c r="K117" s="169">
        <f t="shared" si="125"/>
        <v>0</v>
      </c>
      <c r="L117" s="170">
        <f t="shared" si="125"/>
        <v>0</v>
      </c>
      <c r="M117" s="283">
        <f t="shared" si="125"/>
        <v>149110140</v>
      </c>
      <c r="N117" s="170">
        <f t="shared" si="125"/>
        <v>149110140</v>
      </c>
      <c r="P117" s="36">
        <f>SUM(P118:P119)</f>
        <v>0</v>
      </c>
      <c r="Q117" s="37">
        <f>SUM(Q118:Q119)</f>
        <v>149110140</v>
      </c>
      <c r="R117" s="10"/>
      <c r="S117" s="155" t="str">
        <f>+IF(JUNIO!S117=0,"",JUNIO!S117)</f>
        <v>2010100-3</v>
      </c>
      <c r="T117" s="159" t="str">
        <f>+IF(JUNIO!T117=0,"",JUNIO!T117)</f>
        <v>Salud Ocupacional</v>
      </c>
      <c r="U117" s="29">
        <f>+ENERO!U117</f>
        <v>0</v>
      </c>
      <c r="V117" s="17">
        <f>JUNIO!V117+JULIO!AL117</f>
        <v>0</v>
      </c>
      <c r="W117" s="17">
        <f>JUNIO!W117+JULIO!AM117</f>
        <v>0</v>
      </c>
      <c r="X117" s="20">
        <f t="shared" si="118"/>
        <v>0</v>
      </c>
      <c r="Y117" s="21">
        <f>JUNIO!AA117</f>
        <v>0</v>
      </c>
      <c r="Z117" s="457">
        <v>0</v>
      </c>
      <c r="AA117" s="20">
        <f t="shared" si="119"/>
        <v>0</v>
      </c>
      <c r="AB117" s="21">
        <f>JUNIO!AD117</f>
        <v>0</v>
      </c>
      <c r="AC117" s="457">
        <v>0</v>
      </c>
      <c r="AD117" s="20">
        <f t="shared" si="120"/>
        <v>0</v>
      </c>
      <c r="AE117" s="21">
        <f>JUNIO!AG117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+IF(JUNIO!A118=0,"",JUNIO!A118)</f>
        <v>2700-1</v>
      </c>
      <c r="B118" s="58" t="str">
        <f>+IF(JUNIO!B118=0,"",JUNIO!B118)</f>
        <v>Descuentos por pronto pago</v>
      </c>
      <c r="C118" s="283">
        <f>+ENERO!C118</f>
        <v>0</v>
      </c>
      <c r="D118" s="456">
        <f>JUNIO!D118+JULIO!P118</f>
        <v>0</v>
      </c>
      <c r="E118" s="456">
        <f>JUNIO!E118+JULIO!Q118</f>
        <v>149110140</v>
      </c>
      <c r="F118" s="170">
        <f>SUM(C118:E118)</f>
        <v>149110140</v>
      </c>
      <c r="G118" s="283">
        <f>JUNIO!I118</f>
        <v>0</v>
      </c>
      <c r="H118" s="457">
        <v>0</v>
      </c>
      <c r="I118" s="170">
        <f>SUM(G118:H118)</f>
        <v>0</v>
      </c>
      <c r="J118" s="283">
        <f>JUNIO!L118</f>
        <v>0</v>
      </c>
      <c r="K118" s="457">
        <v>0</v>
      </c>
      <c r="L118" s="170">
        <f>SUM(J118:K118)</f>
        <v>0</v>
      </c>
      <c r="M118" s="283">
        <f>F118-I118</f>
        <v>149110140</v>
      </c>
      <c r="N118" s="170">
        <f>F118-L118</f>
        <v>149110140</v>
      </c>
      <c r="P118" s="455">
        <v>0</v>
      </c>
      <c r="Q118" s="458">
        <v>149110140</v>
      </c>
      <c r="R118" s="10"/>
      <c r="S118" s="155" t="str">
        <f>+IF(JUNIO!S118=0,"",JUNIO!S118)</f>
        <v>2010100-4</v>
      </c>
      <c r="T118" s="159" t="str">
        <f>+IF(JUNIO!T118=0,"",JUNIO!T118)</f>
        <v/>
      </c>
      <c r="U118" s="29">
        <f>+ENERO!U118</f>
        <v>0</v>
      </c>
      <c r="V118" s="17">
        <f>JUNIO!V118+JULIO!AL118</f>
        <v>0</v>
      </c>
      <c r="W118" s="17">
        <f>JUNIO!W118+JULIO!AM118</f>
        <v>0</v>
      </c>
      <c r="X118" s="20">
        <f t="shared" si="118"/>
        <v>0</v>
      </c>
      <c r="Y118" s="21">
        <f>JUNIO!AA118</f>
        <v>0</v>
      </c>
      <c r="Z118" s="457">
        <v>0</v>
      </c>
      <c r="AA118" s="20">
        <f t="shared" si="119"/>
        <v>0</v>
      </c>
      <c r="AB118" s="21">
        <f>JUNIO!AD118</f>
        <v>0</v>
      </c>
      <c r="AC118" s="457">
        <v>0</v>
      </c>
      <c r="AD118" s="20">
        <f t="shared" si="120"/>
        <v>0</v>
      </c>
      <c r="AE118" s="21">
        <f>JUNIO!AG118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+IF(JUNIO!A119=0,"",JUNIO!A119)</f>
        <v>2700-2</v>
      </c>
      <c r="B119" s="219" t="str">
        <f>+IF(JUNIO!B119=0,"",JUNIO!B119)</f>
        <v>Otros</v>
      </c>
      <c r="C119" s="474">
        <f>+ENERO!C119</f>
        <v>0</v>
      </c>
      <c r="D119" s="472">
        <f>JUNIO!D119+JULIO!P119</f>
        <v>0</v>
      </c>
      <c r="E119" s="472">
        <f>JUNIO!E119+JULIO!Q119</f>
        <v>0</v>
      </c>
      <c r="F119" s="473">
        <f>SUM(C119:E119)</f>
        <v>0</v>
      </c>
      <c r="G119" s="474">
        <f>JUNIO!I119</f>
        <v>0</v>
      </c>
      <c r="H119" s="475">
        <v>0</v>
      </c>
      <c r="I119" s="473">
        <f>SUM(G119:H119)</f>
        <v>0</v>
      </c>
      <c r="J119" s="474">
        <f>JUNIO!L119</f>
        <v>0</v>
      </c>
      <c r="K119" s="475">
        <v>0</v>
      </c>
      <c r="L119" s="473">
        <f>SUM(J119:K119)</f>
        <v>0</v>
      </c>
      <c r="M119" s="474">
        <f>F119-I119</f>
        <v>0</v>
      </c>
      <c r="N119" s="473">
        <f>F119-L119</f>
        <v>0</v>
      </c>
      <c r="P119" s="471">
        <v>0</v>
      </c>
      <c r="Q119" s="476">
        <v>0</v>
      </c>
      <c r="R119" s="10"/>
      <c r="S119" s="155" t="str">
        <f>+IF(JUNIO!S119=0,"",JUNIO!S119)</f>
        <v>2010100-5</v>
      </c>
      <c r="T119" s="159" t="str">
        <f>+IF(JUNIO!T119=0,"",JUNIO!T119)</f>
        <v/>
      </c>
      <c r="U119" s="29">
        <f>+ENERO!U119</f>
        <v>0</v>
      </c>
      <c r="V119" s="17">
        <f>JUNIO!V119+JULIO!AL119</f>
        <v>0</v>
      </c>
      <c r="W119" s="17">
        <f>JUNIO!W119+JULIO!AM119</f>
        <v>0</v>
      </c>
      <c r="X119" s="20">
        <f t="shared" si="118"/>
        <v>0</v>
      </c>
      <c r="Y119" s="21">
        <f>JUNIO!AA119</f>
        <v>0</v>
      </c>
      <c r="Z119" s="457">
        <v>0</v>
      </c>
      <c r="AA119" s="20">
        <f t="shared" si="119"/>
        <v>0</v>
      </c>
      <c r="AB119" s="21">
        <f>JUNIO!AD119</f>
        <v>0</v>
      </c>
      <c r="AC119" s="457">
        <v>0</v>
      </c>
      <c r="AD119" s="20">
        <f t="shared" si="120"/>
        <v>0</v>
      </c>
      <c r="AE119" s="21">
        <f>JUNIO!AG119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+IF(JUNIO!S120=0,"",JUNIO!S120)</f>
        <v>2010100-6</v>
      </c>
      <c r="T120" s="159" t="str">
        <f>+IF(JUNIO!T120=0,"",JUNIO!T120)</f>
        <v/>
      </c>
      <c r="U120" s="29">
        <f>+ENERO!U120</f>
        <v>0</v>
      </c>
      <c r="V120" s="17">
        <f>JUNIO!V120+JULIO!AL120</f>
        <v>0</v>
      </c>
      <c r="W120" s="17">
        <f>JUNIO!W120+JULIO!AM120</f>
        <v>0</v>
      </c>
      <c r="X120" s="20">
        <f t="shared" si="118"/>
        <v>0</v>
      </c>
      <c r="Y120" s="21">
        <f>JUNIO!AA120</f>
        <v>0</v>
      </c>
      <c r="Z120" s="457">
        <v>0</v>
      </c>
      <c r="AA120" s="20">
        <f t="shared" si="119"/>
        <v>0</v>
      </c>
      <c r="AB120" s="21">
        <f>JUNIO!AD120</f>
        <v>0</v>
      </c>
      <c r="AC120" s="457">
        <v>0</v>
      </c>
      <c r="AD120" s="20">
        <f t="shared" si="120"/>
        <v>0</v>
      </c>
      <c r="AE120" s="21">
        <f>JUNIO!AG120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+IF(JUNIO!A121=0,"",JUNIO!A121)</f>
        <v>TOTAL INGRESOS DIFERENTES A CUENTAS POR COBRAR</v>
      </c>
      <c r="B121" s="682"/>
      <c r="C121" s="605">
        <f t="shared" ref="C121:N121" si="126">C8-C123</f>
        <v>3465783837</v>
      </c>
      <c r="D121" s="603">
        <f t="shared" si="126"/>
        <v>0</v>
      </c>
      <c r="E121" s="603">
        <f t="shared" si="126"/>
        <v>207633323</v>
      </c>
      <c r="F121" s="604">
        <f t="shared" si="126"/>
        <v>3673417160</v>
      </c>
      <c r="G121" s="602">
        <f t="shared" si="126"/>
        <v>1852391309</v>
      </c>
      <c r="H121" s="603">
        <f t="shared" si="126"/>
        <v>282299521</v>
      </c>
      <c r="I121" s="604">
        <f t="shared" si="126"/>
        <v>2134690830</v>
      </c>
      <c r="J121" s="602">
        <f t="shared" si="126"/>
        <v>1472287923</v>
      </c>
      <c r="K121" s="603">
        <f t="shared" si="126"/>
        <v>250059879</v>
      </c>
      <c r="L121" s="604">
        <f t="shared" si="126"/>
        <v>1722347802</v>
      </c>
      <c r="M121" s="602">
        <f t="shared" si="126"/>
        <v>1538726330</v>
      </c>
      <c r="N121" s="604">
        <f t="shared" si="126"/>
        <v>1951069358</v>
      </c>
      <c r="P121" s="605">
        <f>P8-P123</f>
        <v>0</v>
      </c>
      <c r="Q121" s="606">
        <f>Q8-Q123</f>
        <v>149110140</v>
      </c>
      <c r="R121" s="10"/>
      <c r="S121" s="155">
        <f>+IF(JUNIO!S121=0,"",JUNIO!S121)</f>
        <v>2010199</v>
      </c>
      <c r="T121" s="159" t="str">
        <f>+IF(JUNIO!T121=0,"",JUNIO!T121)</f>
        <v>Vigencias Anteriores</v>
      </c>
      <c r="U121" s="29">
        <f>+ENERO!U121</f>
        <v>2000000</v>
      </c>
      <c r="V121" s="17">
        <f>JUNIO!V121+JULIO!AL121</f>
        <v>0</v>
      </c>
      <c r="W121" s="17">
        <f>JUNIO!W121+JULIO!AM121</f>
        <v>1397432</v>
      </c>
      <c r="X121" s="20">
        <f t="shared" si="118"/>
        <v>3397432</v>
      </c>
      <c r="Y121" s="21">
        <f>JUNIO!AA121</f>
        <v>3396432</v>
      </c>
      <c r="Z121" s="457">
        <v>0</v>
      </c>
      <c r="AA121" s="20">
        <f t="shared" si="119"/>
        <v>3396432</v>
      </c>
      <c r="AB121" s="21">
        <f>JUNIO!AD121</f>
        <v>3396432</v>
      </c>
      <c r="AC121" s="457">
        <v>0</v>
      </c>
      <c r="AD121" s="20">
        <f t="shared" si="120"/>
        <v>3396432</v>
      </c>
      <c r="AE121" s="21">
        <f>JUNIO!AG121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+IF(JUNIO!S122=0,"",JUNIO!S122)</f>
        <v/>
      </c>
      <c r="T122" s="649" t="str">
        <f>+IF(JUNIO!T122=0,"",JUNIO!T122)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+IF(JUNIO!A123=0,"",JUNIO!A123)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308740980</v>
      </c>
      <c r="H123" s="685">
        <f>SUMIF($B8:$B$117,$B$24,H8:H117)+H116</f>
        <v>36849405</v>
      </c>
      <c r="I123" s="686">
        <f>SUMIF($B8:$B$117,$B$24,I8:I117)+I116</f>
        <v>345590385</v>
      </c>
      <c r="J123" s="687">
        <f>SUMIF($B8:$B$117,$B$24,J8:J117)+J116</f>
        <v>308740980</v>
      </c>
      <c r="K123" s="685">
        <f>SUMIF($B8:$B$117,$B$24,K8:K117)+K116</f>
        <v>36849405</v>
      </c>
      <c r="L123" s="686">
        <f>SUMIF($B8:$B$117,$B$24,L8:L117)+L116</f>
        <v>345590385</v>
      </c>
      <c r="M123" s="687">
        <f>SUMIF($B8:$B$117,$B$24,M8:M117)+M116</f>
        <v>-179873210</v>
      </c>
      <c r="N123" s="686">
        <f>SUMIF($B8:$B$117,$B$24,N8:N117)+N116</f>
        <v>-179873210</v>
      </c>
      <c r="P123" s="687">
        <f>SUMIF($B8:$B$117,$B$24,P8:P117)+P116</f>
        <v>0</v>
      </c>
      <c r="Q123" s="686">
        <f>SUMIF($B8:$B$117,$B$24,Q8:Q117)+Q116</f>
        <v>0</v>
      </c>
      <c r="R123" s="10"/>
      <c r="S123" s="34">
        <f>+IF(JUNIO!S123=0,"",JUNIO!S123)</f>
        <v>2010200</v>
      </c>
      <c r="T123" s="158" t="str">
        <f>+IF(JUNIO!T123=0,"",JUNIO!T123)</f>
        <v>Adquisición de Servicios</v>
      </c>
      <c r="U123" s="157">
        <f t="shared" ref="U123:AJ123" si="127">SUM(U124:U139)</f>
        <v>130967353</v>
      </c>
      <c r="V123" s="144">
        <f t="shared" si="127"/>
        <v>0</v>
      </c>
      <c r="W123" s="144">
        <f t="shared" si="127"/>
        <v>4066041</v>
      </c>
      <c r="X123" s="152">
        <f t="shared" si="127"/>
        <v>135033394</v>
      </c>
      <c r="Y123" s="151">
        <f t="shared" si="127"/>
        <v>75668264</v>
      </c>
      <c r="Z123" s="144">
        <f t="shared" si="127"/>
        <v>8695354</v>
      </c>
      <c r="AA123" s="152">
        <f t="shared" si="127"/>
        <v>84363618</v>
      </c>
      <c r="AB123" s="151">
        <f t="shared" si="127"/>
        <v>75668264</v>
      </c>
      <c r="AC123" s="144">
        <f t="shared" si="127"/>
        <v>8695354</v>
      </c>
      <c r="AD123" s="152">
        <f t="shared" si="127"/>
        <v>84363618</v>
      </c>
      <c r="AE123" s="151">
        <f t="shared" si="127"/>
        <v>63830348</v>
      </c>
      <c r="AF123" s="144">
        <f t="shared" si="127"/>
        <v>15879704</v>
      </c>
      <c r="AG123" s="152">
        <f t="shared" si="127"/>
        <v>79710052</v>
      </c>
      <c r="AH123" s="151">
        <f t="shared" si="127"/>
        <v>50669776</v>
      </c>
      <c r="AI123" s="144">
        <f t="shared" si="127"/>
        <v>50669776</v>
      </c>
      <c r="AJ123" s="153">
        <f t="shared" si="127"/>
        <v>55323342</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+IF(JUNIO!S124=0,"",JUNIO!S124)</f>
        <v>2010200-1</v>
      </c>
      <c r="T124" s="159" t="str">
        <f>+IF(JUNIO!T124=0,"",JUNIO!T124)</f>
        <v>Seguros</v>
      </c>
      <c r="U124" s="29">
        <f>+ENERO!U124</f>
        <v>42767476</v>
      </c>
      <c r="V124" s="17">
        <f>JUNIO!V124+JULIO!AL124</f>
        <v>0</v>
      </c>
      <c r="W124" s="17">
        <f>JUNIO!W124+JULIO!AM124</f>
        <v>0</v>
      </c>
      <c r="X124" s="20">
        <f t="shared" ref="X124:X139" si="128">SUM(U124:W124)</f>
        <v>42767476</v>
      </c>
      <c r="Y124" s="21">
        <f>JUNIO!AA124</f>
        <v>34157109</v>
      </c>
      <c r="Z124" s="457">
        <v>342800</v>
      </c>
      <c r="AA124" s="20">
        <f t="shared" ref="AA124:AA139" si="129">SUM(Y124:Z124)</f>
        <v>34499909</v>
      </c>
      <c r="AB124" s="21">
        <f>JUNIO!AD124</f>
        <v>34157109</v>
      </c>
      <c r="AC124" s="457">
        <v>342800</v>
      </c>
      <c r="AD124" s="20">
        <f t="shared" ref="AD124:AD139" si="130">SUM(AB124:AC124)</f>
        <v>34499909</v>
      </c>
      <c r="AE124" s="21">
        <f>JUNIO!AG124</f>
        <v>28525109</v>
      </c>
      <c r="AF124" s="457">
        <v>5632000</v>
      </c>
      <c r="AG124" s="20">
        <f t="shared" ref="AG124:AG139" si="131">SUM(AE124:AF124)</f>
        <v>34157109</v>
      </c>
      <c r="AH124" s="21">
        <f t="shared" ref="AH124:AH139" si="132">X124-AA124</f>
        <v>8267567</v>
      </c>
      <c r="AI124" s="17">
        <f t="shared" ref="AI124:AI139" si="133">X124-AD124</f>
        <v>8267567</v>
      </c>
      <c r="AJ124" s="18">
        <f t="shared" ref="AJ124:AJ139" si="134">X124-AG124</f>
        <v>8610367</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+IF(JUNIO!A125=0,"",JUNIO!A125)</f>
        <v xml:space="preserve">TOTAL PRESUPUESTO DE INGRESOS </v>
      </c>
      <c r="B125" s="619"/>
      <c r="C125" s="605">
        <f t="shared" ref="C125:N125" si="135">C123+C121</f>
        <v>3631501012</v>
      </c>
      <c r="D125" s="621">
        <f t="shared" si="135"/>
        <v>0</v>
      </c>
      <c r="E125" s="621">
        <f t="shared" si="135"/>
        <v>207633323</v>
      </c>
      <c r="F125" s="622">
        <f t="shared" si="135"/>
        <v>3839134335</v>
      </c>
      <c r="G125" s="620">
        <f t="shared" si="135"/>
        <v>2161132289</v>
      </c>
      <c r="H125" s="621">
        <f t="shared" si="135"/>
        <v>319148926</v>
      </c>
      <c r="I125" s="622">
        <f t="shared" si="135"/>
        <v>2480281215</v>
      </c>
      <c r="J125" s="620">
        <f t="shared" si="135"/>
        <v>1781028903</v>
      </c>
      <c r="K125" s="621">
        <f t="shared" si="135"/>
        <v>286909284</v>
      </c>
      <c r="L125" s="622">
        <f t="shared" si="135"/>
        <v>2067938187</v>
      </c>
      <c r="M125" s="620">
        <f t="shared" si="135"/>
        <v>1358853120</v>
      </c>
      <c r="N125" s="622">
        <f t="shared" si="135"/>
        <v>1771196148</v>
      </c>
      <c r="P125" s="605">
        <f>P123+P121</f>
        <v>0</v>
      </c>
      <c r="Q125" s="606">
        <f>Q123+Q121</f>
        <v>149110140</v>
      </c>
      <c r="R125" s="10"/>
      <c r="S125" s="155" t="str">
        <f>+IF(JUNIO!S125=0,"",JUNIO!S125)</f>
        <v>2010200-2</v>
      </c>
      <c r="T125" s="159" t="str">
        <f>+IF(JUNIO!T125=0,"",JUNIO!T125)</f>
        <v>Impresos y Publicaciones</v>
      </c>
      <c r="U125" s="29">
        <f>+ENERO!U125</f>
        <v>10257367</v>
      </c>
      <c r="V125" s="17">
        <f>JUNIO!V125+JULIO!AL125</f>
        <v>0</v>
      </c>
      <c r="W125" s="17">
        <f>JUNIO!W125+JULIO!AM125</f>
        <v>0</v>
      </c>
      <c r="X125" s="20">
        <f t="shared" si="128"/>
        <v>10257367</v>
      </c>
      <c r="Y125" s="21">
        <f>JUNIO!AA125</f>
        <v>3134188</v>
      </c>
      <c r="Z125" s="457">
        <v>866820</v>
      </c>
      <c r="AA125" s="20">
        <f t="shared" si="129"/>
        <v>4001008</v>
      </c>
      <c r="AB125" s="21">
        <f>JUNIO!AD125</f>
        <v>3134188</v>
      </c>
      <c r="AC125" s="457">
        <v>866820</v>
      </c>
      <c r="AD125" s="20">
        <f t="shared" si="130"/>
        <v>4001008</v>
      </c>
      <c r="AE125" s="21">
        <f>JUNIO!AG125</f>
        <v>1158550</v>
      </c>
      <c r="AF125" s="457">
        <v>807618</v>
      </c>
      <c r="AG125" s="20">
        <f t="shared" si="131"/>
        <v>1966168</v>
      </c>
      <c r="AH125" s="21">
        <f t="shared" si="132"/>
        <v>6256359</v>
      </c>
      <c r="AI125" s="17">
        <f t="shared" si="133"/>
        <v>6256359</v>
      </c>
      <c r="AJ125" s="18">
        <f t="shared" si="134"/>
        <v>8291199</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+IF(JUNIO!S126=0,"",JUNIO!S126)</f>
        <v>2010200-3</v>
      </c>
      <c r="T126" s="159" t="str">
        <f>+IF(JUNIO!T126=0,"",JUNIO!T126)</f>
        <v xml:space="preserve">Servicios Públicos </v>
      </c>
      <c r="U126" s="29">
        <f>+ENERO!U126</f>
        <v>49280460</v>
      </c>
      <c r="V126" s="17">
        <f>JUNIO!V126+JULIO!AL126</f>
        <v>0</v>
      </c>
      <c r="W126" s="17">
        <f>JUNIO!W126+JULIO!AM126</f>
        <v>0</v>
      </c>
      <c r="X126" s="20">
        <f t="shared" si="128"/>
        <v>49280460</v>
      </c>
      <c r="Y126" s="21">
        <f>JUNIO!AA126</f>
        <v>26654129</v>
      </c>
      <c r="Z126" s="457">
        <v>4709544</v>
      </c>
      <c r="AA126" s="20">
        <f t="shared" si="129"/>
        <v>31363673</v>
      </c>
      <c r="AB126" s="21">
        <f>JUNIO!AD126</f>
        <v>26654129</v>
      </c>
      <c r="AC126" s="457">
        <v>4709544</v>
      </c>
      <c r="AD126" s="20">
        <f t="shared" si="130"/>
        <v>31363673</v>
      </c>
      <c r="AE126" s="21">
        <f>JUNIO!AG126</f>
        <v>24125895</v>
      </c>
      <c r="AF126" s="457">
        <v>6217388</v>
      </c>
      <c r="AG126" s="20">
        <f t="shared" si="131"/>
        <v>30343283</v>
      </c>
      <c r="AH126" s="21">
        <f t="shared" si="132"/>
        <v>17916787</v>
      </c>
      <c r="AI126" s="17">
        <f t="shared" si="133"/>
        <v>17916787</v>
      </c>
      <c r="AJ126" s="18">
        <f t="shared" si="134"/>
        <v>18937177</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+IF(JUNIO!S127=0,"",JUNIO!S127)</f>
        <v>2010200-4</v>
      </c>
      <c r="T127" s="159" t="str">
        <f>+IF(JUNIO!T127=0,"",JUNIO!T127)</f>
        <v>Comunicaciones y Transportes</v>
      </c>
      <c r="U127" s="29">
        <f>+ENERO!U127</f>
        <v>8570980</v>
      </c>
      <c r="V127" s="17">
        <f>JUNIO!V127+JULIO!AL127</f>
        <v>0</v>
      </c>
      <c r="W127" s="17">
        <f>JUNIO!W127+JULIO!AM127</f>
        <v>0</v>
      </c>
      <c r="X127" s="20">
        <f t="shared" si="128"/>
        <v>8570980</v>
      </c>
      <c r="Y127" s="21">
        <f>JUNIO!AA127</f>
        <v>1374608</v>
      </c>
      <c r="Z127" s="457">
        <v>973000</v>
      </c>
      <c r="AA127" s="20">
        <f t="shared" si="129"/>
        <v>2347608</v>
      </c>
      <c r="AB127" s="21">
        <f>JUNIO!AD127</f>
        <v>1374608</v>
      </c>
      <c r="AC127" s="457">
        <v>973000</v>
      </c>
      <c r="AD127" s="20">
        <f t="shared" si="130"/>
        <v>2347608</v>
      </c>
      <c r="AE127" s="21">
        <f>JUNIO!AG127</f>
        <v>679608</v>
      </c>
      <c r="AF127" s="457">
        <v>973000</v>
      </c>
      <c r="AG127" s="20">
        <f t="shared" si="131"/>
        <v>1652608</v>
      </c>
      <c r="AH127" s="21">
        <f t="shared" si="132"/>
        <v>6223372</v>
      </c>
      <c r="AI127" s="17">
        <f t="shared" si="133"/>
        <v>6223372</v>
      </c>
      <c r="AJ127" s="18">
        <f t="shared" si="134"/>
        <v>6918372</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+IF(JUNIO!S128=0,"",JUNIO!S128)</f>
        <v>2010200-5</v>
      </c>
      <c r="T128" s="159" t="str">
        <f>+IF(JUNIO!T128=0,"",JUNIO!T128)</f>
        <v>Viáticos y Gastos de Viaje</v>
      </c>
      <c r="U128" s="29">
        <f>+ENERO!U128</f>
        <v>4306574</v>
      </c>
      <c r="V128" s="17">
        <f>JUNIO!V128+JULIO!AL128</f>
        <v>0</v>
      </c>
      <c r="W128" s="17">
        <f>JUNIO!W128+JULIO!AM128</f>
        <v>0</v>
      </c>
      <c r="X128" s="20">
        <f t="shared" si="128"/>
        <v>4306574</v>
      </c>
      <c r="Y128" s="21">
        <f>JUNIO!AA128</f>
        <v>585200</v>
      </c>
      <c r="Z128" s="457">
        <v>27720</v>
      </c>
      <c r="AA128" s="20">
        <f t="shared" si="129"/>
        <v>612920</v>
      </c>
      <c r="AB128" s="21">
        <f>JUNIO!AD128</f>
        <v>585200</v>
      </c>
      <c r="AC128" s="457">
        <v>27720</v>
      </c>
      <c r="AD128" s="20">
        <f t="shared" si="130"/>
        <v>612920</v>
      </c>
      <c r="AE128" s="21">
        <f>JUNIO!AG128</f>
        <v>585200</v>
      </c>
      <c r="AF128" s="457">
        <v>27720</v>
      </c>
      <c r="AG128" s="20">
        <f t="shared" si="131"/>
        <v>612920</v>
      </c>
      <c r="AH128" s="21">
        <f t="shared" si="132"/>
        <v>3693654</v>
      </c>
      <c r="AI128" s="17">
        <f t="shared" si="133"/>
        <v>3693654</v>
      </c>
      <c r="AJ128" s="18">
        <f t="shared" si="134"/>
        <v>3693654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+IF(JUNIO!S129=0,"",JUNIO!S129)</f>
        <v>2010200-6</v>
      </c>
      <c r="T129" s="159" t="str">
        <f>+IF(JUNIO!T129=0,"",JUNIO!T129)</f>
        <v>Arrendamientos</v>
      </c>
      <c r="U129" s="29">
        <f>+ENERO!U129</f>
        <v>0</v>
      </c>
      <c r="V129" s="17">
        <f>JUNIO!V129+JULIO!AL129</f>
        <v>0</v>
      </c>
      <c r="W129" s="17">
        <f>JUNIO!W129+JULIO!AM129</f>
        <v>0</v>
      </c>
      <c r="X129" s="20">
        <f t="shared" si="128"/>
        <v>0</v>
      </c>
      <c r="Y129" s="21">
        <f>JUNIO!AA129</f>
        <v>0</v>
      </c>
      <c r="Z129" s="457">
        <v>0</v>
      </c>
      <c r="AA129" s="20">
        <f t="shared" si="129"/>
        <v>0</v>
      </c>
      <c r="AB129" s="21">
        <f>JUNIO!AD129</f>
        <v>0</v>
      </c>
      <c r="AC129" s="457">
        <v>0</v>
      </c>
      <c r="AD129" s="20">
        <f t="shared" si="130"/>
        <v>0</v>
      </c>
      <c r="AE129" s="21">
        <f>JUNIO!AG129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+IF(JUNIO!S130=0,"",JUNIO!S130)</f>
        <v>2010200-7</v>
      </c>
      <c r="T130" s="159" t="str">
        <f>+IF(JUNIO!T130=0,"",JUNIO!T130)</f>
        <v>Vigilancia y Aseo</v>
      </c>
      <c r="U130" s="29">
        <f>+ENERO!U130</f>
        <v>0</v>
      </c>
      <c r="V130" s="17">
        <f>JUNIO!V130+JULIO!AL130</f>
        <v>0</v>
      </c>
      <c r="W130" s="17">
        <f>JUNIO!W130+JULIO!AM130</f>
        <v>0</v>
      </c>
      <c r="X130" s="20">
        <f t="shared" si="128"/>
        <v>0</v>
      </c>
      <c r="Y130" s="21">
        <f>JUNIO!AA130</f>
        <v>0</v>
      </c>
      <c r="Z130" s="457">
        <v>0</v>
      </c>
      <c r="AA130" s="20">
        <f t="shared" si="129"/>
        <v>0</v>
      </c>
      <c r="AB130" s="21">
        <f>JUNIO!AD130</f>
        <v>0</v>
      </c>
      <c r="AC130" s="457">
        <v>0</v>
      </c>
      <c r="AD130" s="20">
        <f t="shared" si="130"/>
        <v>0</v>
      </c>
      <c r="AE130" s="21">
        <f>JUNIO!AG130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+IF(JUNIO!S131=0,"",JUNIO!S131)</f>
        <v>2010200-8</v>
      </c>
      <c r="T131" s="159" t="str">
        <f>+IF(JUNIO!T131=0,"",JUNIO!T131)</f>
        <v>Bienestar Social</v>
      </c>
      <c r="U131" s="29">
        <f>+ENERO!U131</f>
        <v>6347410</v>
      </c>
      <c r="V131" s="17">
        <f>JUNIO!V131+JULIO!AL131</f>
        <v>0</v>
      </c>
      <c r="W131" s="17">
        <f>JUNIO!W131+JULIO!AM131</f>
        <v>0</v>
      </c>
      <c r="X131" s="20">
        <f t="shared" si="128"/>
        <v>6347410</v>
      </c>
      <c r="Y131" s="21">
        <f>JUNIO!AA131</f>
        <v>0</v>
      </c>
      <c r="Z131" s="457">
        <v>0</v>
      </c>
      <c r="AA131" s="20">
        <f t="shared" si="129"/>
        <v>0</v>
      </c>
      <c r="AB131" s="21">
        <f>JUNIO!AD131</f>
        <v>0</v>
      </c>
      <c r="AC131" s="457">
        <v>0</v>
      </c>
      <c r="AD131" s="20">
        <f t="shared" si="130"/>
        <v>0</v>
      </c>
      <c r="AE131" s="21">
        <f>JUNIO!AG131</f>
        <v>0</v>
      </c>
      <c r="AF131" s="457">
        <v>0</v>
      </c>
      <c r="AG131" s="20">
        <f t="shared" si="131"/>
        <v>0</v>
      </c>
      <c r="AH131" s="21">
        <f t="shared" si="132"/>
        <v>6347410</v>
      </c>
      <c r="AI131" s="17">
        <f t="shared" si="133"/>
        <v>6347410</v>
      </c>
      <c r="AJ131" s="18">
        <f t="shared" si="13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+IF(JUNIO!S132=0,"",JUNIO!S132)</f>
        <v>2010200-9</v>
      </c>
      <c r="T132" s="159" t="str">
        <f>+IF(JUNIO!T132=0,"",JUNIO!T132)</f>
        <v>Capacitación, estimulos, incentivos, programa de calidad</v>
      </c>
      <c r="U132" s="29">
        <f>+ENERO!U132</f>
        <v>4142898</v>
      </c>
      <c r="V132" s="17">
        <f>JUNIO!V132+JULIO!AL132</f>
        <v>0</v>
      </c>
      <c r="W132" s="17">
        <f>JUNIO!W132+JULIO!AM132</f>
        <v>0</v>
      </c>
      <c r="X132" s="20">
        <f t="shared" si="128"/>
        <v>4142898</v>
      </c>
      <c r="Y132" s="21">
        <f>JUNIO!AA132</f>
        <v>2283400</v>
      </c>
      <c r="Z132" s="457">
        <v>1481000</v>
      </c>
      <c r="AA132" s="20">
        <f t="shared" si="129"/>
        <v>3764400</v>
      </c>
      <c r="AB132" s="21">
        <f>JUNIO!AD132</f>
        <v>2283400</v>
      </c>
      <c r="AC132" s="457">
        <v>1481000</v>
      </c>
      <c r="AD132" s="20">
        <f t="shared" si="130"/>
        <v>3764400</v>
      </c>
      <c r="AE132" s="21">
        <f>JUNIO!AG132</f>
        <v>1535200</v>
      </c>
      <c r="AF132" s="457">
        <v>1734200</v>
      </c>
      <c r="AG132" s="20">
        <f t="shared" si="131"/>
        <v>3269400</v>
      </c>
      <c r="AH132" s="21">
        <f t="shared" si="132"/>
        <v>378498</v>
      </c>
      <c r="AI132" s="17">
        <f t="shared" si="133"/>
        <v>378498</v>
      </c>
      <c r="AJ132" s="18">
        <f t="shared" si="134"/>
        <v>873498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+IF(JUNIO!S133=0,"",JUNIO!S133)</f>
        <v>2010200-10</v>
      </c>
      <c r="T133" s="159" t="str">
        <f>+IF(JUNIO!T133=0,"",JUNIO!T133)</f>
        <v>Pagos otras IPS</v>
      </c>
      <c r="U133" s="29">
        <f>+ENERO!U133</f>
        <v>0</v>
      </c>
      <c r="V133" s="17">
        <f>JUNIO!V133+JULIO!AL133</f>
        <v>0</v>
      </c>
      <c r="W133" s="17">
        <f>JUNIO!W133+JULIO!AM133</f>
        <v>0</v>
      </c>
      <c r="X133" s="20">
        <f t="shared" si="128"/>
        <v>0</v>
      </c>
      <c r="Y133" s="21">
        <f>JUNIO!AA133</f>
        <v>0</v>
      </c>
      <c r="Z133" s="457">
        <v>0</v>
      </c>
      <c r="AA133" s="20">
        <f t="shared" si="129"/>
        <v>0</v>
      </c>
      <c r="AB133" s="21">
        <f>JUNIO!AD133</f>
        <v>0</v>
      </c>
      <c r="AC133" s="457">
        <v>0</v>
      </c>
      <c r="AD133" s="20">
        <f t="shared" si="130"/>
        <v>0</v>
      </c>
      <c r="AE133" s="21">
        <f>JUNIO!AG133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+IF(JUNIO!S134=0,"",JUNIO!S134)</f>
        <v>2010200-11</v>
      </c>
      <c r="T134" s="159" t="str">
        <f>+IF(JUNIO!T134=0,"",JUNIO!T134)</f>
        <v>Gastos financieros</v>
      </c>
      <c r="U134" s="29">
        <f>+ENERO!U134</f>
        <v>3294188</v>
      </c>
      <c r="V134" s="17">
        <f>JUNIO!V134+JULIO!AL134</f>
        <v>0</v>
      </c>
      <c r="W134" s="17">
        <f>JUNIO!W134+JULIO!AM134</f>
        <v>0</v>
      </c>
      <c r="X134" s="20">
        <f t="shared" si="128"/>
        <v>3294188</v>
      </c>
      <c r="Y134" s="21">
        <f>JUNIO!AA134</f>
        <v>1413589</v>
      </c>
      <c r="Z134" s="457">
        <v>294470</v>
      </c>
      <c r="AA134" s="20">
        <f t="shared" si="129"/>
        <v>1708059</v>
      </c>
      <c r="AB134" s="21">
        <f>JUNIO!AD134</f>
        <v>1413589</v>
      </c>
      <c r="AC134" s="457">
        <v>294470</v>
      </c>
      <c r="AD134" s="20">
        <f t="shared" si="130"/>
        <v>1708059</v>
      </c>
      <c r="AE134" s="21">
        <f>JUNIO!AG134</f>
        <v>1413589</v>
      </c>
      <c r="AF134" s="457">
        <v>294470</v>
      </c>
      <c r="AG134" s="20">
        <f t="shared" si="131"/>
        <v>1708059</v>
      </c>
      <c r="AH134" s="21">
        <f t="shared" si="132"/>
        <v>1586129</v>
      </c>
      <c r="AI134" s="17">
        <f t="shared" si="133"/>
        <v>1586129</v>
      </c>
      <c r="AJ134" s="18">
        <f t="shared" si="134"/>
        <v>1586129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+IF(JUNIO!S135=0,"",JUNIO!S135)</f>
        <v>2010200-12</v>
      </c>
      <c r="T135" s="159" t="str">
        <f>+IF(JUNIO!T135=0,"",JUNIO!T135)</f>
        <v/>
      </c>
      <c r="U135" s="29">
        <f>+ENERO!U135</f>
        <v>0</v>
      </c>
      <c r="V135" s="17">
        <f>JUNIO!V135+JULIO!AL135</f>
        <v>0</v>
      </c>
      <c r="W135" s="17">
        <f>JUNIO!W135+JULIO!AM135</f>
        <v>0</v>
      </c>
      <c r="X135" s="20">
        <f t="shared" si="128"/>
        <v>0</v>
      </c>
      <c r="Y135" s="21">
        <f>JUNIO!AA135</f>
        <v>0</v>
      </c>
      <c r="Z135" s="457">
        <v>0</v>
      </c>
      <c r="AA135" s="20">
        <f t="shared" si="129"/>
        <v>0</v>
      </c>
      <c r="AB135" s="21">
        <f>JUNIO!AD135</f>
        <v>0</v>
      </c>
      <c r="AC135" s="457">
        <v>0</v>
      </c>
      <c r="AD135" s="20">
        <f t="shared" si="130"/>
        <v>0</v>
      </c>
      <c r="AE135" s="21">
        <f>JUNIO!AG135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+IF(JUNIO!S136=0,"",JUNIO!S136)</f>
        <v>2010200-13</v>
      </c>
      <c r="T136" s="159" t="str">
        <f>+IF(JUNIO!T136=0,"",JUNIO!T136)</f>
        <v/>
      </c>
      <c r="U136" s="29">
        <f>+ENERO!U136</f>
        <v>0</v>
      </c>
      <c r="V136" s="17">
        <f>JUNIO!V136+JULIO!AL136</f>
        <v>0</v>
      </c>
      <c r="W136" s="17">
        <f>JUNIO!W136+JULIO!AM136</f>
        <v>0</v>
      </c>
      <c r="X136" s="20">
        <f t="shared" si="128"/>
        <v>0</v>
      </c>
      <c r="Y136" s="21">
        <f>JUNIO!AA136</f>
        <v>0</v>
      </c>
      <c r="Z136" s="457">
        <v>0</v>
      </c>
      <c r="AA136" s="20">
        <f t="shared" si="129"/>
        <v>0</v>
      </c>
      <c r="AB136" s="21">
        <f>JUNIO!AD136</f>
        <v>0</v>
      </c>
      <c r="AC136" s="457">
        <v>0</v>
      </c>
      <c r="AD136" s="20">
        <f t="shared" si="130"/>
        <v>0</v>
      </c>
      <c r="AE136" s="21">
        <f>JUNIO!AG136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+IF(JUNIO!S137=0,"",JUNIO!S137)</f>
        <v>2010020-14</v>
      </c>
      <c r="T137" s="159" t="str">
        <f>+IF(JUNIO!T137=0,"",JUNIO!T137)</f>
        <v/>
      </c>
      <c r="U137" s="29">
        <f>+ENERO!U137</f>
        <v>0</v>
      </c>
      <c r="V137" s="17">
        <f>JUNIO!V137+JULIO!AL137</f>
        <v>0</v>
      </c>
      <c r="W137" s="17">
        <f>JUNIO!W137+JULIO!AM137</f>
        <v>0</v>
      </c>
      <c r="X137" s="20">
        <f t="shared" si="128"/>
        <v>0</v>
      </c>
      <c r="Y137" s="21">
        <f>JUNIO!AA137</f>
        <v>0</v>
      </c>
      <c r="Z137" s="457">
        <v>0</v>
      </c>
      <c r="AA137" s="20">
        <f t="shared" si="129"/>
        <v>0</v>
      </c>
      <c r="AB137" s="21">
        <f>JUNIO!AD137</f>
        <v>0</v>
      </c>
      <c r="AC137" s="457">
        <v>0</v>
      </c>
      <c r="AD137" s="20">
        <f t="shared" si="130"/>
        <v>0</v>
      </c>
      <c r="AE137" s="21">
        <f>JUNIO!AG137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+IF(JUNIO!S138=0,"",JUNIO!S138)</f>
        <v>2010200-15</v>
      </c>
      <c r="T138" s="159" t="str">
        <f>+IF(JUNIO!T138=0,"",JUNIO!T138)</f>
        <v/>
      </c>
      <c r="U138" s="29">
        <f>+ENERO!U138</f>
        <v>0</v>
      </c>
      <c r="V138" s="17">
        <f>JUNIO!V138+JULIO!AL138</f>
        <v>0</v>
      </c>
      <c r="W138" s="17">
        <f>JUNIO!W138+JULIO!AM138</f>
        <v>0</v>
      </c>
      <c r="X138" s="20">
        <f t="shared" si="128"/>
        <v>0</v>
      </c>
      <c r="Y138" s="21">
        <f>JUNIO!AA138</f>
        <v>0</v>
      </c>
      <c r="Z138" s="457">
        <v>0</v>
      </c>
      <c r="AA138" s="20">
        <f t="shared" si="129"/>
        <v>0</v>
      </c>
      <c r="AB138" s="21">
        <f>JUNIO!AD138</f>
        <v>0</v>
      </c>
      <c r="AC138" s="457">
        <v>0</v>
      </c>
      <c r="AD138" s="20">
        <f t="shared" si="130"/>
        <v>0</v>
      </c>
      <c r="AE138" s="21">
        <f>JUNIO!AG138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+IF(JUNIO!S139=0,"",JUNIO!S139)</f>
        <v>2010299</v>
      </c>
      <c r="T139" s="159" t="str">
        <f>+IF(JUNIO!T139=0,"",JUNIO!T139)</f>
        <v>Vigencias Anteriores</v>
      </c>
      <c r="U139" s="29">
        <f>+ENERO!U139</f>
        <v>2000000</v>
      </c>
      <c r="V139" s="17">
        <f>JUNIO!V139+JULIO!AL139</f>
        <v>0</v>
      </c>
      <c r="W139" s="17">
        <f>JUNIO!W139+JULIO!AM139</f>
        <v>4066041</v>
      </c>
      <c r="X139" s="20">
        <f t="shared" si="128"/>
        <v>6066041</v>
      </c>
      <c r="Y139" s="21">
        <f>JUNIO!AA139</f>
        <v>6066041</v>
      </c>
      <c r="Z139" s="457">
        <v>0</v>
      </c>
      <c r="AA139" s="20">
        <f t="shared" si="129"/>
        <v>6066041</v>
      </c>
      <c r="AB139" s="21">
        <f>JUNIO!AD139</f>
        <v>6066041</v>
      </c>
      <c r="AC139" s="457">
        <v>0</v>
      </c>
      <c r="AD139" s="20">
        <f t="shared" si="130"/>
        <v>6066041</v>
      </c>
      <c r="AE139" s="21">
        <f>JUNIO!AG139</f>
        <v>5807197</v>
      </c>
      <c r="AF139" s="457">
        <v>193308</v>
      </c>
      <c r="AG139" s="20">
        <f t="shared" si="131"/>
        <v>6000505</v>
      </c>
      <c r="AH139" s="21">
        <f t="shared" si="132"/>
        <v>0</v>
      </c>
      <c r="AI139" s="17">
        <f t="shared" si="133"/>
        <v>0</v>
      </c>
      <c r="AJ139" s="18">
        <f t="shared" si="134"/>
        <v>65536</v>
      </c>
      <c r="AK139" s="10"/>
      <c r="AL139" s="455">
        <v>0</v>
      </c>
      <c r="AM139" s="458">
        <v>0</v>
      </c>
      <c r="AN139" s="10"/>
      <c r="AO139" s="365"/>
      <c r="AP139" s="365"/>
      <c r="AQ139" s="365"/>
    </row>
    <row r="140" spans="1:52" s="467" customFormat="1" ht="15.75" x14ac:dyDescent="0.2">
      <c r="A140" s="623"/>
      <c r="N140" s="10"/>
      <c r="R140" s="10"/>
      <c r="S140" s="448" t="str">
        <f>+IF(JUNIO!S140=0,"",JUNIO!S140)</f>
        <v/>
      </c>
      <c r="T140" s="649" t="str">
        <f>+IF(JUNIO!T140=0,"",JUNIO!T140)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+IF(JUNIO!S141=0,"",JUNIO!S141)</f>
        <v>2010300</v>
      </c>
      <c r="T141" s="158" t="str">
        <f>+IF(JUNIO!T141=0,"",JUNIO!T141)</f>
        <v>Impuestos y Multas</v>
      </c>
      <c r="U141" s="157">
        <f t="shared" ref="U141:AJ141" si="136">U142+U143</f>
        <v>0</v>
      </c>
      <c r="V141" s="144">
        <f t="shared" si="136"/>
        <v>0</v>
      </c>
      <c r="W141" s="144">
        <f t="shared" si="136"/>
        <v>1000000</v>
      </c>
      <c r="X141" s="152">
        <f t="shared" si="136"/>
        <v>1000000</v>
      </c>
      <c r="Y141" s="151">
        <f t="shared" si="136"/>
        <v>0</v>
      </c>
      <c r="Z141" s="144">
        <f t="shared" si="136"/>
        <v>0</v>
      </c>
      <c r="AA141" s="152">
        <f t="shared" si="136"/>
        <v>0</v>
      </c>
      <c r="AB141" s="151">
        <f t="shared" si="136"/>
        <v>0</v>
      </c>
      <c r="AC141" s="144">
        <f t="shared" si="136"/>
        <v>0</v>
      </c>
      <c r="AD141" s="152">
        <f t="shared" si="136"/>
        <v>0</v>
      </c>
      <c r="AE141" s="151">
        <f t="shared" si="136"/>
        <v>0</v>
      </c>
      <c r="AF141" s="144">
        <f t="shared" si="136"/>
        <v>0</v>
      </c>
      <c r="AG141" s="152">
        <f t="shared" si="136"/>
        <v>0</v>
      </c>
      <c r="AH141" s="151">
        <f t="shared" si="136"/>
        <v>1000000</v>
      </c>
      <c r="AI141" s="144">
        <f t="shared" si="136"/>
        <v>1000000</v>
      </c>
      <c r="AJ141" s="153">
        <f t="shared" si="136"/>
        <v>1000000</v>
      </c>
      <c r="AK141" s="12"/>
      <c r="AL141" s="151">
        <f>AL142+AL143</f>
        <v>0</v>
      </c>
      <c r="AM141" s="153">
        <f>AM142+AM143</f>
        <v>0</v>
      </c>
      <c r="AN141" s="10"/>
    </row>
    <row r="142" spans="1:52" s="467" customFormat="1" x14ac:dyDescent="0.2">
      <c r="A142" s="623"/>
      <c r="N142" s="10"/>
      <c r="R142" s="10"/>
      <c r="S142" s="155" t="str">
        <f>+IF(JUNIO!S142=0,"",JUNIO!S142)</f>
        <v>2010300-1</v>
      </c>
      <c r="T142" s="159" t="str">
        <f>+IF(JUNIO!T142=0,"",JUNIO!T142)</f>
        <v>Impuestos (Predial, Vehiculos, Otros)</v>
      </c>
      <c r="U142" s="29">
        <f>+ENERO!U142</f>
        <v>0</v>
      </c>
      <c r="V142" s="17">
        <f>JUNIO!V142+JULIO!AL142</f>
        <v>0</v>
      </c>
      <c r="W142" s="17">
        <f>JUNIO!W142+JULIO!AM142</f>
        <v>1000000</v>
      </c>
      <c r="X142" s="20">
        <f>SUM(U142:W142)</f>
        <v>1000000</v>
      </c>
      <c r="Y142" s="21">
        <f>JUNIO!AA142</f>
        <v>0</v>
      </c>
      <c r="Z142" s="457">
        <v>0</v>
      </c>
      <c r="AA142" s="20">
        <f>SUM(Y142:Z142)</f>
        <v>0</v>
      </c>
      <c r="AB142" s="21">
        <f>JUNIO!AD142</f>
        <v>0</v>
      </c>
      <c r="AC142" s="457">
        <v>0</v>
      </c>
      <c r="AD142" s="20">
        <f>SUM(AB142:AC142)</f>
        <v>0</v>
      </c>
      <c r="AE142" s="21">
        <f>JUNIO!AG142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N143" s="10"/>
      <c r="R143" s="10"/>
      <c r="S143" s="155">
        <f>+IF(JUNIO!S143=0,"",JUNIO!S143)</f>
        <v>2010399</v>
      </c>
      <c r="T143" s="159" t="str">
        <f>+IF(JUNIO!T143=0,"",JUNIO!T143)</f>
        <v>Vigencias Anteriores</v>
      </c>
      <c r="U143" s="29">
        <f>+ENERO!U143</f>
        <v>0</v>
      </c>
      <c r="V143" s="17">
        <f>JUNIO!V143+JULIO!AL143</f>
        <v>0</v>
      </c>
      <c r="W143" s="17">
        <f>JUNIO!W143+JULIO!AM143</f>
        <v>0</v>
      </c>
      <c r="X143" s="20">
        <f>SUM(U143:W143)</f>
        <v>0</v>
      </c>
      <c r="Y143" s="21">
        <f>JUNIO!AA143</f>
        <v>0</v>
      </c>
      <c r="Z143" s="457">
        <v>0</v>
      </c>
      <c r="AA143" s="20">
        <f>SUM(Y143:Z143)</f>
        <v>0</v>
      </c>
      <c r="AB143" s="21">
        <f>JUNIO!AD143</f>
        <v>0</v>
      </c>
      <c r="AC143" s="457">
        <v>0</v>
      </c>
      <c r="AD143" s="20">
        <f>SUM(AB143:AC143)</f>
        <v>0</v>
      </c>
      <c r="AE143" s="21">
        <f>JUNIO!AG143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+IF(JUNIO!S144=0,"",JUNIO!S144)</f>
        <v/>
      </c>
      <c r="T144" s="649" t="str">
        <f>+IF(JUNIO!T144=0,"",JUNIO!T144)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+IF(JUNIO!S145=0,"",JUNIO!S145)</f>
        <v>2020010</v>
      </c>
      <c r="T145" s="470" t="str">
        <f>+IF(JUNIO!T145=0,"",JUNIO!T145)</f>
        <v>Gastos de Operación</v>
      </c>
      <c r="U145" s="157">
        <f t="shared" ref="U145:AJ145" si="137">U147+U155</f>
        <v>378163463</v>
      </c>
      <c r="V145" s="144">
        <f t="shared" si="137"/>
        <v>-746499</v>
      </c>
      <c r="W145" s="144">
        <f t="shared" si="137"/>
        <v>77987532</v>
      </c>
      <c r="X145" s="152">
        <f t="shared" si="137"/>
        <v>455404496</v>
      </c>
      <c r="Y145" s="151">
        <f t="shared" si="137"/>
        <v>201805053</v>
      </c>
      <c r="Z145" s="144">
        <f t="shared" si="137"/>
        <v>59461619</v>
      </c>
      <c r="AA145" s="152">
        <f t="shared" si="137"/>
        <v>261266672</v>
      </c>
      <c r="AB145" s="151">
        <f t="shared" si="137"/>
        <v>201805053</v>
      </c>
      <c r="AC145" s="144">
        <f t="shared" si="137"/>
        <v>59461619</v>
      </c>
      <c r="AD145" s="152">
        <f t="shared" si="137"/>
        <v>261266672</v>
      </c>
      <c r="AE145" s="151">
        <f t="shared" si="137"/>
        <v>141031892</v>
      </c>
      <c r="AF145" s="144">
        <f t="shared" si="137"/>
        <v>47984115</v>
      </c>
      <c r="AG145" s="152">
        <f t="shared" si="137"/>
        <v>189016007</v>
      </c>
      <c r="AH145" s="151">
        <f t="shared" si="137"/>
        <v>194137824</v>
      </c>
      <c r="AI145" s="144">
        <f t="shared" si="137"/>
        <v>194137824</v>
      </c>
      <c r="AJ145" s="153">
        <f t="shared" si="137"/>
        <v>266388489</v>
      </c>
      <c r="AK145" s="12"/>
      <c r="AL145" s="151">
        <f>AL147+AL155</f>
        <v>0</v>
      </c>
      <c r="AM145" s="153">
        <f>AM147+AM155</f>
        <v>63700000</v>
      </c>
      <c r="AN145" s="10"/>
    </row>
    <row r="146" spans="1:40" s="467" customFormat="1" x14ac:dyDescent="0.2">
      <c r="A146" s="623"/>
      <c r="N146" s="10"/>
      <c r="R146" s="10"/>
      <c r="S146" s="11" t="str">
        <f>+IF(JUNIO!S146=0,"",JUNIO!S146)</f>
        <v/>
      </c>
      <c r="T146" s="55" t="str">
        <f>+IF(JUNIO!T146=0,"",JUNIO!T146)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+IF(JUNIO!S147=0,"",JUNIO!S147)</f>
        <v>2020100</v>
      </c>
      <c r="T147" s="158" t="str">
        <f>+IF(JUNIO!T147=0,"",JUNIO!T147)</f>
        <v>Adquisición de bienes</v>
      </c>
      <c r="U147" s="157">
        <f t="shared" ref="U147:AJ147" si="138">SUM(U148:U149)+U153</f>
        <v>164034265</v>
      </c>
      <c r="V147" s="144">
        <f t="shared" si="138"/>
        <v>1294826</v>
      </c>
      <c r="W147" s="144">
        <f t="shared" si="138"/>
        <v>47087532</v>
      </c>
      <c r="X147" s="152">
        <f t="shared" si="138"/>
        <v>212416623</v>
      </c>
      <c r="Y147" s="151">
        <f t="shared" si="138"/>
        <v>98116315</v>
      </c>
      <c r="Z147" s="144">
        <f t="shared" si="138"/>
        <v>30720901</v>
      </c>
      <c r="AA147" s="152">
        <f t="shared" si="138"/>
        <v>128837216</v>
      </c>
      <c r="AB147" s="151">
        <f t="shared" si="138"/>
        <v>98116315</v>
      </c>
      <c r="AC147" s="144">
        <f t="shared" si="138"/>
        <v>30720901</v>
      </c>
      <c r="AD147" s="152">
        <f t="shared" si="138"/>
        <v>128837216</v>
      </c>
      <c r="AE147" s="151">
        <f t="shared" si="138"/>
        <v>68012788</v>
      </c>
      <c r="AF147" s="144">
        <f t="shared" si="138"/>
        <v>27174214</v>
      </c>
      <c r="AG147" s="152">
        <f t="shared" si="138"/>
        <v>95187002</v>
      </c>
      <c r="AH147" s="151">
        <f t="shared" si="138"/>
        <v>83579407</v>
      </c>
      <c r="AI147" s="144">
        <f t="shared" si="138"/>
        <v>83579407</v>
      </c>
      <c r="AJ147" s="153">
        <f t="shared" si="138"/>
        <v>117229621</v>
      </c>
      <c r="AK147" s="10"/>
      <c r="AL147" s="151">
        <f>SUM(AL148:AL149)+AL153</f>
        <v>0</v>
      </c>
      <c r="AM147" s="153">
        <f>SUM(AM148:AM149)+AM153</f>
        <v>32800000</v>
      </c>
      <c r="AN147" s="10"/>
    </row>
    <row r="148" spans="1:40" s="467" customFormat="1" x14ac:dyDescent="0.2">
      <c r="A148" s="623"/>
      <c r="N148" s="10"/>
      <c r="R148" s="10"/>
      <c r="S148" s="155">
        <f>+IF(JUNIO!S148=0,"",JUNIO!S148)</f>
        <v>2020101</v>
      </c>
      <c r="T148" s="159" t="str">
        <f>+IF(JUNIO!T148=0,"",JUNIO!T148)</f>
        <v>Mantenimiento Hospitalario</v>
      </c>
      <c r="U148" s="29">
        <f>+ENERO!U148</f>
        <v>73185858</v>
      </c>
      <c r="V148" s="17">
        <f>JUNIO!V148+JULIO!AL148</f>
        <v>0</v>
      </c>
      <c r="W148" s="17">
        <f>JUNIO!W148+JULIO!AM148</f>
        <v>29400000</v>
      </c>
      <c r="X148" s="20">
        <f>SUM(U148:W148)</f>
        <v>102585858</v>
      </c>
      <c r="Y148" s="21">
        <f>JUNIO!AA148</f>
        <v>33317598</v>
      </c>
      <c r="Z148" s="814">
        <v>21372026</v>
      </c>
      <c r="AA148" s="20">
        <f>SUM(Y148:Z148)</f>
        <v>54689624</v>
      </c>
      <c r="AB148" s="21">
        <f>JUNIO!AD148</f>
        <v>33317598</v>
      </c>
      <c r="AC148" s="457">
        <v>21372026</v>
      </c>
      <c r="AD148" s="20">
        <f>SUM(AB148:AC148)</f>
        <v>54689624</v>
      </c>
      <c r="AE148" s="21">
        <f>JUNIO!AG148</f>
        <v>24191762</v>
      </c>
      <c r="AF148" s="457">
        <v>13188537</v>
      </c>
      <c r="AG148" s="20">
        <f>SUM(AE148:AF148)</f>
        <v>37380299</v>
      </c>
      <c r="AH148" s="21">
        <f>X148-AA148</f>
        <v>47896234</v>
      </c>
      <c r="AI148" s="17">
        <f>X148-AD148</f>
        <v>47896234</v>
      </c>
      <c r="AJ148" s="18">
        <f>X148-AG148</f>
        <v>65205559</v>
      </c>
      <c r="AK148" s="10"/>
      <c r="AL148" s="455">
        <v>0</v>
      </c>
      <c r="AM148" s="458">
        <v>29400000</v>
      </c>
      <c r="AN148" s="10"/>
    </row>
    <row r="149" spans="1:40" s="467" customFormat="1" x14ac:dyDescent="0.2">
      <c r="A149" s="623"/>
      <c r="N149" s="10"/>
      <c r="R149" s="10"/>
      <c r="S149" s="155">
        <f>+IF(JUNIO!S149=0,"",JUNIO!S149)</f>
        <v>2020102</v>
      </c>
      <c r="T149" s="159" t="str">
        <f>+IF(JUNIO!T149=0,"",JUNIO!T149)</f>
        <v>Otros</v>
      </c>
      <c r="U149" s="29">
        <f t="shared" ref="U149:AJ149" si="139">SUM(U150:U152)</f>
        <v>86848407</v>
      </c>
      <c r="V149" s="17">
        <f t="shared" si="139"/>
        <v>-3075665</v>
      </c>
      <c r="W149" s="17">
        <f t="shared" si="139"/>
        <v>8400000</v>
      </c>
      <c r="X149" s="20">
        <f t="shared" si="139"/>
        <v>92172742</v>
      </c>
      <c r="Y149" s="21">
        <f t="shared" si="139"/>
        <v>47140694</v>
      </c>
      <c r="Z149" s="169">
        <f t="shared" si="139"/>
        <v>9348875</v>
      </c>
      <c r="AA149" s="20">
        <f t="shared" si="139"/>
        <v>56489569</v>
      </c>
      <c r="AB149" s="21">
        <f t="shared" si="139"/>
        <v>47140694</v>
      </c>
      <c r="AC149" s="169">
        <f t="shared" si="139"/>
        <v>9348875</v>
      </c>
      <c r="AD149" s="20">
        <f t="shared" si="139"/>
        <v>56489569</v>
      </c>
      <c r="AE149" s="21">
        <f t="shared" si="139"/>
        <v>26979367</v>
      </c>
      <c r="AF149" s="169">
        <f t="shared" si="139"/>
        <v>13985677</v>
      </c>
      <c r="AG149" s="20">
        <f t="shared" si="139"/>
        <v>40965044</v>
      </c>
      <c r="AH149" s="21">
        <f t="shared" si="139"/>
        <v>35683173</v>
      </c>
      <c r="AI149" s="17">
        <f t="shared" si="139"/>
        <v>35683173</v>
      </c>
      <c r="AJ149" s="18">
        <f t="shared" si="139"/>
        <v>51207698</v>
      </c>
      <c r="AK149" s="10"/>
      <c r="AL149" s="31">
        <f>SUM(AL150:AL152)</f>
        <v>0</v>
      </c>
      <c r="AM149" s="28">
        <f>SUM(AM150:AM152)</f>
        <v>3400000</v>
      </c>
      <c r="AN149" s="10"/>
    </row>
    <row r="150" spans="1:40" s="467" customFormat="1" x14ac:dyDescent="0.2">
      <c r="A150" s="623"/>
      <c r="N150" s="10"/>
      <c r="R150" s="10"/>
      <c r="S150" s="156" t="str">
        <f>+IF(JUNIO!S150=0,"",JUNIO!S150)</f>
        <v>2020102-1</v>
      </c>
      <c r="T150" s="159" t="str">
        <f>+IF(JUNIO!T150=0,"",JUNIO!T150)</f>
        <v>Compra de Equipo e Instr. Mco. y Laborat.</v>
      </c>
      <c r="U150" s="29">
        <f>+ENERO!U150</f>
        <v>36341462</v>
      </c>
      <c r="V150" s="17">
        <f>JUNIO!V150+JULIO!AL150</f>
        <v>-3075665</v>
      </c>
      <c r="W150" s="17">
        <f>JUNIO!W150+JULIO!AM150</f>
        <v>5000000</v>
      </c>
      <c r="X150" s="20">
        <f>SUM(U150:W150)</f>
        <v>38265797</v>
      </c>
      <c r="Y150" s="21">
        <f>JUNIO!AA150</f>
        <v>13088600</v>
      </c>
      <c r="Z150" s="457">
        <v>1009200</v>
      </c>
      <c r="AA150" s="20">
        <f>SUM(Y150:Z150)</f>
        <v>14097800</v>
      </c>
      <c r="AB150" s="21">
        <f>JUNIO!AD150</f>
        <v>13088600</v>
      </c>
      <c r="AC150" s="457">
        <v>1009200</v>
      </c>
      <c r="AD150" s="20">
        <f>SUM(AB150:AC150)</f>
        <v>14097800</v>
      </c>
      <c r="AE150" s="21">
        <f>JUNIO!AG150</f>
        <v>0</v>
      </c>
      <c r="AF150" s="457">
        <v>5904000</v>
      </c>
      <c r="AG150" s="20">
        <f>SUM(AE150:AF150)</f>
        <v>5904000</v>
      </c>
      <c r="AH150" s="21">
        <f>X150-AA150</f>
        <v>24167997</v>
      </c>
      <c r="AI150" s="17">
        <f>X150-AD150</f>
        <v>24167997</v>
      </c>
      <c r="AJ150" s="18">
        <f>X150-AG150</f>
        <v>32361797</v>
      </c>
      <c r="AK150" s="10"/>
      <c r="AL150" s="455">
        <v>0</v>
      </c>
      <c r="AM150" s="458">
        <v>0</v>
      </c>
      <c r="AN150" s="10"/>
    </row>
    <row r="151" spans="1:40" s="467" customFormat="1" x14ac:dyDescent="0.2">
      <c r="A151" s="623"/>
      <c r="N151" s="10"/>
      <c r="R151" s="10"/>
      <c r="S151" s="156" t="str">
        <f>+IF(JUNIO!S151=0,"",JUNIO!S151)</f>
        <v>2020102-2</v>
      </c>
      <c r="T151" s="159" t="str">
        <f>+IF(JUNIO!T151=0,"",JUNIO!T151)</f>
        <v>Materiales</v>
      </c>
      <c r="U151" s="29">
        <f>+ENERO!U151</f>
        <v>17885632</v>
      </c>
      <c r="V151" s="17">
        <f>JUNIO!V151+JULIO!AL151</f>
        <v>0</v>
      </c>
      <c r="W151" s="17">
        <f>JUNIO!W151+JULIO!AM151</f>
        <v>3400000</v>
      </c>
      <c r="X151" s="20">
        <f>SUM(U151:W151)</f>
        <v>21285632</v>
      </c>
      <c r="Y151" s="21">
        <f>JUNIO!AA151</f>
        <v>10627620</v>
      </c>
      <c r="Z151" s="457">
        <v>5220649</v>
      </c>
      <c r="AA151" s="20">
        <f>SUM(Y151:Z151)</f>
        <v>15848269</v>
      </c>
      <c r="AB151" s="21">
        <f>JUNIO!AD151</f>
        <v>10627620</v>
      </c>
      <c r="AC151" s="457">
        <v>5220649</v>
      </c>
      <c r="AD151" s="20">
        <f>SUM(AB151:AC151)</f>
        <v>15848269</v>
      </c>
      <c r="AE151" s="21">
        <f>JUNIO!AG151</f>
        <v>8195160</v>
      </c>
      <c r="AF151" s="457">
        <v>3441410</v>
      </c>
      <c r="AG151" s="20">
        <f>SUM(AE151:AF151)</f>
        <v>11636570</v>
      </c>
      <c r="AH151" s="21">
        <f>X151-AA151</f>
        <v>5437363</v>
      </c>
      <c r="AI151" s="17">
        <f>X151-AD151</f>
        <v>5437363</v>
      </c>
      <c r="AJ151" s="18">
        <f>X151-AG151</f>
        <v>9649062</v>
      </c>
      <c r="AK151" s="10"/>
      <c r="AL151" s="455">
        <v>0</v>
      </c>
      <c r="AM151" s="458">
        <v>3400000</v>
      </c>
      <c r="AN151" s="10"/>
    </row>
    <row r="152" spans="1:40" s="467" customFormat="1" x14ac:dyDescent="0.2">
      <c r="A152" s="623"/>
      <c r="N152" s="10"/>
      <c r="R152" s="10"/>
      <c r="S152" s="11" t="str">
        <f>+IF(JUNIO!S152=0,"",JUNIO!S152)</f>
        <v>2020102-3</v>
      </c>
      <c r="T152" s="159" t="str">
        <f>+IF(JUNIO!T152=0,"",JUNIO!T152)</f>
        <v>Combustible</v>
      </c>
      <c r="U152" s="29">
        <f>+ENERO!U152</f>
        <v>32621313</v>
      </c>
      <c r="V152" s="17">
        <f>JUNIO!V152+JULIO!AL152</f>
        <v>0</v>
      </c>
      <c r="W152" s="17">
        <f>JUNIO!W152+JULIO!AM152</f>
        <v>0</v>
      </c>
      <c r="X152" s="20">
        <f>SUM(U152:W152)</f>
        <v>32621313</v>
      </c>
      <c r="Y152" s="21">
        <f>JUNIO!AA152</f>
        <v>23424474</v>
      </c>
      <c r="Z152" s="457">
        <v>3119026</v>
      </c>
      <c r="AA152" s="20">
        <f>SUM(Y152:Z152)</f>
        <v>26543500</v>
      </c>
      <c r="AB152" s="21">
        <f>JUNIO!AD152</f>
        <v>23424474</v>
      </c>
      <c r="AC152" s="457">
        <v>3119026</v>
      </c>
      <c r="AD152" s="20">
        <f>SUM(AB152:AC152)</f>
        <v>26543500</v>
      </c>
      <c r="AE152" s="21">
        <f>JUNIO!AG152</f>
        <v>18784207</v>
      </c>
      <c r="AF152" s="457">
        <v>4640267</v>
      </c>
      <c r="AG152" s="20">
        <f>SUM(AE152:AF152)</f>
        <v>23424474</v>
      </c>
      <c r="AH152" s="21">
        <f>X152-AA152</f>
        <v>6077813</v>
      </c>
      <c r="AI152" s="17">
        <f>X152-AD152</f>
        <v>6077813</v>
      </c>
      <c r="AJ152" s="18">
        <f>X152-AG152</f>
        <v>9196839</v>
      </c>
      <c r="AK152" s="10"/>
      <c r="AL152" s="455">
        <v>0</v>
      </c>
      <c r="AM152" s="458">
        <v>0</v>
      </c>
      <c r="AN152" s="10"/>
    </row>
    <row r="153" spans="1:40" s="467" customFormat="1" x14ac:dyDescent="0.2">
      <c r="A153" s="623"/>
      <c r="N153" s="10"/>
      <c r="R153" s="10"/>
      <c r="S153" s="155">
        <f>+IF(JUNIO!S153=0,"",JUNIO!S153)</f>
        <v>2020199</v>
      </c>
      <c r="T153" s="159" t="str">
        <f>+IF(JUNIO!T153=0,"",JUNIO!T153)</f>
        <v>Vigencias Anteriores</v>
      </c>
      <c r="U153" s="29">
        <f>+ENERO!U153</f>
        <v>4000000</v>
      </c>
      <c r="V153" s="17">
        <f>JUNIO!V153+JULIO!AL153</f>
        <v>4370491</v>
      </c>
      <c r="W153" s="17">
        <f>JUNIO!W153+JULIO!AM153</f>
        <v>9287532</v>
      </c>
      <c r="X153" s="20">
        <f>SUM(U153:W153)</f>
        <v>17658023</v>
      </c>
      <c r="Y153" s="21">
        <f>JUNIO!AA153</f>
        <v>17658023</v>
      </c>
      <c r="Z153" s="457">
        <v>0</v>
      </c>
      <c r="AA153" s="20">
        <f>SUM(Y153:Z153)</f>
        <v>17658023</v>
      </c>
      <c r="AB153" s="21">
        <f>JUNIO!AD153</f>
        <v>17658023</v>
      </c>
      <c r="AC153" s="457">
        <v>0</v>
      </c>
      <c r="AD153" s="20">
        <f>SUM(AB153:AC153)</f>
        <v>17658023</v>
      </c>
      <c r="AE153" s="21">
        <f>JUNIO!AG153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+IF(JUNIO!S154=0,"",JUNIO!S154)</f>
        <v/>
      </c>
      <c r="T154" s="649" t="str">
        <f>+IF(JUNIO!T154=0,"",JUNIO!T154)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+IF(JUNIO!S155=0,"",JUNIO!S155)</f>
        <v>2020200</v>
      </c>
      <c r="T155" s="158" t="str">
        <f>+IF(JUNIO!T155=0,"",JUNIO!T155)</f>
        <v>Adquisición de Servicios</v>
      </c>
      <c r="U155" s="157">
        <f t="shared" ref="U155:AJ155" si="140">SUM(U156:U157)+U168</f>
        <v>214129198</v>
      </c>
      <c r="V155" s="144">
        <f t="shared" si="140"/>
        <v>-2041325</v>
      </c>
      <c r="W155" s="144">
        <f t="shared" si="140"/>
        <v>30900000</v>
      </c>
      <c r="X155" s="152">
        <f t="shared" si="140"/>
        <v>242987873</v>
      </c>
      <c r="Y155" s="151">
        <f t="shared" si="140"/>
        <v>103688738</v>
      </c>
      <c r="Z155" s="144">
        <f t="shared" si="140"/>
        <v>28740718</v>
      </c>
      <c r="AA155" s="152">
        <f t="shared" si="140"/>
        <v>132429456</v>
      </c>
      <c r="AB155" s="151">
        <f t="shared" si="140"/>
        <v>103688738</v>
      </c>
      <c r="AC155" s="144">
        <f t="shared" si="140"/>
        <v>28740718</v>
      </c>
      <c r="AD155" s="152">
        <f t="shared" si="140"/>
        <v>132429456</v>
      </c>
      <c r="AE155" s="151">
        <f t="shared" si="140"/>
        <v>73019104</v>
      </c>
      <c r="AF155" s="144">
        <f t="shared" si="140"/>
        <v>20809901</v>
      </c>
      <c r="AG155" s="152">
        <f t="shared" si="140"/>
        <v>93829005</v>
      </c>
      <c r="AH155" s="151">
        <f t="shared" si="140"/>
        <v>110558417</v>
      </c>
      <c r="AI155" s="144">
        <f t="shared" si="140"/>
        <v>110558417</v>
      </c>
      <c r="AJ155" s="153">
        <f t="shared" si="140"/>
        <v>149158868</v>
      </c>
      <c r="AK155" s="10"/>
      <c r="AL155" s="151">
        <f>SUM(AL156:AL157)+AL168</f>
        <v>0</v>
      </c>
      <c r="AM155" s="153">
        <f>SUM(AM156:AM157)+AM168</f>
        <v>30900000</v>
      </c>
      <c r="AN155" s="10"/>
    </row>
    <row r="156" spans="1:40" s="467" customFormat="1" x14ac:dyDescent="0.2">
      <c r="A156" s="623"/>
      <c r="N156" s="10"/>
      <c r="P156" s="10"/>
      <c r="Q156" s="10"/>
      <c r="R156" s="10"/>
      <c r="S156" s="155">
        <f>+IF(JUNIO!S156=0,"",JUNIO!S156)</f>
        <v>2020201</v>
      </c>
      <c r="T156" s="159" t="str">
        <f>+IF(JUNIO!T156=0,"",JUNIO!T156)</f>
        <v>Mantenimiento Hospitalario</v>
      </c>
      <c r="U156" s="29">
        <f>+ENERO!U156</f>
        <v>89449384</v>
      </c>
      <c r="V156" s="17">
        <f>JUNIO!V156+JULIO!AL156</f>
        <v>0</v>
      </c>
      <c r="W156" s="17">
        <f>JUNIO!W156+JULIO!AM156</f>
        <v>30900000</v>
      </c>
      <c r="X156" s="20">
        <f>SUM(U156:W156)</f>
        <v>120349384</v>
      </c>
      <c r="Y156" s="21">
        <f>JUNIO!AA156</f>
        <v>42898910</v>
      </c>
      <c r="Z156" s="814">
        <v>20965709</v>
      </c>
      <c r="AA156" s="20">
        <f>SUM(Y156:Z156)</f>
        <v>63864619</v>
      </c>
      <c r="AB156" s="21">
        <f>JUNIO!AD156</f>
        <v>42898910</v>
      </c>
      <c r="AC156" s="457">
        <v>20965709</v>
      </c>
      <c r="AD156" s="20">
        <f>SUM(AB156:AC156)</f>
        <v>63864619</v>
      </c>
      <c r="AE156" s="21">
        <f>JUNIO!AG156</f>
        <v>31056000</v>
      </c>
      <c r="AF156" s="457">
        <v>8379722</v>
      </c>
      <c r="AG156" s="20">
        <f>SUM(AE156:AF156)</f>
        <v>39435722</v>
      </c>
      <c r="AH156" s="21">
        <f>X156-AA156</f>
        <v>56484765</v>
      </c>
      <c r="AI156" s="17">
        <f>X156-AD156</f>
        <v>56484765</v>
      </c>
      <c r="AJ156" s="18">
        <f>X156-AG156</f>
        <v>80913662</v>
      </c>
      <c r="AK156" s="10"/>
      <c r="AL156" s="455">
        <v>0</v>
      </c>
      <c r="AM156" s="458">
        <v>30900000</v>
      </c>
      <c r="AN156" s="10"/>
    </row>
    <row r="157" spans="1:40" s="467" customFormat="1" x14ac:dyDescent="0.2">
      <c r="A157" s="623"/>
      <c r="N157" s="10"/>
      <c r="P157" s="10"/>
      <c r="Q157" s="10"/>
      <c r="R157" s="10"/>
      <c r="S157" s="155">
        <f>+IF(JUNIO!S157=0,"",JUNIO!S157)</f>
        <v>2020202</v>
      </c>
      <c r="T157" s="159" t="str">
        <f>+IF(JUNIO!T157=0,"",JUNIO!T157)</f>
        <v>Otros</v>
      </c>
      <c r="U157" s="29">
        <f t="shared" ref="U157:AJ157" si="141">SUM(U158:U167)</f>
        <v>111949655</v>
      </c>
      <c r="V157" s="17">
        <f t="shared" si="141"/>
        <v>0</v>
      </c>
      <c r="W157" s="17">
        <f t="shared" si="141"/>
        <v>0</v>
      </c>
      <c r="X157" s="20">
        <f t="shared" si="141"/>
        <v>111949655</v>
      </c>
      <c r="Y157" s="21">
        <f t="shared" si="141"/>
        <v>50100994</v>
      </c>
      <c r="Z157" s="169">
        <f t="shared" si="141"/>
        <v>7775009</v>
      </c>
      <c r="AA157" s="20">
        <f t="shared" si="141"/>
        <v>57876003</v>
      </c>
      <c r="AB157" s="21">
        <f t="shared" si="141"/>
        <v>50100994</v>
      </c>
      <c r="AC157" s="169">
        <f t="shared" si="141"/>
        <v>7775009</v>
      </c>
      <c r="AD157" s="20">
        <f t="shared" si="141"/>
        <v>57876003</v>
      </c>
      <c r="AE157" s="21">
        <f t="shared" si="141"/>
        <v>33033420</v>
      </c>
      <c r="AF157" s="169">
        <f t="shared" si="141"/>
        <v>11038179</v>
      </c>
      <c r="AG157" s="20">
        <f t="shared" si="141"/>
        <v>44071599</v>
      </c>
      <c r="AH157" s="21">
        <f t="shared" si="141"/>
        <v>54073652</v>
      </c>
      <c r="AI157" s="17">
        <f t="shared" si="141"/>
        <v>54073652</v>
      </c>
      <c r="AJ157" s="18">
        <f t="shared" si="141"/>
        <v>67878056</v>
      </c>
      <c r="AK157" s="12"/>
      <c r="AL157" s="31">
        <f>SUM(AL158:AL167)</f>
        <v>0</v>
      </c>
      <c r="AM157" s="28">
        <f>SUM(AM158:AM167)</f>
        <v>0</v>
      </c>
      <c r="AN157" s="10"/>
    </row>
    <row r="158" spans="1:40" s="467" customFormat="1" x14ac:dyDescent="0.2">
      <c r="A158" s="623"/>
      <c r="N158" s="10"/>
      <c r="P158" s="10"/>
      <c r="Q158" s="10"/>
      <c r="R158" s="10"/>
      <c r="S158" s="156" t="str">
        <f>+IF(JUNIO!S158=0,"",JUNIO!S158)</f>
        <v>2020202-1</v>
      </c>
      <c r="T158" s="55" t="str">
        <f>+IF(JUNIO!T158=0,"",JUNIO!T158)</f>
        <v>Seguros</v>
      </c>
      <c r="U158" s="29">
        <f>+ENERO!U158</f>
        <v>10500000</v>
      </c>
      <c r="V158" s="17">
        <f>JUNIO!V158+JULIO!AL158</f>
        <v>0</v>
      </c>
      <c r="W158" s="17">
        <f>JUNIO!W158+JULIO!AM158</f>
        <v>0</v>
      </c>
      <c r="X158" s="20">
        <f t="shared" ref="X158:X168" si="142">SUM(U158:W158)</f>
        <v>10500000</v>
      </c>
      <c r="Y158" s="21">
        <f>JUNIO!AA158</f>
        <v>8372702</v>
      </c>
      <c r="Z158" s="457">
        <v>0</v>
      </c>
      <c r="AA158" s="20">
        <f t="shared" ref="AA158:AA168" si="143">SUM(Y158:Z158)</f>
        <v>8372702</v>
      </c>
      <c r="AB158" s="21">
        <f>JUNIO!AD158</f>
        <v>8372702</v>
      </c>
      <c r="AC158" s="457">
        <v>0</v>
      </c>
      <c r="AD158" s="20">
        <f t="shared" ref="AD158:AD168" si="144">SUM(AB158:AC158)</f>
        <v>8372702</v>
      </c>
      <c r="AE158" s="21">
        <f>JUNIO!AG158</f>
        <v>8372702</v>
      </c>
      <c r="AF158" s="457">
        <v>0</v>
      </c>
      <c r="AG158" s="20">
        <f t="shared" ref="AG158:AG168" si="145">SUM(AE158:AF158)</f>
        <v>8372702</v>
      </c>
      <c r="AH158" s="21">
        <f t="shared" ref="AH158:AH168" si="146">X158-AA158</f>
        <v>2127298</v>
      </c>
      <c r="AI158" s="17">
        <f t="shared" ref="AI158:AI168" si="147">X158-AD158</f>
        <v>2127298</v>
      </c>
      <c r="AJ158" s="18">
        <f t="shared" ref="AJ158:AJ168" si="148">X158-AG158</f>
        <v>2127298</v>
      </c>
      <c r="AK158" s="10"/>
      <c r="AL158" s="455">
        <v>0</v>
      </c>
      <c r="AM158" s="458">
        <v>0</v>
      </c>
      <c r="AN158" s="10"/>
    </row>
    <row r="159" spans="1:40" s="467" customFormat="1" x14ac:dyDescent="0.2">
      <c r="A159" s="623"/>
      <c r="N159" s="10"/>
      <c r="P159" s="10"/>
      <c r="Q159" s="10"/>
      <c r="R159" s="10"/>
      <c r="S159" s="156" t="str">
        <f>+IF(JUNIO!S159=0,"",JUNIO!S159)</f>
        <v>2020202-2</v>
      </c>
      <c r="T159" s="55" t="str">
        <f>+IF(JUNIO!T159=0,"",JUNIO!T159)</f>
        <v>Impresos y Publicaciones</v>
      </c>
      <c r="U159" s="29">
        <f>+ENERO!U159</f>
        <v>6697601</v>
      </c>
      <c r="V159" s="17">
        <f>JUNIO!V159+JULIO!AL159</f>
        <v>0</v>
      </c>
      <c r="W159" s="17">
        <f>JUNIO!W159+JULIO!AM159</f>
        <v>0</v>
      </c>
      <c r="X159" s="20">
        <f t="shared" si="142"/>
        <v>6697601</v>
      </c>
      <c r="Y159" s="21">
        <f>JUNIO!AA159</f>
        <v>1057773</v>
      </c>
      <c r="Z159" s="457">
        <v>383400</v>
      </c>
      <c r="AA159" s="20">
        <f t="shared" si="143"/>
        <v>1441173</v>
      </c>
      <c r="AB159" s="21">
        <f>JUNIO!AD159</f>
        <v>1057773</v>
      </c>
      <c r="AC159" s="457">
        <v>383400</v>
      </c>
      <c r="AD159" s="20">
        <f t="shared" si="144"/>
        <v>1441173</v>
      </c>
      <c r="AE159" s="21">
        <f>JUNIO!AG159</f>
        <v>870773</v>
      </c>
      <c r="AF159" s="457">
        <v>373400</v>
      </c>
      <c r="AG159" s="20">
        <f t="shared" si="145"/>
        <v>1244173</v>
      </c>
      <c r="AH159" s="21">
        <f t="shared" si="146"/>
        <v>5256428</v>
      </c>
      <c r="AI159" s="17">
        <f t="shared" si="147"/>
        <v>5256428</v>
      </c>
      <c r="AJ159" s="18">
        <f t="shared" si="148"/>
        <v>5453428</v>
      </c>
      <c r="AK159" s="10"/>
      <c r="AL159" s="455">
        <v>0</v>
      </c>
      <c r="AM159" s="458">
        <v>0</v>
      </c>
      <c r="AN159" s="10"/>
    </row>
    <row r="160" spans="1:40" s="467" customFormat="1" x14ac:dyDescent="0.2">
      <c r="A160" s="623"/>
      <c r="N160" s="10"/>
      <c r="P160" s="10"/>
      <c r="Q160" s="10"/>
      <c r="R160" s="10"/>
      <c r="S160" s="156" t="str">
        <f>+IF(JUNIO!S160=0,"",JUNIO!S160)</f>
        <v>2020202-3</v>
      </c>
      <c r="T160" s="55" t="str">
        <f>+IF(JUNIO!T160=0,"",JUNIO!T160)</f>
        <v>Pago a otras IPS</v>
      </c>
      <c r="U160" s="29">
        <f>+ENERO!U160</f>
        <v>11458020</v>
      </c>
      <c r="V160" s="17">
        <f>JUNIO!V160+JULIO!AL160</f>
        <v>0</v>
      </c>
      <c r="W160" s="17">
        <f>JUNIO!W160+JULIO!AM160</f>
        <v>0</v>
      </c>
      <c r="X160" s="20">
        <f t="shared" si="142"/>
        <v>11458020</v>
      </c>
      <c r="Y160" s="21">
        <f>JUNIO!AA160</f>
        <v>2144402</v>
      </c>
      <c r="Z160" s="457">
        <v>582400</v>
      </c>
      <c r="AA160" s="20">
        <f t="shared" si="143"/>
        <v>2726802</v>
      </c>
      <c r="AB160" s="21">
        <f>JUNIO!AD160</f>
        <v>2144402</v>
      </c>
      <c r="AC160" s="457">
        <v>582400</v>
      </c>
      <c r="AD160" s="20">
        <f t="shared" si="144"/>
        <v>2726802</v>
      </c>
      <c r="AE160" s="21">
        <f>JUNIO!AG160</f>
        <v>0</v>
      </c>
      <c r="AF160" s="457">
        <v>0</v>
      </c>
      <c r="AG160" s="20">
        <f t="shared" si="145"/>
        <v>0</v>
      </c>
      <c r="AH160" s="21">
        <f t="shared" si="146"/>
        <v>8731218</v>
      </c>
      <c r="AI160" s="17">
        <f t="shared" si="147"/>
        <v>8731218</v>
      </c>
      <c r="AJ160" s="18">
        <f t="shared" si="148"/>
        <v>11458020</v>
      </c>
      <c r="AK160" s="10"/>
      <c r="AL160" s="455">
        <v>0</v>
      </c>
      <c r="AM160" s="458">
        <v>0</v>
      </c>
      <c r="AN160" s="10"/>
    </row>
    <row r="161" spans="1:40" s="467" customFormat="1" x14ac:dyDescent="0.2">
      <c r="A161" s="623"/>
      <c r="N161" s="10"/>
      <c r="P161" s="10"/>
      <c r="Q161" s="10"/>
      <c r="R161" s="10"/>
      <c r="S161" s="156" t="str">
        <f>+IF(JUNIO!S161=0,"",JUNIO!S161)</f>
        <v>2020202-4</v>
      </c>
      <c r="T161" s="55" t="str">
        <f>+IF(JUNIO!T161=0,"",JUNIO!T161)</f>
        <v>Comunicaciones y Transportes</v>
      </c>
      <c r="U161" s="29">
        <f>+ENERO!U161</f>
        <v>14340084</v>
      </c>
      <c r="V161" s="17">
        <f>JUNIO!V161+JULIO!AL161</f>
        <v>0</v>
      </c>
      <c r="W161" s="17">
        <f>JUNIO!W161+JULIO!AM161</f>
        <v>0</v>
      </c>
      <c r="X161" s="20">
        <f t="shared" si="142"/>
        <v>14340084</v>
      </c>
      <c r="Y161" s="21">
        <f>JUNIO!AA161</f>
        <v>9605998</v>
      </c>
      <c r="Z161" s="457">
        <v>0</v>
      </c>
      <c r="AA161" s="20">
        <f t="shared" si="143"/>
        <v>9605998</v>
      </c>
      <c r="AB161" s="21">
        <f>JUNIO!AD161</f>
        <v>9605998</v>
      </c>
      <c r="AC161" s="457">
        <v>0</v>
      </c>
      <c r="AD161" s="20">
        <f t="shared" si="144"/>
        <v>9605998</v>
      </c>
      <c r="AE161" s="21">
        <f>JUNIO!AG161</f>
        <v>6003000</v>
      </c>
      <c r="AF161" s="457">
        <v>1964998</v>
      </c>
      <c r="AG161" s="20">
        <f t="shared" si="145"/>
        <v>7967998</v>
      </c>
      <c r="AH161" s="21">
        <f t="shared" si="146"/>
        <v>4734086</v>
      </c>
      <c r="AI161" s="17">
        <f t="shared" si="147"/>
        <v>4734086</v>
      </c>
      <c r="AJ161" s="18">
        <f t="shared" si="148"/>
        <v>6372086</v>
      </c>
      <c r="AK161" s="10"/>
      <c r="AL161" s="455">
        <v>0</v>
      </c>
      <c r="AM161" s="458">
        <v>0</v>
      </c>
      <c r="AN161" s="10"/>
    </row>
    <row r="162" spans="1:40" s="467" customFormat="1" x14ac:dyDescent="0.2">
      <c r="A162" s="623"/>
      <c r="N162" s="10"/>
      <c r="P162" s="10"/>
      <c r="Q162" s="10"/>
      <c r="R162" s="10"/>
      <c r="S162" s="156" t="str">
        <f>+IF(JUNIO!S162=0,"",JUNIO!S162)</f>
        <v>2020202-5</v>
      </c>
      <c r="T162" s="55" t="str">
        <f>+IF(JUNIO!T162=0,"",JUNIO!T162)</f>
        <v>Viáticos y Gastos de Viaje</v>
      </c>
      <c r="U162" s="29">
        <f>+ENERO!U162</f>
        <v>23894636</v>
      </c>
      <c r="V162" s="17">
        <f>JUNIO!V162+JULIO!AL162</f>
        <v>0</v>
      </c>
      <c r="W162" s="17">
        <f>JUNIO!W162+JULIO!AM162</f>
        <v>0</v>
      </c>
      <c r="X162" s="20">
        <f t="shared" si="142"/>
        <v>23894636</v>
      </c>
      <c r="Y162" s="21">
        <f>JUNIO!AA162</f>
        <v>12414440</v>
      </c>
      <c r="Z162" s="457">
        <v>3398532</v>
      </c>
      <c r="AA162" s="20">
        <f t="shared" si="143"/>
        <v>15812972</v>
      </c>
      <c r="AB162" s="21">
        <f>JUNIO!AD162</f>
        <v>12414440</v>
      </c>
      <c r="AC162" s="457">
        <v>3398532</v>
      </c>
      <c r="AD162" s="20">
        <f t="shared" si="144"/>
        <v>15812972</v>
      </c>
      <c r="AE162" s="21">
        <f>JUNIO!AG162</f>
        <v>12283973</v>
      </c>
      <c r="AF162" s="457">
        <v>2273999</v>
      </c>
      <c r="AG162" s="20">
        <f t="shared" si="145"/>
        <v>14557972</v>
      </c>
      <c r="AH162" s="21">
        <f t="shared" si="146"/>
        <v>8081664</v>
      </c>
      <c r="AI162" s="17">
        <f t="shared" si="147"/>
        <v>8081664</v>
      </c>
      <c r="AJ162" s="18">
        <f t="shared" si="148"/>
        <v>9336664</v>
      </c>
      <c r="AK162" s="10"/>
      <c r="AL162" s="455">
        <v>0</v>
      </c>
      <c r="AM162" s="458">
        <v>0</v>
      </c>
      <c r="AN162" s="10"/>
    </row>
    <row r="163" spans="1:40" s="467" customFormat="1" x14ac:dyDescent="0.2">
      <c r="A163" s="623"/>
      <c r="N163" s="10"/>
      <c r="P163" s="10"/>
      <c r="Q163" s="10"/>
      <c r="R163" s="10"/>
      <c r="S163" s="156" t="str">
        <f>+IF(JUNIO!S163=0,"",JUNIO!S163)</f>
        <v>2020202-6</v>
      </c>
      <c r="T163" s="55" t="str">
        <f>+IF(JUNIO!T163=0,"",JUNIO!T163)</f>
        <v>Plan Integral de Manejo de Residuos Sólidos Hospitalarios</v>
      </c>
      <c r="U163" s="29">
        <f>+ENERO!U163</f>
        <v>8565804</v>
      </c>
      <c r="V163" s="17">
        <f>JUNIO!V163+JULIO!AL163</f>
        <v>0</v>
      </c>
      <c r="W163" s="17">
        <f>JUNIO!W163+JULIO!AM163</f>
        <v>0</v>
      </c>
      <c r="X163" s="20">
        <f t="shared" si="142"/>
        <v>8565804</v>
      </c>
      <c r="Y163" s="21">
        <f>JUNIO!AA163</f>
        <v>4268412</v>
      </c>
      <c r="Z163" s="457">
        <v>502644</v>
      </c>
      <c r="AA163" s="20">
        <f t="shared" si="143"/>
        <v>4771056</v>
      </c>
      <c r="AB163" s="21">
        <f>JUNIO!AD163</f>
        <v>4268412</v>
      </c>
      <c r="AC163" s="457">
        <v>502644</v>
      </c>
      <c r="AD163" s="20">
        <f t="shared" si="144"/>
        <v>4771056</v>
      </c>
      <c r="AE163" s="21">
        <f>JUNIO!AG163</f>
        <v>599972</v>
      </c>
      <c r="AF163" s="457">
        <v>1789382</v>
      </c>
      <c r="AG163" s="20">
        <f t="shared" si="145"/>
        <v>2389354</v>
      </c>
      <c r="AH163" s="21">
        <f t="shared" si="146"/>
        <v>3794748</v>
      </c>
      <c r="AI163" s="17">
        <f t="shared" si="147"/>
        <v>3794748</v>
      </c>
      <c r="AJ163" s="18">
        <f t="shared" si="148"/>
        <v>6176450</v>
      </c>
      <c r="AK163" s="10"/>
      <c r="AL163" s="455">
        <v>0</v>
      </c>
      <c r="AM163" s="458">
        <v>0</v>
      </c>
      <c r="AN163" s="10"/>
    </row>
    <row r="164" spans="1:40" s="467" customFormat="1" x14ac:dyDescent="0.2">
      <c r="A164" s="623"/>
      <c r="N164" s="10"/>
      <c r="P164" s="10"/>
      <c r="Q164" s="10"/>
      <c r="R164" s="10"/>
      <c r="S164" s="156" t="str">
        <f>+IF(JUNIO!S164=0,"",JUNIO!S164)</f>
        <v>2020202-7</v>
      </c>
      <c r="T164" s="55" t="str">
        <f>+IF(JUNIO!T164=0,"",JUNIO!T164)</f>
        <v>Servicios de Laboratorio contratados con terceros</v>
      </c>
      <c r="U164" s="29">
        <f>+ENERO!U164</f>
        <v>12000000</v>
      </c>
      <c r="V164" s="17">
        <f>JUNIO!V164+JULIO!AL164</f>
        <v>0</v>
      </c>
      <c r="W164" s="17">
        <f>JUNIO!W164+JULIO!AM164</f>
        <v>0</v>
      </c>
      <c r="X164" s="20">
        <f t="shared" si="142"/>
        <v>12000000</v>
      </c>
      <c r="Y164" s="21">
        <f>JUNIO!AA164</f>
        <v>1388600</v>
      </c>
      <c r="Z164" s="457">
        <v>1005700</v>
      </c>
      <c r="AA164" s="20">
        <f t="shared" si="143"/>
        <v>2394300</v>
      </c>
      <c r="AB164" s="21">
        <f>JUNIO!AD164</f>
        <v>1388600</v>
      </c>
      <c r="AC164" s="457">
        <v>1005700</v>
      </c>
      <c r="AD164" s="20">
        <f t="shared" si="144"/>
        <v>2394300</v>
      </c>
      <c r="AE164" s="21">
        <f>JUNIO!AG164</f>
        <v>236000</v>
      </c>
      <c r="AF164" s="457">
        <v>147400</v>
      </c>
      <c r="AG164" s="20">
        <f t="shared" si="145"/>
        <v>383400</v>
      </c>
      <c r="AH164" s="21">
        <f t="shared" si="146"/>
        <v>9605700</v>
      </c>
      <c r="AI164" s="17">
        <f t="shared" si="147"/>
        <v>9605700</v>
      </c>
      <c r="AJ164" s="18">
        <f t="shared" si="148"/>
        <v>11616600</v>
      </c>
      <c r="AK164" s="10"/>
      <c r="AL164" s="455">
        <v>0</v>
      </c>
      <c r="AM164" s="458">
        <v>0</v>
      </c>
      <c r="AN164" s="10"/>
    </row>
    <row r="165" spans="1:40" s="467" customFormat="1" x14ac:dyDescent="0.2">
      <c r="A165" s="623"/>
      <c r="N165" s="10"/>
      <c r="P165" s="10"/>
      <c r="Q165" s="10"/>
      <c r="R165" s="10"/>
      <c r="S165" s="156" t="str">
        <f>+IF(JUNIO!S165=0,"",JUNIO!S165)</f>
        <v>2020202-8</v>
      </c>
      <c r="T165" s="55" t="str">
        <f>+IF(JUNIO!T165=0,"",JUNIO!T165)</f>
        <v>Servicios de Rayos X e Imaginología contratado con terceros</v>
      </c>
      <c r="U165" s="29">
        <f>+ENERO!U165</f>
        <v>19000000</v>
      </c>
      <c r="V165" s="17">
        <f>JUNIO!V165+JULIO!AL165</f>
        <v>0</v>
      </c>
      <c r="W165" s="17">
        <f>JUNIO!W165+JULIO!AM165</f>
        <v>0</v>
      </c>
      <c r="X165" s="20">
        <f t="shared" si="142"/>
        <v>19000000</v>
      </c>
      <c r="Y165" s="21">
        <f>JUNIO!AA165</f>
        <v>7436000</v>
      </c>
      <c r="Z165" s="457">
        <v>0</v>
      </c>
      <c r="AA165" s="20">
        <f t="shared" si="143"/>
        <v>7436000</v>
      </c>
      <c r="AB165" s="21">
        <f>JUNIO!AD165</f>
        <v>7436000</v>
      </c>
      <c r="AC165" s="457">
        <v>0</v>
      </c>
      <c r="AD165" s="20">
        <f t="shared" si="144"/>
        <v>7436000</v>
      </c>
      <c r="AE165" s="21">
        <f>JUNIO!AG165</f>
        <v>4407000</v>
      </c>
      <c r="AF165" s="457">
        <v>3029000</v>
      </c>
      <c r="AG165" s="20">
        <f t="shared" si="145"/>
        <v>7436000</v>
      </c>
      <c r="AH165" s="21">
        <f t="shared" si="146"/>
        <v>11564000</v>
      </c>
      <c r="AI165" s="17">
        <f t="shared" si="147"/>
        <v>11564000</v>
      </c>
      <c r="AJ165" s="18">
        <f t="shared" si="148"/>
        <v>11564000</v>
      </c>
      <c r="AK165" s="10"/>
      <c r="AL165" s="455">
        <v>0</v>
      </c>
      <c r="AM165" s="458">
        <v>0</v>
      </c>
      <c r="AN165" s="10"/>
    </row>
    <row r="166" spans="1:40" s="467" customFormat="1" x14ac:dyDescent="0.2">
      <c r="A166" s="623"/>
      <c r="N166" s="10"/>
      <c r="P166" s="10"/>
      <c r="Q166" s="10"/>
      <c r="R166" s="10"/>
      <c r="S166" s="156" t="str">
        <f>+IF(JUNIO!S166=0,"",JUNIO!S166)</f>
        <v>2020202-9</v>
      </c>
      <c r="T166" s="55" t="str">
        <f>+IF(JUNIO!T166=0,"",JUNIO!T166)</f>
        <v>Arrendamientos</v>
      </c>
      <c r="U166" s="29">
        <f>+ENERO!U166</f>
        <v>5493510</v>
      </c>
      <c r="V166" s="17">
        <f>JUNIO!V166+JULIO!AL166</f>
        <v>0</v>
      </c>
      <c r="W166" s="17">
        <f>JUNIO!W166+JULIO!AM166</f>
        <v>0</v>
      </c>
      <c r="X166" s="20">
        <f t="shared" si="142"/>
        <v>5493510</v>
      </c>
      <c r="Y166" s="21">
        <f>JUNIO!AA166</f>
        <v>3412667</v>
      </c>
      <c r="Z166" s="457">
        <v>1902333</v>
      </c>
      <c r="AA166" s="20">
        <f t="shared" si="143"/>
        <v>5315000</v>
      </c>
      <c r="AB166" s="21">
        <f>JUNIO!AD166</f>
        <v>3412667</v>
      </c>
      <c r="AC166" s="457">
        <v>1902333</v>
      </c>
      <c r="AD166" s="20">
        <f t="shared" si="144"/>
        <v>5315000</v>
      </c>
      <c r="AE166" s="21">
        <f>JUNIO!AG166</f>
        <v>260000</v>
      </c>
      <c r="AF166" s="457">
        <v>1460000</v>
      </c>
      <c r="AG166" s="20">
        <f t="shared" si="145"/>
        <v>1720000</v>
      </c>
      <c r="AH166" s="21">
        <f t="shared" si="146"/>
        <v>178510</v>
      </c>
      <c r="AI166" s="17">
        <f t="shared" si="147"/>
        <v>178510</v>
      </c>
      <c r="AJ166" s="18">
        <f t="shared" si="148"/>
        <v>3773510</v>
      </c>
      <c r="AK166" s="10"/>
      <c r="AL166" s="455">
        <v>0</v>
      </c>
      <c r="AM166" s="458">
        <v>0</v>
      </c>
      <c r="AN166" s="10"/>
    </row>
    <row r="167" spans="1:40" s="467" customFormat="1" x14ac:dyDescent="0.2">
      <c r="A167" s="623"/>
      <c r="N167" s="10"/>
      <c r="P167" s="10"/>
      <c r="Q167" s="10"/>
      <c r="R167" s="10"/>
      <c r="S167" s="156" t="str">
        <f>+IF(JUNIO!S167=0,"",JUNIO!S167)</f>
        <v>2020202-10</v>
      </c>
      <c r="T167" s="55" t="str">
        <f>+IF(JUNIO!T167=0,"",JUNIO!T167)</f>
        <v>Servicios Públicos</v>
      </c>
      <c r="U167" s="29">
        <f>+ENERO!U167</f>
        <v>0</v>
      </c>
      <c r="V167" s="17">
        <f>JUNIO!V167+JULIO!AL167</f>
        <v>0</v>
      </c>
      <c r="W167" s="17">
        <f>JUNIO!W167+JULIO!AM167</f>
        <v>0</v>
      </c>
      <c r="X167" s="20">
        <f>SUM(U167:W167)</f>
        <v>0</v>
      </c>
      <c r="Y167" s="21">
        <f>JUNIO!AA167</f>
        <v>0</v>
      </c>
      <c r="Z167" s="457">
        <v>0</v>
      </c>
      <c r="AA167" s="20">
        <f>SUM(Y167:Z167)</f>
        <v>0</v>
      </c>
      <c r="AB167" s="21">
        <f>JUNIO!AD167</f>
        <v>0</v>
      </c>
      <c r="AC167" s="457">
        <v>0</v>
      </c>
      <c r="AD167" s="20">
        <f>SUM(AB167:AC167)</f>
        <v>0</v>
      </c>
      <c r="AE167" s="21">
        <f>JUNIO!AG167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+IF(JUNIO!S168=0,"",JUNIO!S168)</f>
        <v>2020299</v>
      </c>
      <c r="T168" s="159" t="str">
        <f>+IF(JUNIO!T168=0,"",JUNIO!T168)</f>
        <v>Vigencias Anteriores</v>
      </c>
      <c r="U168" s="29">
        <f>+ENERO!U168</f>
        <v>12730159</v>
      </c>
      <c r="V168" s="17">
        <f>JUNIO!V168+JULIO!AL168</f>
        <v>-2041325</v>
      </c>
      <c r="W168" s="17">
        <f>JUNIO!W168+JULIO!AM168</f>
        <v>0</v>
      </c>
      <c r="X168" s="20">
        <f t="shared" si="142"/>
        <v>10688834</v>
      </c>
      <c r="Y168" s="21">
        <f>JUNIO!AA168</f>
        <v>10688834</v>
      </c>
      <c r="Z168" s="457">
        <v>0</v>
      </c>
      <c r="AA168" s="20">
        <f t="shared" si="143"/>
        <v>10688834</v>
      </c>
      <c r="AB168" s="21">
        <f>JUNIO!AD168</f>
        <v>10688834</v>
      </c>
      <c r="AC168" s="457">
        <v>0</v>
      </c>
      <c r="AD168" s="20">
        <f t="shared" si="144"/>
        <v>10688834</v>
      </c>
      <c r="AE168" s="21">
        <f>JUNIO!AG168</f>
        <v>8929684</v>
      </c>
      <c r="AF168" s="457">
        <v>1392000</v>
      </c>
      <c r="AG168" s="20">
        <f t="shared" si="145"/>
        <v>10321684</v>
      </c>
      <c r="AH168" s="21">
        <f t="shared" si="146"/>
        <v>0</v>
      </c>
      <c r="AI168" s="17">
        <f t="shared" si="147"/>
        <v>0</v>
      </c>
      <c r="AJ168" s="18">
        <f t="shared" si="148"/>
        <v>367150</v>
      </c>
      <c r="AK168" s="10"/>
      <c r="AL168" s="455">
        <v>0</v>
      </c>
      <c r="AM168" s="458">
        <v>0</v>
      </c>
      <c r="AN168" s="10"/>
    </row>
    <row r="169" spans="1:40" s="467" customFormat="1" ht="15.75" x14ac:dyDescent="0.2">
      <c r="A169" s="623"/>
      <c r="N169" s="10"/>
      <c r="P169" s="10"/>
      <c r="Q169" s="10"/>
      <c r="R169" s="10"/>
      <c r="S169" s="448" t="str">
        <f>+IF(JUNIO!S169=0,"",JUNIO!S169)</f>
        <v/>
      </c>
      <c r="T169" s="649" t="str">
        <f>+IF(JUNIO!T169=0,"",JUNIO!T169)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+IF(JUNIO!S170=0,"",JUNIO!S170)</f>
        <v>3000000</v>
      </c>
      <c r="T170" s="588" t="str">
        <f>+IF(JUNIO!T170=0,"",JUNIO!T170)</f>
        <v>TRANSFERENCIAS CORRIENTES</v>
      </c>
      <c r="U170" s="589">
        <f t="shared" ref="U170:AJ170" si="149">U172+U176+U185</f>
        <v>217489235</v>
      </c>
      <c r="V170" s="590">
        <f t="shared" si="149"/>
        <v>-12907692</v>
      </c>
      <c r="W170" s="590">
        <f t="shared" si="149"/>
        <v>0</v>
      </c>
      <c r="X170" s="591">
        <f t="shared" si="149"/>
        <v>204581543</v>
      </c>
      <c r="Y170" s="464">
        <f t="shared" si="149"/>
        <v>71401290</v>
      </c>
      <c r="Z170" s="590">
        <f t="shared" si="149"/>
        <v>15722710</v>
      </c>
      <c r="AA170" s="591">
        <f t="shared" si="149"/>
        <v>87124000</v>
      </c>
      <c r="AB170" s="464">
        <f t="shared" si="149"/>
        <v>71401290</v>
      </c>
      <c r="AC170" s="590">
        <f t="shared" si="149"/>
        <v>15722710</v>
      </c>
      <c r="AD170" s="591">
        <f t="shared" si="149"/>
        <v>87124000</v>
      </c>
      <c r="AE170" s="464">
        <f t="shared" si="149"/>
        <v>63396313</v>
      </c>
      <c r="AF170" s="590">
        <f t="shared" si="149"/>
        <v>19559517</v>
      </c>
      <c r="AG170" s="591">
        <f t="shared" si="149"/>
        <v>82955830</v>
      </c>
      <c r="AH170" s="464">
        <f t="shared" si="149"/>
        <v>117457543</v>
      </c>
      <c r="AI170" s="590">
        <f t="shared" si="149"/>
        <v>117457543</v>
      </c>
      <c r="AJ170" s="465">
        <f t="shared" si="149"/>
        <v>121625713</v>
      </c>
      <c r="AK170" s="10"/>
      <c r="AL170" s="151">
        <f>AL172+AL176+AL185</f>
        <v>0</v>
      </c>
      <c r="AM170" s="153">
        <f>AM172+AM176+AM185</f>
        <v>0</v>
      </c>
      <c r="AN170" s="10"/>
    </row>
    <row r="171" spans="1:40" s="467" customFormat="1" ht="15.75" x14ac:dyDescent="0.2">
      <c r="A171" s="623"/>
      <c r="N171" s="10"/>
      <c r="P171" s="10"/>
      <c r="Q171" s="10"/>
      <c r="R171" s="10"/>
      <c r="S171" s="448" t="str">
        <f>+IF(JUNIO!S171=0,"",JUNIO!S171)</f>
        <v/>
      </c>
      <c r="T171" s="649" t="str">
        <f>+IF(JUNIO!T171=0,"",JUNIO!T171)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+IF(JUNIO!S172=0,"",JUNIO!S172)</f>
        <v>3100000</v>
      </c>
      <c r="T172" s="158" t="str">
        <f>+IF(JUNIO!T172=0,"",JUNIO!T172)</f>
        <v>Transferencias al Sector Público</v>
      </c>
      <c r="U172" s="157">
        <f t="shared" ref="U172:AJ172" si="150">SUM(U173:U174)</f>
        <v>2689964</v>
      </c>
      <c r="V172" s="144">
        <f t="shared" si="150"/>
        <v>746499</v>
      </c>
      <c r="W172" s="144">
        <f t="shared" si="150"/>
        <v>0</v>
      </c>
      <c r="X172" s="152">
        <f t="shared" si="150"/>
        <v>3436463</v>
      </c>
      <c r="Y172" s="151">
        <f t="shared" si="150"/>
        <v>1357197</v>
      </c>
      <c r="Z172" s="144">
        <f t="shared" si="150"/>
        <v>101783</v>
      </c>
      <c r="AA172" s="152">
        <f t="shared" si="150"/>
        <v>1458980</v>
      </c>
      <c r="AB172" s="151">
        <f t="shared" si="150"/>
        <v>1357197</v>
      </c>
      <c r="AC172" s="144">
        <f t="shared" si="150"/>
        <v>101783</v>
      </c>
      <c r="AD172" s="152">
        <f t="shared" si="150"/>
        <v>1458980</v>
      </c>
      <c r="AE172" s="151">
        <f t="shared" si="150"/>
        <v>746499</v>
      </c>
      <c r="AF172" s="144">
        <f t="shared" si="150"/>
        <v>0</v>
      </c>
      <c r="AG172" s="152">
        <f t="shared" si="150"/>
        <v>746499</v>
      </c>
      <c r="AH172" s="151">
        <f t="shared" si="150"/>
        <v>1977483</v>
      </c>
      <c r="AI172" s="144">
        <f t="shared" si="150"/>
        <v>1977483</v>
      </c>
      <c r="AJ172" s="153">
        <f t="shared" si="150"/>
        <v>2689964</v>
      </c>
      <c r="AK172" s="10"/>
      <c r="AL172" s="151">
        <f>SUM(AL173:AL174)</f>
        <v>0</v>
      </c>
      <c r="AM172" s="153">
        <f>SUM(AM173:AM174)</f>
        <v>0</v>
      </c>
      <c r="AN172" s="10"/>
    </row>
    <row r="173" spans="1:40" s="467" customFormat="1" x14ac:dyDescent="0.2">
      <c r="A173" s="623"/>
      <c r="N173" s="10"/>
      <c r="P173" s="10"/>
      <c r="Q173" s="10"/>
      <c r="R173" s="10"/>
      <c r="S173" s="155">
        <f>+IF(JUNIO!S173=0,"",JUNIO!S173)</f>
        <v>3100003</v>
      </c>
      <c r="T173" s="159" t="str">
        <f>+IF(JUNIO!T173=0,"",JUNIO!T173)</f>
        <v>Entidades Públicas (Contraloria, Supersalud,…)</v>
      </c>
      <c r="U173" s="29">
        <f>+ENERO!U173</f>
        <v>2689964</v>
      </c>
      <c r="V173" s="17">
        <f>JUNIO!V173+JULIO!AL173</f>
        <v>0</v>
      </c>
      <c r="W173" s="17">
        <f>JUNIO!W173+JULIO!AM173</f>
        <v>0</v>
      </c>
      <c r="X173" s="20">
        <f>SUM(U173:W173)</f>
        <v>2689964</v>
      </c>
      <c r="Y173" s="21">
        <f>JUNIO!AA173</f>
        <v>610698</v>
      </c>
      <c r="Z173" s="457">
        <v>101783</v>
      </c>
      <c r="AA173" s="20">
        <f>SUM(Y173:Z173)</f>
        <v>712481</v>
      </c>
      <c r="AB173" s="21">
        <f>JUNIO!AD173</f>
        <v>610698</v>
      </c>
      <c r="AC173" s="457">
        <v>101783</v>
      </c>
      <c r="AD173" s="20">
        <f>SUM(AB173:AC173)</f>
        <v>712481</v>
      </c>
      <c r="AE173" s="21">
        <f>JUNIO!AG173</f>
        <v>0</v>
      </c>
      <c r="AF173" s="457">
        <v>0</v>
      </c>
      <c r="AG173" s="20">
        <f>SUM(AE173:AF173)</f>
        <v>0</v>
      </c>
      <c r="AH173" s="21">
        <f>X173-AA173</f>
        <v>1977483</v>
      </c>
      <c r="AI173" s="17">
        <f>X173-AD173</f>
        <v>1977483</v>
      </c>
      <c r="AJ173" s="18">
        <f>X173-AG173</f>
        <v>2689964</v>
      </c>
      <c r="AK173" s="10"/>
      <c r="AL173" s="455">
        <v>0</v>
      </c>
      <c r="AM173" s="458">
        <v>0</v>
      </c>
      <c r="AN173" s="10"/>
    </row>
    <row r="174" spans="1:40" s="467" customFormat="1" x14ac:dyDescent="0.2">
      <c r="A174" s="623"/>
      <c r="N174" s="10"/>
      <c r="P174" s="10"/>
      <c r="Q174" s="10"/>
      <c r="R174" s="10"/>
      <c r="S174" s="155">
        <f>+IF(JUNIO!S174=0,"",JUNIO!S174)</f>
        <v>3199999</v>
      </c>
      <c r="T174" s="159" t="str">
        <f>+IF(JUNIO!T174=0,"",JUNIO!T174)</f>
        <v>Vigencias Anteriores</v>
      </c>
      <c r="U174" s="29">
        <f>+ENERO!U174</f>
        <v>0</v>
      </c>
      <c r="V174" s="17">
        <f>JUNIO!V174+JULIO!AL174</f>
        <v>746499</v>
      </c>
      <c r="W174" s="17">
        <f>JUNIO!W174+JULIO!AM174</f>
        <v>0</v>
      </c>
      <c r="X174" s="20">
        <f>SUM(U174:W174)</f>
        <v>746499</v>
      </c>
      <c r="Y174" s="21">
        <f>JUNIO!AA174</f>
        <v>746499</v>
      </c>
      <c r="Z174" s="457">
        <v>0</v>
      </c>
      <c r="AA174" s="20">
        <f>SUM(Y174:Z174)</f>
        <v>746499</v>
      </c>
      <c r="AB174" s="21">
        <f>JUNIO!AD174</f>
        <v>746499</v>
      </c>
      <c r="AC174" s="457">
        <v>0</v>
      </c>
      <c r="AD174" s="20">
        <f>SUM(AB174:AC174)</f>
        <v>746499</v>
      </c>
      <c r="AE174" s="21">
        <f>JUNIO!AG174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+IF(JUNIO!S175=0,"",JUNIO!S175)</f>
        <v/>
      </c>
      <c r="T175" s="649" t="str">
        <f>+IF(JUNIO!T175=0,"",JUNIO!T175)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+IF(JUNIO!S176=0,"",JUNIO!S176)</f>
        <v>320000</v>
      </c>
      <c r="T176" s="158" t="str">
        <f>+IF(JUNIO!T176=0,"",JUNIO!T176)</f>
        <v>Transf. Previsión y Seguridad Social</v>
      </c>
      <c r="U176" s="157">
        <f t="shared" ref="U176:AJ176" si="151">SUM(U177:U183)</f>
        <v>213299271</v>
      </c>
      <c r="V176" s="144">
        <f t="shared" si="151"/>
        <v>-14130741</v>
      </c>
      <c r="W176" s="144">
        <f t="shared" si="151"/>
        <v>0</v>
      </c>
      <c r="X176" s="152">
        <f t="shared" si="151"/>
        <v>199168530</v>
      </c>
      <c r="Y176" s="151">
        <f t="shared" si="151"/>
        <v>69428343</v>
      </c>
      <c r="Z176" s="144">
        <f t="shared" si="151"/>
        <v>15191182</v>
      </c>
      <c r="AA176" s="152">
        <f t="shared" si="151"/>
        <v>84619525</v>
      </c>
      <c r="AB176" s="151">
        <f t="shared" si="151"/>
        <v>69428343</v>
      </c>
      <c r="AC176" s="144">
        <f t="shared" si="151"/>
        <v>15191182</v>
      </c>
      <c r="AD176" s="152">
        <f t="shared" si="151"/>
        <v>84619525</v>
      </c>
      <c r="AE176" s="151">
        <f t="shared" si="151"/>
        <v>62173264</v>
      </c>
      <c r="AF176" s="144">
        <f t="shared" si="151"/>
        <v>19420317</v>
      </c>
      <c r="AG176" s="152">
        <f t="shared" si="151"/>
        <v>81593581</v>
      </c>
      <c r="AH176" s="151">
        <f t="shared" si="151"/>
        <v>114549005</v>
      </c>
      <c r="AI176" s="144">
        <f t="shared" si="151"/>
        <v>114549005</v>
      </c>
      <c r="AJ176" s="153">
        <f t="shared" si="151"/>
        <v>117574949</v>
      </c>
      <c r="AK176" s="10"/>
      <c r="AL176" s="151">
        <f>SUM(AL177:AL183)</f>
        <v>0</v>
      </c>
      <c r="AM176" s="153">
        <f>SUM(AM177:AM183)</f>
        <v>0</v>
      </c>
      <c r="AN176" s="10"/>
    </row>
    <row r="177" spans="1:40" s="467" customFormat="1" x14ac:dyDescent="0.2">
      <c r="A177" s="623"/>
      <c r="N177" s="10"/>
      <c r="P177" s="10"/>
      <c r="Q177" s="10"/>
      <c r="R177" s="10"/>
      <c r="S177" s="155">
        <f>+IF(JUNIO!S177=0,"",JUNIO!S177)</f>
        <v>3200100</v>
      </c>
      <c r="T177" s="159" t="str">
        <f>+IF(JUNIO!T177=0,"",JUNIO!T177)</f>
        <v>Pensiones y Jubilaciones (Pago Directo)</v>
      </c>
      <c r="U177" s="29">
        <f>+ENERO!U177</f>
        <v>104106866</v>
      </c>
      <c r="V177" s="17">
        <f>JUNIO!V177+JULIO!AL177</f>
        <v>0</v>
      </c>
      <c r="W177" s="17">
        <f>JUNIO!W177+JULIO!AM177</f>
        <v>0</v>
      </c>
      <c r="X177" s="20">
        <f t="shared" ref="X177:X183" si="152">SUM(U177:W177)</f>
        <v>104106866</v>
      </c>
      <c r="Y177" s="21">
        <f>JUNIO!AA177</f>
        <v>44315213</v>
      </c>
      <c r="Z177" s="457">
        <v>14402426</v>
      </c>
      <c r="AA177" s="20">
        <f t="shared" ref="AA177:AA183" si="153">SUM(Y177:Z177)</f>
        <v>58717639</v>
      </c>
      <c r="AB177" s="21">
        <f>JUNIO!AD177</f>
        <v>44315213</v>
      </c>
      <c r="AC177" s="457">
        <v>14402426</v>
      </c>
      <c r="AD177" s="20">
        <f t="shared" ref="AD177:AD183" si="154">SUM(AB177:AC177)</f>
        <v>58717639</v>
      </c>
      <c r="AE177" s="21">
        <f>JUNIO!AG177</f>
        <v>40020086</v>
      </c>
      <c r="AF177" s="457">
        <v>17566161</v>
      </c>
      <c r="AG177" s="20">
        <f t="shared" ref="AG177:AG183" si="155">SUM(AE177:AF177)</f>
        <v>57586247</v>
      </c>
      <c r="AH177" s="21">
        <f t="shared" ref="AH177:AH183" si="156">X177-AA177</f>
        <v>45389227</v>
      </c>
      <c r="AI177" s="17">
        <f t="shared" ref="AI177:AI183" si="157">X177-AD177</f>
        <v>45389227</v>
      </c>
      <c r="AJ177" s="18">
        <f t="shared" ref="AJ177:AJ183" si="158">X177-AG177</f>
        <v>46520619</v>
      </c>
      <c r="AK177" s="10"/>
      <c r="AL177" s="455">
        <v>0</v>
      </c>
      <c r="AM177" s="458">
        <v>0</v>
      </c>
      <c r="AN177" s="10"/>
    </row>
    <row r="178" spans="1:40" s="467" customFormat="1" x14ac:dyDescent="0.2">
      <c r="A178" s="623"/>
      <c r="N178" s="10"/>
      <c r="P178" s="10"/>
      <c r="Q178" s="10"/>
      <c r="R178" s="10"/>
      <c r="S178" s="155">
        <f>+IF(JUNIO!S178=0,"",JUNIO!S178)</f>
        <v>3200200</v>
      </c>
      <c r="T178" s="159" t="str">
        <f>+IF(JUNIO!T178=0,"",JUNIO!T178)</f>
        <v>Cesantías Pago Directo (Pago Directo)</v>
      </c>
      <c r="U178" s="29">
        <f>+ENERO!U178</f>
        <v>22532311</v>
      </c>
      <c r="V178" s="17">
        <f>JUNIO!V178+JULIO!AL178</f>
        <v>0</v>
      </c>
      <c r="W178" s="17">
        <f>JUNIO!W178+JULIO!AM178</f>
        <v>0</v>
      </c>
      <c r="X178" s="20">
        <f t="shared" si="152"/>
        <v>22532311</v>
      </c>
      <c r="Y178" s="21">
        <f>JUNIO!AA178</f>
        <v>5000000</v>
      </c>
      <c r="Z178" s="457">
        <v>0</v>
      </c>
      <c r="AA178" s="20">
        <f t="shared" si="153"/>
        <v>5000000</v>
      </c>
      <c r="AB178" s="21">
        <f>JUNIO!AD178</f>
        <v>5000000</v>
      </c>
      <c r="AC178" s="457">
        <v>0</v>
      </c>
      <c r="AD178" s="20">
        <f t="shared" si="154"/>
        <v>5000000</v>
      </c>
      <c r="AE178" s="21">
        <f>JUNIO!AG178</f>
        <v>5000000</v>
      </c>
      <c r="AF178" s="457">
        <v>0</v>
      </c>
      <c r="AG178" s="20">
        <f t="shared" si="155"/>
        <v>5000000</v>
      </c>
      <c r="AH178" s="21">
        <f t="shared" si="156"/>
        <v>17532311</v>
      </c>
      <c r="AI178" s="17">
        <f t="shared" si="157"/>
        <v>17532311</v>
      </c>
      <c r="AJ178" s="18">
        <f t="shared" si="158"/>
        <v>17532311</v>
      </c>
      <c r="AK178" s="10"/>
      <c r="AL178" s="455">
        <v>0</v>
      </c>
      <c r="AM178" s="458">
        <v>0</v>
      </c>
      <c r="AN178" s="10"/>
    </row>
    <row r="179" spans="1:40" s="467" customFormat="1" x14ac:dyDescent="0.2">
      <c r="A179" s="623"/>
      <c r="N179" s="10"/>
      <c r="P179" s="10"/>
      <c r="Q179" s="10"/>
      <c r="R179" s="10"/>
      <c r="S179" s="155">
        <f>+IF(JUNIO!S179=0,"",JUNIO!S179)</f>
        <v>3200300</v>
      </c>
      <c r="T179" s="159" t="str">
        <f>+IF(JUNIO!T179=0,"",JUNIO!T179)</f>
        <v>Bonos, Cuotas de Bonos y cuotas partes jubilatorias</v>
      </c>
      <c r="U179" s="29">
        <f>+ENERO!U179</f>
        <v>70000000</v>
      </c>
      <c r="V179" s="17">
        <f>JUNIO!V179+JULIO!AL179</f>
        <v>-17721746</v>
      </c>
      <c r="W179" s="17">
        <f>JUNIO!W179+JULIO!AM179</f>
        <v>0</v>
      </c>
      <c r="X179" s="20">
        <f t="shared" si="152"/>
        <v>52278254</v>
      </c>
      <c r="Y179" s="21">
        <f>JUNIO!AA179</f>
        <v>3416959</v>
      </c>
      <c r="Z179" s="457">
        <v>788756</v>
      </c>
      <c r="AA179" s="20">
        <f t="shared" si="153"/>
        <v>4205715</v>
      </c>
      <c r="AB179" s="21">
        <f>JUNIO!AD179</f>
        <v>3416959</v>
      </c>
      <c r="AC179" s="457">
        <v>788756</v>
      </c>
      <c r="AD179" s="20">
        <f t="shared" si="154"/>
        <v>4205715</v>
      </c>
      <c r="AE179" s="21">
        <f>JUNIO!AG179</f>
        <v>1981020</v>
      </c>
      <c r="AF179" s="457">
        <v>472535</v>
      </c>
      <c r="AG179" s="20">
        <f t="shared" si="155"/>
        <v>2453555</v>
      </c>
      <c r="AH179" s="21">
        <f t="shared" si="156"/>
        <v>48072539</v>
      </c>
      <c r="AI179" s="17">
        <f t="shared" si="157"/>
        <v>48072539</v>
      </c>
      <c r="AJ179" s="18">
        <f t="shared" si="158"/>
        <v>49824699</v>
      </c>
      <c r="AK179" s="10"/>
      <c r="AL179" s="455">
        <v>0</v>
      </c>
      <c r="AM179" s="458">
        <v>0</v>
      </c>
      <c r="AN179" s="10"/>
    </row>
    <row r="180" spans="1:40" s="467" customFormat="1" x14ac:dyDescent="0.2">
      <c r="A180" s="623"/>
      <c r="N180" s="10"/>
      <c r="P180" s="10"/>
      <c r="Q180" s="10"/>
      <c r="R180" s="10"/>
      <c r="S180" s="155">
        <f>+IF(JUNIO!S180=0,"",JUNIO!S180)</f>
        <v>3200400</v>
      </c>
      <c r="T180" s="159" t="str">
        <f>+IF(JUNIO!T180=0,"",JUNIO!T180)</f>
        <v>Intereses a las cesantias</v>
      </c>
      <c r="U180" s="29">
        <f>+ENERO!U180</f>
        <v>14660094</v>
      </c>
      <c r="V180" s="17">
        <f>JUNIO!V180+JULIO!AL180</f>
        <v>0</v>
      </c>
      <c r="W180" s="17">
        <f>JUNIO!W180+JULIO!AM180</f>
        <v>0</v>
      </c>
      <c r="X180" s="20">
        <f t="shared" si="152"/>
        <v>14660094</v>
      </c>
      <c r="Y180" s="21">
        <f>JUNIO!AA180</f>
        <v>11105166</v>
      </c>
      <c r="Z180" s="457">
        <v>0</v>
      </c>
      <c r="AA180" s="20">
        <f t="shared" si="153"/>
        <v>11105166</v>
      </c>
      <c r="AB180" s="21">
        <f>JUNIO!AD180</f>
        <v>11105166</v>
      </c>
      <c r="AC180" s="457">
        <v>0</v>
      </c>
      <c r="AD180" s="20">
        <f t="shared" si="154"/>
        <v>11105166</v>
      </c>
      <c r="AE180" s="21">
        <f>JUNIO!AG180</f>
        <v>10526223</v>
      </c>
      <c r="AF180" s="457">
        <v>436551</v>
      </c>
      <c r="AG180" s="20">
        <f t="shared" si="155"/>
        <v>10962774</v>
      </c>
      <c r="AH180" s="21">
        <f t="shared" si="156"/>
        <v>3554928</v>
      </c>
      <c r="AI180" s="17">
        <f t="shared" si="157"/>
        <v>3554928</v>
      </c>
      <c r="AJ180" s="18">
        <f t="shared" si="158"/>
        <v>3697320</v>
      </c>
      <c r="AK180" s="10"/>
      <c r="AL180" s="455">
        <v>0</v>
      </c>
      <c r="AM180" s="458">
        <v>0</v>
      </c>
      <c r="AN180" s="10"/>
    </row>
    <row r="181" spans="1:40" s="467" customFormat="1" x14ac:dyDescent="0.2">
      <c r="A181" s="623"/>
      <c r="N181" s="10"/>
      <c r="P181" s="10"/>
      <c r="Q181" s="10"/>
      <c r="R181" s="10"/>
      <c r="S181" s="155" t="str">
        <f>+IF(JUNIO!S181=0,"",JUNIO!S181)</f>
        <v/>
      </c>
      <c r="T181" s="159" t="str">
        <f>+IF(JUNIO!T181=0,"",JUNIO!T181)</f>
        <v/>
      </c>
      <c r="U181" s="29">
        <f>+ENERO!U181</f>
        <v>0</v>
      </c>
      <c r="V181" s="17">
        <f>JUNIO!V181+JULIO!AL181</f>
        <v>0</v>
      </c>
      <c r="W181" s="17">
        <f>JUNIO!W181+JULIO!AM181</f>
        <v>0</v>
      </c>
      <c r="X181" s="20">
        <f t="shared" si="152"/>
        <v>0</v>
      </c>
      <c r="Y181" s="21">
        <f>JUNIO!AA181</f>
        <v>0</v>
      </c>
      <c r="Z181" s="457">
        <v>0</v>
      </c>
      <c r="AA181" s="20">
        <f t="shared" si="153"/>
        <v>0</v>
      </c>
      <c r="AB181" s="21">
        <f>JUNIO!AD181</f>
        <v>0</v>
      </c>
      <c r="AC181" s="457">
        <v>0</v>
      </c>
      <c r="AD181" s="20">
        <f t="shared" si="154"/>
        <v>0</v>
      </c>
      <c r="AE181" s="21">
        <f>JUNIO!AG181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N182" s="10"/>
      <c r="P182" s="10"/>
      <c r="Q182" s="10"/>
      <c r="R182" s="10"/>
      <c r="S182" s="155" t="str">
        <f>+IF(JUNIO!S182=0,"",JUNIO!S182)</f>
        <v/>
      </c>
      <c r="T182" s="159" t="str">
        <f>+IF(JUNIO!T182=0,"",JUNIO!T182)</f>
        <v/>
      </c>
      <c r="U182" s="29">
        <f>+ENERO!U182</f>
        <v>0</v>
      </c>
      <c r="V182" s="17">
        <f>JUNIO!V182+JULIO!AL182</f>
        <v>0</v>
      </c>
      <c r="W182" s="17">
        <f>JUNIO!W182+JULIO!AM182</f>
        <v>0</v>
      </c>
      <c r="X182" s="20">
        <f t="shared" si="152"/>
        <v>0</v>
      </c>
      <c r="Y182" s="21">
        <f>JUNIO!AA182</f>
        <v>0</v>
      </c>
      <c r="Z182" s="457">
        <v>0</v>
      </c>
      <c r="AA182" s="20">
        <f t="shared" si="153"/>
        <v>0</v>
      </c>
      <c r="AB182" s="21">
        <f>JUNIO!AD182</f>
        <v>0</v>
      </c>
      <c r="AC182" s="457">
        <v>0</v>
      </c>
      <c r="AD182" s="20">
        <f t="shared" si="154"/>
        <v>0</v>
      </c>
      <c r="AE182" s="21">
        <f>JUNIO!AG182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N183" s="10"/>
      <c r="P183" s="10"/>
      <c r="Q183" s="10"/>
      <c r="R183" s="10"/>
      <c r="S183" s="155">
        <f>+IF(JUNIO!S183=0,"",JUNIO!S183)</f>
        <v>3299999</v>
      </c>
      <c r="T183" s="159" t="str">
        <f>+IF(JUNIO!T183=0,"",JUNIO!T183)</f>
        <v>Vigencias Anteriores</v>
      </c>
      <c r="U183" s="29">
        <f>+ENERO!U183</f>
        <v>2000000</v>
      </c>
      <c r="V183" s="17">
        <f>JUNIO!V183+JULIO!AL183</f>
        <v>3591005</v>
      </c>
      <c r="W183" s="17">
        <f>JUNIO!W183+JULIO!AM183</f>
        <v>0</v>
      </c>
      <c r="X183" s="20">
        <f t="shared" si="152"/>
        <v>5591005</v>
      </c>
      <c r="Y183" s="21">
        <f>JUNIO!AA183</f>
        <v>5591005</v>
      </c>
      <c r="Z183" s="457">
        <v>0</v>
      </c>
      <c r="AA183" s="20">
        <f t="shared" si="153"/>
        <v>5591005</v>
      </c>
      <c r="AB183" s="21">
        <f>JUNIO!AD183</f>
        <v>5591005</v>
      </c>
      <c r="AC183" s="457">
        <v>0</v>
      </c>
      <c r="AD183" s="20">
        <f t="shared" si="154"/>
        <v>5591005</v>
      </c>
      <c r="AE183" s="21">
        <f>JUNIO!AG183</f>
        <v>4645935</v>
      </c>
      <c r="AF183" s="457">
        <v>945070</v>
      </c>
      <c r="AG183" s="20">
        <f t="shared" si="155"/>
        <v>5591005</v>
      </c>
      <c r="AH183" s="21">
        <f t="shared" si="156"/>
        <v>0</v>
      </c>
      <c r="AI183" s="17">
        <f t="shared" si="157"/>
        <v>0</v>
      </c>
      <c r="AJ183" s="18">
        <f t="shared" si="158"/>
        <v>0</v>
      </c>
      <c r="AK183" s="10"/>
      <c r="AL183" s="455">
        <v>0</v>
      </c>
      <c r="AM183" s="458">
        <v>0</v>
      </c>
      <c r="AN183" s="10"/>
    </row>
    <row r="184" spans="1:40" s="467" customFormat="1" ht="15.75" x14ac:dyDescent="0.2">
      <c r="A184" s="623"/>
      <c r="N184" s="10"/>
      <c r="P184" s="10"/>
      <c r="Q184" s="10"/>
      <c r="R184" s="10"/>
      <c r="S184" s="448" t="str">
        <f>+IF(JUNIO!S184=0,"",JUNIO!S184)</f>
        <v/>
      </c>
      <c r="T184" s="649" t="str">
        <f>+IF(JUNIO!T184=0,"",JUNIO!T184)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+IF(JUNIO!S185=0,"",JUNIO!S185)</f>
        <v>3300000</v>
      </c>
      <c r="T185" s="158" t="str">
        <f>+IF(JUNIO!T185=0,"",JUNIO!T185)</f>
        <v>Otras Transferencias</v>
      </c>
      <c r="U185" s="157">
        <f t="shared" ref="U185:AJ185" si="159">U186+U187+U191</f>
        <v>1500000</v>
      </c>
      <c r="V185" s="144">
        <f t="shared" si="159"/>
        <v>476550</v>
      </c>
      <c r="W185" s="144">
        <f t="shared" si="159"/>
        <v>0</v>
      </c>
      <c r="X185" s="152">
        <f t="shared" si="159"/>
        <v>1976550</v>
      </c>
      <c r="Y185" s="151">
        <f t="shared" si="159"/>
        <v>615750</v>
      </c>
      <c r="Z185" s="144">
        <f t="shared" si="159"/>
        <v>429745</v>
      </c>
      <c r="AA185" s="152">
        <f t="shared" si="159"/>
        <v>1045495</v>
      </c>
      <c r="AB185" s="151">
        <f t="shared" si="159"/>
        <v>615750</v>
      </c>
      <c r="AC185" s="144">
        <f t="shared" si="159"/>
        <v>429745</v>
      </c>
      <c r="AD185" s="152">
        <f t="shared" si="159"/>
        <v>1045495</v>
      </c>
      <c r="AE185" s="151">
        <f t="shared" si="159"/>
        <v>476550</v>
      </c>
      <c r="AF185" s="144">
        <f t="shared" si="159"/>
        <v>139200</v>
      </c>
      <c r="AG185" s="152">
        <f t="shared" si="159"/>
        <v>615750</v>
      </c>
      <c r="AH185" s="151">
        <f t="shared" si="159"/>
        <v>931055</v>
      </c>
      <c r="AI185" s="144">
        <f t="shared" si="159"/>
        <v>931055</v>
      </c>
      <c r="AJ185" s="153">
        <f t="shared" si="159"/>
        <v>1360800</v>
      </c>
      <c r="AK185" s="10"/>
      <c r="AL185" s="151">
        <f>AL186+AL187+AL191</f>
        <v>0</v>
      </c>
      <c r="AM185" s="153">
        <f>AM186+AM187+AM191</f>
        <v>0</v>
      </c>
      <c r="AN185" s="10"/>
    </row>
    <row r="186" spans="1:40" s="467" customFormat="1" x14ac:dyDescent="0.2">
      <c r="A186" s="623"/>
      <c r="N186" s="10"/>
      <c r="P186" s="10"/>
      <c r="Q186" s="10"/>
      <c r="R186" s="10"/>
      <c r="S186" s="155">
        <f>+IF(JUNIO!S186=0,"",JUNIO!S186)</f>
        <v>3300100</v>
      </c>
      <c r="T186" s="159" t="str">
        <f>+IF(JUNIO!T186=0,"",JUNIO!T186)</f>
        <v>Sentencias y Conciliaciones</v>
      </c>
      <c r="U186" s="29">
        <f>+ENERO!U186</f>
        <v>0</v>
      </c>
      <c r="V186" s="17">
        <f>JUNIO!V186+JULIO!AL186</f>
        <v>0</v>
      </c>
      <c r="W186" s="17">
        <f>JUNIO!W186+JULIO!AM186</f>
        <v>0</v>
      </c>
      <c r="X186" s="20">
        <f>SUM(U186:W186)</f>
        <v>0</v>
      </c>
      <c r="Y186" s="21">
        <f>JUNIO!AA186</f>
        <v>0</v>
      </c>
      <c r="Z186" s="457">
        <v>0</v>
      </c>
      <c r="AA186" s="20">
        <f>SUM(Y186:Z186)</f>
        <v>0</v>
      </c>
      <c r="AB186" s="21">
        <f>JUNIO!AD186</f>
        <v>0</v>
      </c>
      <c r="AC186" s="457">
        <v>0</v>
      </c>
      <c r="AD186" s="20">
        <f>SUM(AB186:AC186)</f>
        <v>0</v>
      </c>
      <c r="AE186" s="21">
        <f>JUNIO!AG186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+IF(JUNIO!S187=0,"",JUNIO!S187)</f>
        <v>3300200</v>
      </c>
      <c r="T187" s="159" t="str">
        <f>+IF(JUNIO!T187=0,"",JUNIO!T187)</f>
        <v>Destinatarios de otras transferencias</v>
      </c>
      <c r="U187" s="29">
        <f t="shared" ref="U187:AM187" si="160">SUM(U188:U190)</f>
        <v>1500000</v>
      </c>
      <c r="V187" s="17">
        <f t="shared" si="160"/>
        <v>0</v>
      </c>
      <c r="W187" s="17">
        <f t="shared" si="160"/>
        <v>0</v>
      </c>
      <c r="X187" s="20">
        <f t="shared" si="160"/>
        <v>1500000</v>
      </c>
      <c r="Y187" s="21">
        <f t="shared" si="160"/>
        <v>139200</v>
      </c>
      <c r="Z187" s="169">
        <f t="shared" si="160"/>
        <v>429745</v>
      </c>
      <c r="AA187" s="20">
        <f t="shared" si="160"/>
        <v>568945</v>
      </c>
      <c r="AB187" s="21">
        <f t="shared" si="160"/>
        <v>139200</v>
      </c>
      <c r="AC187" s="169">
        <f t="shared" si="160"/>
        <v>429745</v>
      </c>
      <c r="AD187" s="20">
        <f t="shared" si="160"/>
        <v>568945</v>
      </c>
      <c r="AE187" s="21">
        <f t="shared" si="160"/>
        <v>0</v>
      </c>
      <c r="AF187" s="169">
        <f t="shared" si="160"/>
        <v>139200</v>
      </c>
      <c r="AG187" s="20">
        <f t="shared" si="160"/>
        <v>139200</v>
      </c>
      <c r="AH187" s="21">
        <f t="shared" si="160"/>
        <v>931055</v>
      </c>
      <c r="AI187" s="17">
        <f t="shared" si="160"/>
        <v>931055</v>
      </c>
      <c r="AJ187" s="18">
        <f t="shared" si="160"/>
        <v>1360800</v>
      </c>
      <c r="AK187" s="10"/>
      <c r="AL187" s="31">
        <f t="shared" si="160"/>
        <v>0</v>
      </c>
      <c r="AM187" s="28">
        <f t="shared" si="160"/>
        <v>0</v>
      </c>
      <c r="AN187" s="10"/>
    </row>
    <row r="188" spans="1:40" s="467" customFormat="1" x14ac:dyDescent="0.2">
      <c r="A188" s="623"/>
      <c r="B188" s="554"/>
      <c r="N188" s="10"/>
      <c r="P188" s="10"/>
      <c r="Q188" s="10"/>
      <c r="R188" s="10"/>
      <c r="S188" s="156" t="str">
        <f>+IF(JUNIO!S188=0,"",JUNIO!S188)</f>
        <v>3300200-1</v>
      </c>
      <c r="T188" s="159" t="str">
        <f>+IF(JUNIO!T188=0,"",JUNIO!T188)</f>
        <v>COHAN</v>
      </c>
      <c r="U188" s="29">
        <f>+ENERO!U188</f>
        <v>1500000</v>
      </c>
      <c r="V188" s="17">
        <f>JUNIO!V188+JULIO!AL188</f>
        <v>0</v>
      </c>
      <c r="W188" s="17">
        <f>JUNIO!W188+JULIO!AM188</f>
        <v>0</v>
      </c>
      <c r="X188" s="20">
        <f>SUM(U188:W188)</f>
        <v>1500000</v>
      </c>
      <c r="Y188" s="21">
        <f>JUNIO!AA188</f>
        <v>139200</v>
      </c>
      <c r="Z188" s="457">
        <v>429745</v>
      </c>
      <c r="AA188" s="20">
        <f>SUM(Y188:Z188)</f>
        <v>568945</v>
      </c>
      <c r="AB188" s="21">
        <f>JUNIO!AD188</f>
        <v>139200</v>
      </c>
      <c r="AC188" s="457">
        <v>429745</v>
      </c>
      <c r="AD188" s="20">
        <f>SUM(AB188:AC188)</f>
        <v>568945</v>
      </c>
      <c r="AE188" s="21">
        <f>JUNIO!AG188</f>
        <v>0</v>
      </c>
      <c r="AF188" s="457">
        <v>139200</v>
      </c>
      <c r="AG188" s="20">
        <f>SUM(AE188:AF188)</f>
        <v>139200</v>
      </c>
      <c r="AH188" s="21">
        <f>X188-AA188</f>
        <v>931055</v>
      </c>
      <c r="AI188" s="17">
        <f>X188-AD188</f>
        <v>931055</v>
      </c>
      <c r="AJ188" s="18">
        <f>X188-AG188</f>
        <v>1360800</v>
      </c>
      <c r="AK188" s="10"/>
      <c r="AL188" s="455">
        <v>0</v>
      </c>
      <c r="AM188" s="458">
        <v>0</v>
      </c>
      <c r="AN188" s="10"/>
    </row>
    <row r="189" spans="1:40" s="467" customFormat="1" x14ac:dyDescent="0.2">
      <c r="A189" s="623"/>
      <c r="B189" s="554"/>
      <c r="N189" s="10"/>
      <c r="P189" s="10"/>
      <c r="Q189" s="10"/>
      <c r="R189" s="10"/>
      <c r="S189" s="156" t="str">
        <f>+IF(JUNIO!S189=0,"",JUNIO!S189)</f>
        <v>3300200-2</v>
      </c>
      <c r="T189" s="159" t="str">
        <f>+IF(JUNIO!T189=0,"",JUNIO!T189)</f>
        <v>AESA</v>
      </c>
      <c r="U189" s="29">
        <f>+ENERO!U189</f>
        <v>0</v>
      </c>
      <c r="V189" s="17">
        <f>JUNIO!V189+JULIO!AL189</f>
        <v>0</v>
      </c>
      <c r="W189" s="17">
        <f>JUNIO!W189+JULIO!AM189</f>
        <v>0</v>
      </c>
      <c r="X189" s="20">
        <f>SUM(U189:W189)</f>
        <v>0</v>
      </c>
      <c r="Y189" s="21">
        <f>JUNIO!AA189</f>
        <v>0</v>
      </c>
      <c r="Z189" s="457">
        <v>0</v>
      </c>
      <c r="AA189" s="20">
        <f>SUM(Y189:Z189)</f>
        <v>0</v>
      </c>
      <c r="AB189" s="21">
        <f>JUNIO!AD189</f>
        <v>0</v>
      </c>
      <c r="AC189" s="457">
        <v>0</v>
      </c>
      <c r="AD189" s="20">
        <f>SUM(AB189:AC189)</f>
        <v>0</v>
      </c>
      <c r="AE189" s="21">
        <f>JUNIO!AG189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+IF(JUNIO!S190=0,"",JUNIO!S190)</f>
        <v>3300200-3</v>
      </c>
      <c r="T190" s="159" t="str">
        <f>+IF(JUNIO!T190=0,"",JUNIO!T190)</f>
        <v xml:space="preserve">OTRAS </v>
      </c>
      <c r="U190" s="29">
        <f>+ENERO!U190</f>
        <v>0</v>
      </c>
      <c r="V190" s="17">
        <f>JUNIO!V190+JULIO!AL190</f>
        <v>0</v>
      </c>
      <c r="W190" s="17">
        <f>JUNIO!W190+JULIO!AM190</f>
        <v>0</v>
      </c>
      <c r="X190" s="20">
        <f>SUM(U190:W190)</f>
        <v>0</v>
      </c>
      <c r="Y190" s="21">
        <f>JUNIO!AA190</f>
        <v>0</v>
      </c>
      <c r="Z190" s="457">
        <v>0</v>
      </c>
      <c r="AA190" s="20">
        <f>SUM(Y190:Z190)</f>
        <v>0</v>
      </c>
      <c r="AB190" s="21">
        <f>JUNIO!AD190</f>
        <v>0</v>
      </c>
      <c r="AC190" s="457">
        <v>0</v>
      </c>
      <c r="AD190" s="20">
        <f>SUM(AB190:AC190)</f>
        <v>0</v>
      </c>
      <c r="AE190" s="21">
        <f>JUNIO!AG190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+IF(JUNIO!S191=0,"",JUNIO!S191)</f>
        <v>3399999</v>
      </c>
      <c r="T191" s="159" t="str">
        <f>+IF(JUNIO!T191=0,"",JUNIO!T191)</f>
        <v>Vigencias Anteriores</v>
      </c>
      <c r="U191" s="29">
        <f>+ENERO!U191</f>
        <v>0</v>
      </c>
      <c r="V191" s="17">
        <f>JUNIO!V191+JULIO!AL191</f>
        <v>476550</v>
      </c>
      <c r="W191" s="17">
        <f>JUNIO!W191+JULIO!AM191</f>
        <v>0</v>
      </c>
      <c r="X191" s="20">
        <f>SUM(U191:W191)</f>
        <v>476550</v>
      </c>
      <c r="Y191" s="21">
        <f>JUNIO!AA191</f>
        <v>476550</v>
      </c>
      <c r="Z191" s="457">
        <v>0</v>
      </c>
      <c r="AA191" s="20">
        <f>SUM(Y191:Z191)</f>
        <v>476550</v>
      </c>
      <c r="AB191" s="21">
        <f>JUNIO!AD191</f>
        <v>476550</v>
      </c>
      <c r="AC191" s="457">
        <v>0</v>
      </c>
      <c r="AD191" s="20">
        <f>SUM(AB191:AC191)</f>
        <v>476550</v>
      </c>
      <c r="AE191" s="21">
        <f>JUNIO!AG191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+IF(JUNIO!S192=0,"",JUNIO!S192)</f>
        <v/>
      </c>
      <c r="T192" s="649" t="str">
        <f>+IF(JUNIO!T192=0,"",JUNIO!T192)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+IF(JUNIO!S193=0,"",JUNIO!S193)</f>
        <v>4000000</v>
      </c>
      <c r="T193" s="588" t="str">
        <f>+IF(JUNIO!T193=0,"",JUNIO!T193)</f>
        <v>GASTOS  DE PRESTACION DE SERVICIOS</v>
      </c>
      <c r="U193" s="589">
        <f t="shared" ref="U193:AJ193" si="161">U194</f>
        <v>355892858</v>
      </c>
      <c r="V193" s="590">
        <f t="shared" si="161"/>
        <v>15217291</v>
      </c>
      <c r="W193" s="590">
        <f t="shared" si="161"/>
        <v>17783068</v>
      </c>
      <c r="X193" s="591">
        <f t="shared" si="161"/>
        <v>388893217</v>
      </c>
      <c r="Y193" s="464">
        <f t="shared" si="161"/>
        <v>195545059</v>
      </c>
      <c r="Z193" s="590">
        <f t="shared" si="161"/>
        <v>25970473</v>
      </c>
      <c r="AA193" s="591">
        <f t="shared" si="161"/>
        <v>221515532</v>
      </c>
      <c r="AB193" s="464">
        <f t="shared" si="161"/>
        <v>195518048</v>
      </c>
      <c r="AC193" s="590">
        <f t="shared" si="161"/>
        <v>25970171</v>
      </c>
      <c r="AD193" s="591">
        <f t="shared" si="161"/>
        <v>221488219</v>
      </c>
      <c r="AE193" s="464">
        <f t="shared" si="161"/>
        <v>120197703</v>
      </c>
      <c r="AF193" s="590">
        <f t="shared" si="161"/>
        <v>26668947</v>
      </c>
      <c r="AG193" s="591">
        <f t="shared" si="161"/>
        <v>146866650</v>
      </c>
      <c r="AH193" s="464">
        <f t="shared" si="161"/>
        <v>167377685</v>
      </c>
      <c r="AI193" s="590">
        <f t="shared" si="161"/>
        <v>167404998</v>
      </c>
      <c r="AJ193" s="465">
        <f t="shared" si="161"/>
        <v>242026567</v>
      </c>
      <c r="AK193" s="10"/>
      <c r="AL193" s="151">
        <f>AL194</f>
        <v>0</v>
      </c>
      <c r="AM193" s="153">
        <f>AM194</f>
        <v>0</v>
      </c>
      <c r="AN193" s="10"/>
    </row>
    <row r="194" spans="1:40" s="467" customFormat="1" ht="15" x14ac:dyDescent="0.2">
      <c r="A194" s="623"/>
      <c r="B194" s="554"/>
      <c r="N194" s="10"/>
      <c r="P194" s="10"/>
      <c r="Q194" s="10"/>
      <c r="R194" s="10"/>
      <c r="S194" s="34">
        <f>+IF(JUNIO!S194=0,"",JUNIO!S194)</f>
        <v>4100000</v>
      </c>
      <c r="T194" s="158" t="str">
        <f>+IF(JUNIO!T194=0,"",JUNIO!T194)</f>
        <v>Insumos y Suministros Hospitalarios</v>
      </c>
      <c r="U194" s="157">
        <f t="shared" ref="U194:AJ194" si="162">U195+U203+U205</f>
        <v>355892858</v>
      </c>
      <c r="V194" s="144">
        <f t="shared" si="162"/>
        <v>15217291</v>
      </c>
      <c r="W194" s="144">
        <f t="shared" si="162"/>
        <v>17783068</v>
      </c>
      <c r="X194" s="152">
        <f t="shared" si="162"/>
        <v>388893217</v>
      </c>
      <c r="Y194" s="151">
        <f t="shared" si="162"/>
        <v>195545059</v>
      </c>
      <c r="Z194" s="144">
        <f t="shared" si="162"/>
        <v>25970473</v>
      </c>
      <c r="AA194" s="152">
        <f t="shared" si="162"/>
        <v>221515532</v>
      </c>
      <c r="AB194" s="151">
        <f t="shared" si="162"/>
        <v>195518048</v>
      </c>
      <c r="AC194" s="144">
        <f t="shared" si="162"/>
        <v>25970171</v>
      </c>
      <c r="AD194" s="152">
        <f t="shared" si="162"/>
        <v>221488219</v>
      </c>
      <c r="AE194" s="151">
        <f t="shared" si="162"/>
        <v>120197703</v>
      </c>
      <c r="AF194" s="144">
        <f t="shared" si="162"/>
        <v>26668947</v>
      </c>
      <c r="AG194" s="152">
        <f t="shared" si="162"/>
        <v>146866650</v>
      </c>
      <c r="AH194" s="151">
        <f t="shared" si="162"/>
        <v>167377685</v>
      </c>
      <c r="AI194" s="144">
        <f t="shared" si="162"/>
        <v>167404998</v>
      </c>
      <c r="AJ194" s="153">
        <f t="shared" si="162"/>
        <v>242026567</v>
      </c>
      <c r="AK194" s="12"/>
      <c r="AL194" s="151">
        <f>AL195+AL203+AL205</f>
        <v>0</v>
      </c>
      <c r="AM194" s="153">
        <f>AM195+AM203+AM205</f>
        <v>0</v>
      </c>
      <c r="AN194" s="10"/>
    </row>
    <row r="195" spans="1:40" s="467" customFormat="1" x14ac:dyDescent="0.2">
      <c r="A195" s="623"/>
      <c r="B195" s="554"/>
      <c r="N195" s="10"/>
      <c r="P195" s="10"/>
      <c r="Q195" s="10"/>
      <c r="R195" s="10"/>
      <c r="S195" s="155">
        <f>+IF(JUNIO!S195=0,"",JUNIO!S195)</f>
        <v>4100100</v>
      </c>
      <c r="T195" s="159" t="str">
        <f>+IF(JUNIO!T195=0,"",JUNIO!T195)</f>
        <v>Compra de Bienes para la Prestacion de servicios</v>
      </c>
      <c r="U195" s="29">
        <f t="shared" ref="U195:AJ195" si="163">SUM(U196:U202)</f>
        <v>282124359</v>
      </c>
      <c r="V195" s="17">
        <f t="shared" si="163"/>
        <v>0</v>
      </c>
      <c r="W195" s="17">
        <f t="shared" si="163"/>
        <v>17783068</v>
      </c>
      <c r="X195" s="20">
        <f t="shared" si="163"/>
        <v>299907427</v>
      </c>
      <c r="Y195" s="21">
        <f t="shared" si="163"/>
        <v>125209667</v>
      </c>
      <c r="Z195" s="169">
        <f t="shared" si="163"/>
        <v>25032225</v>
      </c>
      <c r="AA195" s="20">
        <f t="shared" si="163"/>
        <v>150241892</v>
      </c>
      <c r="AB195" s="21">
        <f t="shared" si="163"/>
        <v>125182656</v>
      </c>
      <c r="AC195" s="169">
        <f t="shared" si="163"/>
        <v>25031923</v>
      </c>
      <c r="AD195" s="20">
        <f t="shared" si="163"/>
        <v>150214579</v>
      </c>
      <c r="AE195" s="21">
        <f t="shared" si="163"/>
        <v>53357393</v>
      </c>
      <c r="AF195" s="169">
        <f t="shared" si="163"/>
        <v>23358865</v>
      </c>
      <c r="AG195" s="20">
        <f t="shared" si="163"/>
        <v>76716258</v>
      </c>
      <c r="AH195" s="21">
        <f t="shared" si="163"/>
        <v>149665535</v>
      </c>
      <c r="AI195" s="17">
        <f t="shared" si="163"/>
        <v>149692848</v>
      </c>
      <c r="AJ195" s="18">
        <f t="shared" si="163"/>
        <v>223191169</v>
      </c>
      <c r="AK195" s="10"/>
      <c r="AL195" s="31">
        <f>SUM(AL196:AL202)</f>
        <v>0</v>
      </c>
      <c r="AM195" s="28">
        <f>SUM(AM196:AM202)</f>
        <v>0</v>
      </c>
      <c r="AN195" s="10"/>
    </row>
    <row r="196" spans="1:40" s="467" customFormat="1" x14ac:dyDescent="0.2">
      <c r="A196" s="623"/>
      <c r="B196" s="554"/>
      <c r="N196" s="10"/>
      <c r="P196" s="10"/>
      <c r="Q196" s="10"/>
      <c r="R196" s="10"/>
      <c r="S196" s="156" t="str">
        <f>+IF(JUNIO!S196=0,"",JUNIO!S196)</f>
        <v>4100100-1</v>
      </c>
      <c r="T196" s="55" t="str">
        <f>+IF(JUNIO!T196=0,"",JUNIO!T196)</f>
        <v>Productos Farmaceuticos</v>
      </c>
      <c r="U196" s="29">
        <f>+ENERO!U196</f>
        <v>185254982</v>
      </c>
      <c r="V196" s="17">
        <f>JUNIO!V196+JULIO!AL196</f>
        <v>0</v>
      </c>
      <c r="W196" s="17">
        <f>JUNIO!W196+JULIO!AM196</f>
        <v>17783068</v>
      </c>
      <c r="X196" s="20">
        <f t="shared" ref="X196:X202" si="164">SUM(U196:W196)</f>
        <v>203038050</v>
      </c>
      <c r="Y196" s="21">
        <f>JUNIO!AA196</f>
        <v>78191840</v>
      </c>
      <c r="Z196" s="457">
        <v>17734927</v>
      </c>
      <c r="AA196" s="20">
        <f t="shared" ref="AA196:AA202" si="165">SUM(Y196:Z196)</f>
        <v>95926767</v>
      </c>
      <c r="AB196" s="21">
        <f>JUNIO!AD196</f>
        <v>78164831</v>
      </c>
      <c r="AC196" s="457">
        <v>17734927</v>
      </c>
      <c r="AD196" s="20">
        <f t="shared" ref="AD196:AD202" si="166">SUM(AB196:AC196)</f>
        <v>95899758</v>
      </c>
      <c r="AE196" s="21">
        <f>JUNIO!AG196</f>
        <v>37258871</v>
      </c>
      <c r="AF196" s="457">
        <v>14009025</v>
      </c>
      <c r="AG196" s="20">
        <f t="shared" ref="AG196:AG202" si="167">SUM(AE196:AF196)</f>
        <v>51267896</v>
      </c>
      <c r="AH196" s="21">
        <f t="shared" ref="AH196:AH202" si="168">X196-AA196</f>
        <v>107111283</v>
      </c>
      <c r="AI196" s="17">
        <f t="shared" ref="AI196:AI202" si="169">X196-AD196</f>
        <v>107138292</v>
      </c>
      <c r="AJ196" s="18">
        <f t="shared" ref="AJ196:AJ202" si="170">X196-AG196</f>
        <v>151770154</v>
      </c>
      <c r="AK196" s="10"/>
      <c r="AL196" s="455">
        <v>0</v>
      </c>
      <c r="AM196" s="458">
        <v>0</v>
      </c>
      <c r="AN196" s="10"/>
    </row>
    <row r="197" spans="1:40" s="467" customFormat="1" x14ac:dyDescent="0.2">
      <c r="A197" s="623"/>
      <c r="B197" s="554"/>
      <c r="N197" s="10"/>
      <c r="P197" s="10"/>
      <c r="Q197" s="10"/>
      <c r="R197" s="10"/>
      <c r="S197" s="156" t="str">
        <f>+IF(JUNIO!S197=0,"",JUNIO!S197)</f>
        <v>4100100-2</v>
      </c>
      <c r="T197" s="55" t="str">
        <f>+IF(JUNIO!T197=0,"",JUNIO!T197)</f>
        <v>Material Médico Quirúrgico</v>
      </c>
      <c r="U197" s="29">
        <f>+ENERO!U197</f>
        <v>45805235</v>
      </c>
      <c r="V197" s="17">
        <f>JUNIO!V197+JULIO!AL197</f>
        <v>0</v>
      </c>
      <c r="W197" s="17">
        <f>JUNIO!W197+JULIO!AM197</f>
        <v>0</v>
      </c>
      <c r="X197" s="20">
        <f t="shared" si="164"/>
        <v>45805235</v>
      </c>
      <c r="Y197" s="21">
        <f>JUNIO!AA197</f>
        <v>24139136</v>
      </c>
      <c r="Z197" s="457">
        <v>4125049</v>
      </c>
      <c r="AA197" s="20">
        <f t="shared" si="165"/>
        <v>28264185</v>
      </c>
      <c r="AB197" s="21">
        <f>JUNIO!AD197</f>
        <v>24139134</v>
      </c>
      <c r="AC197" s="457">
        <v>4125047</v>
      </c>
      <c r="AD197" s="20">
        <f t="shared" si="166"/>
        <v>28264181</v>
      </c>
      <c r="AE197" s="21">
        <f>JUNIO!AG197</f>
        <v>10427563</v>
      </c>
      <c r="AF197" s="457">
        <v>5111983</v>
      </c>
      <c r="AG197" s="20">
        <f t="shared" si="167"/>
        <v>15539546</v>
      </c>
      <c r="AH197" s="21">
        <f t="shared" si="168"/>
        <v>17541050</v>
      </c>
      <c r="AI197" s="17">
        <f t="shared" si="169"/>
        <v>17541054</v>
      </c>
      <c r="AJ197" s="18">
        <f t="shared" si="170"/>
        <v>30265689</v>
      </c>
      <c r="AK197" s="10"/>
      <c r="AL197" s="455">
        <v>0</v>
      </c>
      <c r="AM197" s="458">
        <v>0</v>
      </c>
      <c r="AN197" s="10"/>
    </row>
    <row r="198" spans="1:40" s="467" customFormat="1" x14ac:dyDescent="0.2">
      <c r="A198" s="623"/>
      <c r="B198" s="554"/>
      <c r="N198" s="10"/>
      <c r="P198" s="10"/>
      <c r="Q198" s="10"/>
      <c r="R198" s="10"/>
      <c r="S198" s="156" t="str">
        <f>+IF(JUNIO!S198=0,"",JUNIO!S198)</f>
        <v>4100100-3</v>
      </c>
      <c r="T198" s="55" t="str">
        <f>+IF(JUNIO!T198=0,"",JUNIO!T198)</f>
        <v>Material de Laboratorio</v>
      </c>
      <c r="U198" s="29">
        <f>+ENERO!U198</f>
        <v>28507645</v>
      </c>
      <c r="V198" s="17">
        <f>JUNIO!V198+JULIO!AL198</f>
        <v>0</v>
      </c>
      <c r="W198" s="17">
        <f>JUNIO!W198+JULIO!AM198</f>
        <v>0</v>
      </c>
      <c r="X198" s="20">
        <f t="shared" si="164"/>
        <v>28507645</v>
      </c>
      <c r="Y198" s="21">
        <f>JUNIO!AA198</f>
        <v>13993533</v>
      </c>
      <c r="Z198" s="814">
        <v>553649</v>
      </c>
      <c r="AA198" s="20">
        <f t="shared" si="165"/>
        <v>14547182</v>
      </c>
      <c r="AB198" s="21">
        <f>JUNIO!AD198</f>
        <v>13993533</v>
      </c>
      <c r="AC198" s="457">
        <v>553349</v>
      </c>
      <c r="AD198" s="20">
        <f t="shared" si="166"/>
        <v>14546882</v>
      </c>
      <c r="AE198" s="21">
        <f>JUNIO!AG198</f>
        <v>2356464</v>
      </c>
      <c r="AF198" s="457">
        <v>3965020</v>
      </c>
      <c r="AG198" s="20">
        <f t="shared" si="167"/>
        <v>6321484</v>
      </c>
      <c r="AH198" s="21">
        <f t="shared" si="168"/>
        <v>13960463</v>
      </c>
      <c r="AI198" s="17">
        <f t="shared" si="169"/>
        <v>13960763</v>
      </c>
      <c r="AJ198" s="18">
        <f t="shared" si="170"/>
        <v>22186161</v>
      </c>
      <c r="AK198" s="10"/>
      <c r="AL198" s="455">
        <v>0</v>
      </c>
      <c r="AM198" s="458">
        <v>0</v>
      </c>
      <c r="AN198" s="10"/>
    </row>
    <row r="199" spans="1:40" s="467" customFormat="1" x14ac:dyDescent="0.2">
      <c r="A199" s="623"/>
      <c r="B199" s="554"/>
      <c r="N199" s="10"/>
      <c r="P199" s="10"/>
      <c r="Q199" s="10"/>
      <c r="R199" s="10"/>
      <c r="S199" s="156" t="str">
        <f>+IF(JUNIO!S199=0,"",JUNIO!S199)</f>
        <v>4100100-4</v>
      </c>
      <c r="T199" s="55" t="str">
        <f>+IF(JUNIO!T199=0,"",JUNIO!T199)</f>
        <v>Material para Odontologia</v>
      </c>
      <c r="U199" s="29">
        <f>+ENERO!U199</f>
        <v>13598841</v>
      </c>
      <c r="V199" s="17">
        <f>JUNIO!V199+JULIO!AL199</f>
        <v>0</v>
      </c>
      <c r="W199" s="17">
        <f>JUNIO!W199+JULIO!AM199</f>
        <v>0</v>
      </c>
      <c r="X199" s="20">
        <f t="shared" si="164"/>
        <v>13598841</v>
      </c>
      <c r="Y199" s="21">
        <f>JUNIO!AA199</f>
        <v>4977390</v>
      </c>
      <c r="Z199" s="457">
        <v>2618600</v>
      </c>
      <c r="AA199" s="20">
        <f t="shared" si="165"/>
        <v>7595990</v>
      </c>
      <c r="AB199" s="21">
        <f>JUNIO!AD199</f>
        <v>4977390</v>
      </c>
      <c r="AC199" s="457">
        <v>2618600</v>
      </c>
      <c r="AD199" s="20">
        <f t="shared" si="166"/>
        <v>7595990</v>
      </c>
      <c r="AE199" s="21">
        <f>JUNIO!AG199</f>
        <v>1272050</v>
      </c>
      <c r="AF199" s="457">
        <v>0</v>
      </c>
      <c r="AG199" s="20">
        <f t="shared" si="167"/>
        <v>1272050</v>
      </c>
      <c r="AH199" s="21">
        <f t="shared" si="168"/>
        <v>6002851</v>
      </c>
      <c r="AI199" s="17">
        <f t="shared" si="169"/>
        <v>6002851</v>
      </c>
      <c r="AJ199" s="18">
        <f t="shared" si="170"/>
        <v>12326791</v>
      </c>
      <c r="AK199" s="10"/>
      <c r="AL199" s="455">
        <v>0</v>
      </c>
      <c r="AM199" s="458">
        <v>0</v>
      </c>
      <c r="AN199" s="10"/>
    </row>
    <row r="200" spans="1:40" s="467" customFormat="1" x14ac:dyDescent="0.2">
      <c r="A200" s="623"/>
      <c r="B200" s="554"/>
      <c r="N200" s="10"/>
      <c r="P200" s="10"/>
      <c r="Q200" s="10"/>
      <c r="R200" s="10"/>
      <c r="S200" s="156" t="str">
        <f>+IF(JUNIO!S200=0,"",JUNIO!S200)</f>
        <v>4100100-5</v>
      </c>
      <c r="T200" s="55" t="str">
        <f>+IF(JUNIO!T200=0,"",JUNIO!T200)</f>
        <v>Material para Rayos X</v>
      </c>
      <c r="U200" s="29">
        <f>+ENERO!U200</f>
        <v>8957656</v>
      </c>
      <c r="V200" s="17">
        <f>JUNIO!V200+JULIO!AL200</f>
        <v>0</v>
      </c>
      <c r="W200" s="17">
        <f>JUNIO!W200+JULIO!AM200</f>
        <v>0</v>
      </c>
      <c r="X200" s="20">
        <f t="shared" si="164"/>
        <v>8957656</v>
      </c>
      <c r="Y200" s="21">
        <f>JUNIO!AA200</f>
        <v>3907768</v>
      </c>
      <c r="Z200" s="457">
        <v>0</v>
      </c>
      <c r="AA200" s="20">
        <f t="shared" si="165"/>
        <v>3907768</v>
      </c>
      <c r="AB200" s="21">
        <f>JUNIO!AD200</f>
        <v>3907768</v>
      </c>
      <c r="AC200" s="457">
        <v>0</v>
      </c>
      <c r="AD200" s="20">
        <f t="shared" si="166"/>
        <v>3907768</v>
      </c>
      <c r="AE200" s="21">
        <f>JUNIO!AG200</f>
        <v>2042445</v>
      </c>
      <c r="AF200" s="457">
        <v>272837</v>
      </c>
      <c r="AG200" s="20">
        <f t="shared" si="167"/>
        <v>2315282</v>
      </c>
      <c r="AH200" s="21">
        <f t="shared" si="168"/>
        <v>5049888</v>
      </c>
      <c r="AI200" s="17">
        <f t="shared" si="169"/>
        <v>5049888</v>
      </c>
      <c r="AJ200" s="18">
        <f t="shared" si="170"/>
        <v>6642374</v>
      </c>
      <c r="AK200" s="10"/>
      <c r="AL200" s="455">
        <v>0</v>
      </c>
      <c r="AM200" s="458">
        <v>0</v>
      </c>
      <c r="AN200" s="10"/>
    </row>
    <row r="201" spans="1:40" s="467" customFormat="1" x14ac:dyDescent="0.2">
      <c r="A201" s="623"/>
      <c r="B201" s="554"/>
      <c r="N201" s="10"/>
      <c r="P201" s="10"/>
      <c r="Q201" s="10"/>
      <c r="R201" s="10"/>
      <c r="S201" s="156" t="str">
        <f>+IF(JUNIO!S201=0,"",JUNIO!S201)</f>
        <v/>
      </c>
      <c r="T201" s="55" t="str">
        <f>+IF(JUNIO!T201=0,"",JUNIO!T201)</f>
        <v/>
      </c>
      <c r="U201" s="29">
        <f>+ENERO!U201</f>
        <v>0</v>
      </c>
      <c r="V201" s="17">
        <f>JUNIO!V201+JULIO!AL201</f>
        <v>0</v>
      </c>
      <c r="W201" s="17">
        <f>JUNIO!W201+JULIO!AM201</f>
        <v>0</v>
      </c>
      <c r="X201" s="20">
        <f t="shared" si="164"/>
        <v>0</v>
      </c>
      <c r="Y201" s="21">
        <f>JUNIO!AA201</f>
        <v>0</v>
      </c>
      <c r="Z201" s="457">
        <v>0</v>
      </c>
      <c r="AA201" s="20">
        <f t="shared" si="165"/>
        <v>0</v>
      </c>
      <c r="AB201" s="21">
        <f>JUNIO!AD201</f>
        <v>0</v>
      </c>
      <c r="AC201" s="457">
        <v>0</v>
      </c>
      <c r="AD201" s="20">
        <f t="shared" si="166"/>
        <v>0</v>
      </c>
      <c r="AE201" s="21">
        <f>JUNIO!AG201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N202" s="10"/>
      <c r="P202" s="10"/>
      <c r="Q202" s="10"/>
      <c r="R202" s="10"/>
      <c r="S202" s="156" t="str">
        <f>+IF(JUNIO!S202=0,"",JUNIO!S202)</f>
        <v/>
      </c>
      <c r="T202" s="55" t="str">
        <f>+IF(JUNIO!T202=0,"",JUNIO!T202)</f>
        <v/>
      </c>
      <c r="U202" s="29">
        <f>+ENERO!U202</f>
        <v>0</v>
      </c>
      <c r="V202" s="17">
        <f>JUNIO!V202+JULIO!AL202</f>
        <v>0</v>
      </c>
      <c r="W202" s="17">
        <f>JUNIO!W202+JULIO!AM202</f>
        <v>0</v>
      </c>
      <c r="X202" s="20">
        <f t="shared" si="164"/>
        <v>0</v>
      </c>
      <c r="Y202" s="21">
        <f>JUNIO!AA202</f>
        <v>0</v>
      </c>
      <c r="Z202" s="457">
        <v>0</v>
      </c>
      <c r="AA202" s="20">
        <f t="shared" si="165"/>
        <v>0</v>
      </c>
      <c r="AB202" s="21">
        <f>JUNIO!AD202</f>
        <v>0</v>
      </c>
      <c r="AC202" s="457">
        <v>0</v>
      </c>
      <c r="AD202" s="20">
        <f t="shared" si="166"/>
        <v>0</v>
      </c>
      <c r="AE202" s="21">
        <f>JUNIO!AG202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N203" s="10"/>
      <c r="P203" s="10"/>
      <c r="Q203" s="10"/>
      <c r="R203" s="10"/>
      <c r="S203" s="155">
        <f>+IF(JUNIO!S203=0,"",JUNIO!S203)</f>
        <v>4100200</v>
      </c>
      <c r="T203" s="159" t="str">
        <f>+IF(JUNIO!T203=0,"",JUNIO!T203)</f>
        <v>Gastos Complementarios e Intermedios</v>
      </c>
      <c r="U203" s="29">
        <f t="shared" ref="U203:AJ203" si="171">U204</f>
        <v>28768499</v>
      </c>
      <c r="V203" s="17">
        <f t="shared" si="171"/>
        <v>0</v>
      </c>
      <c r="W203" s="17">
        <f t="shared" si="171"/>
        <v>0</v>
      </c>
      <c r="X203" s="20">
        <f t="shared" si="171"/>
        <v>28768499</v>
      </c>
      <c r="Y203" s="21">
        <f t="shared" si="171"/>
        <v>10118101</v>
      </c>
      <c r="Z203" s="169">
        <f t="shared" si="171"/>
        <v>938248</v>
      </c>
      <c r="AA203" s="20">
        <f t="shared" si="171"/>
        <v>11056349</v>
      </c>
      <c r="AB203" s="21">
        <f t="shared" si="171"/>
        <v>10118101</v>
      </c>
      <c r="AC203" s="169">
        <f t="shared" si="171"/>
        <v>938248</v>
      </c>
      <c r="AD203" s="20">
        <f t="shared" si="171"/>
        <v>11056349</v>
      </c>
      <c r="AE203" s="21">
        <f t="shared" si="171"/>
        <v>8358079</v>
      </c>
      <c r="AF203" s="169">
        <f t="shared" si="171"/>
        <v>1575022</v>
      </c>
      <c r="AG203" s="20">
        <f t="shared" si="171"/>
        <v>9933101</v>
      </c>
      <c r="AH203" s="21">
        <f t="shared" si="171"/>
        <v>17712150</v>
      </c>
      <c r="AI203" s="17">
        <f t="shared" si="171"/>
        <v>17712150</v>
      </c>
      <c r="AJ203" s="18">
        <f t="shared" si="171"/>
        <v>18835398</v>
      </c>
      <c r="AK203" s="10"/>
      <c r="AL203" s="31">
        <f>AL204</f>
        <v>0</v>
      </c>
      <c r="AM203" s="28">
        <f>AM204</f>
        <v>0</v>
      </c>
      <c r="AN203" s="10"/>
    </row>
    <row r="204" spans="1:40" s="467" customFormat="1" x14ac:dyDescent="0.2">
      <c r="A204" s="623"/>
      <c r="B204" s="554"/>
      <c r="N204" s="10"/>
      <c r="P204" s="10"/>
      <c r="Q204" s="10"/>
      <c r="R204" s="10"/>
      <c r="S204" s="156" t="str">
        <f>+IF(JUNIO!S204=0,"",JUNIO!S204)</f>
        <v>4100200-1</v>
      </c>
      <c r="T204" s="55" t="str">
        <f>+IF(JUNIO!T204=0,"",JUNIO!T204)</f>
        <v>Alimentación</v>
      </c>
      <c r="U204" s="29">
        <f>+ENERO!U204</f>
        <v>28768499</v>
      </c>
      <c r="V204" s="17">
        <f>JUNIO!V204+JULIO!AL204</f>
        <v>0</v>
      </c>
      <c r="W204" s="17">
        <f>JUNIO!W204+JULIO!AM204</f>
        <v>0</v>
      </c>
      <c r="X204" s="20">
        <f>SUM(U204:W204)</f>
        <v>28768499</v>
      </c>
      <c r="Y204" s="21">
        <f>JUNIO!AA204</f>
        <v>10118101</v>
      </c>
      <c r="Z204" s="457">
        <v>938248</v>
      </c>
      <c r="AA204" s="20">
        <f>SUM(Y204:Z204)</f>
        <v>11056349</v>
      </c>
      <c r="AB204" s="21">
        <f>JUNIO!AD204</f>
        <v>10118101</v>
      </c>
      <c r="AC204" s="457">
        <v>938248</v>
      </c>
      <c r="AD204" s="20">
        <f>SUM(AB204:AC204)</f>
        <v>11056349</v>
      </c>
      <c r="AE204" s="21">
        <f>JUNIO!AG204</f>
        <v>8358079</v>
      </c>
      <c r="AF204" s="457">
        <v>1575022</v>
      </c>
      <c r="AG204" s="20">
        <f>SUM(AE204:AF204)</f>
        <v>9933101</v>
      </c>
      <c r="AH204" s="21">
        <f>X204-AA204</f>
        <v>17712150</v>
      </c>
      <c r="AI204" s="17">
        <f>X204-AD204</f>
        <v>17712150</v>
      </c>
      <c r="AJ204" s="18">
        <f>X204-AG204</f>
        <v>18835398</v>
      </c>
      <c r="AK204" s="10"/>
      <c r="AL204" s="455">
        <v>0</v>
      </c>
      <c r="AM204" s="458">
        <v>0</v>
      </c>
      <c r="AN204" s="10"/>
    </row>
    <row r="205" spans="1:40" s="467" customFormat="1" ht="13.5" thickBot="1" x14ac:dyDescent="0.25">
      <c r="A205" s="623"/>
      <c r="B205" s="554"/>
      <c r="N205" s="10"/>
      <c r="P205" s="10"/>
      <c r="Q205" s="10"/>
      <c r="R205" s="10"/>
      <c r="S205" s="624">
        <f>+IF(JUNIO!S205=0,"",JUNIO!S205)</f>
        <v>4199999</v>
      </c>
      <c r="T205" s="625" t="str">
        <f>+IF(JUNIO!T205=0,"",JUNIO!T205)</f>
        <v>Vigencias Anteriores</v>
      </c>
      <c r="U205" s="160">
        <f>+ENERO!U205</f>
        <v>45000000</v>
      </c>
      <c r="V205" s="143">
        <f>JUNIO!V205+JULIO!AL205</f>
        <v>15217291</v>
      </c>
      <c r="W205" s="143">
        <f>JUNIO!W205+JULIO!AM205</f>
        <v>0</v>
      </c>
      <c r="X205" s="149">
        <f>SUM(U205:W205)</f>
        <v>60217291</v>
      </c>
      <c r="Y205" s="147">
        <f>JUNIO!AA205</f>
        <v>60217291</v>
      </c>
      <c r="Z205" s="475">
        <v>0</v>
      </c>
      <c r="AA205" s="149">
        <f>SUM(Y205:Z205)</f>
        <v>60217291</v>
      </c>
      <c r="AB205" s="147">
        <f>JUNIO!AD205</f>
        <v>60217291</v>
      </c>
      <c r="AC205" s="475">
        <v>0</v>
      </c>
      <c r="AD205" s="149">
        <f>SUM(AB205:AC205)</f>
        <v>60217291</v>
      </c>
      <c r="AE205" s="147">
        <f>JUNIO!AG205</f>
        <v>58482231</v>
      </c>
      <c r="AF205" s="475">
        <v>1735060</v>
      </c>
      <c r="AG205" s="149">
        <f>SUM(AE205:AF205)</f>
        <v>60217291</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+IF(JUNIO!S206=0,"",JUNIO!S206)</f>
        <v/>
      </c>
      <c r="T206" s="628" t="str">
        <f>+IF(JUNIO!T206=0,"",JUNIO!T206)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+IF(JUNIO!S207=0,"",JUNIO!S207)</f>
        <v>B</v>
      </c>
      <c r="T207" s="655" t="str">
        <f>+IF(JUNIO!T207=0,"",JUNIO!T207)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+IF(JUNIO!S209=0,"",JUNIO!S209)</f>
        <v>5000000</v>
      </c>
      <c r="T209" s="469" t="str">
        <f>+IF(JUNIO!T209=0,"",JUNIO!T209)</f>
        <v>GASTOS DE COMERCIALIZACION</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N210" s="10"/>
      <c r="P210" s="10"/>
      <c r="Q210" s="10"/>
      <c r="R210" s="10"/>
      <c r="S210" s="34">
        <f>+IF(JUNIO!S210=0,"",JUNIO!S210)</f>
        <v>5100000</v>
      </c>
      <c r="T210" s="158" t="str">
        <f>+IF(JUNIO!T210=0,"",JUNIO!T210)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N211" s="10"/>
      <c r="P211" s="10"/>
      <c r="Q211" s="10"/>
      <c r="R211" s="10"/>
      <c r="S211" s="155">
        <f>+IF(JUNIO!S211=0,"",JUNIO!S211)</f>
        <v>5100100</v>
      </c>
      <c r="T211" s="159" t="str">
        <f>+IF(JUNIO!T211=0,"",JUNIO!T211)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N212" s="10"/>
      <c r="P212" s="10"/>
      <c r="Q212" s="10"/>
      <c r="R212" s="10"/>
      <c r="S212" s="156" t="str">
        <f>+IF(JUNIO!S212=0,"",JUNIO!S212)</f>
        <v>5100100-1</v>
      </c>
      <c r="T212" s="55" t="str">
        <f>+IF(JUNIO!T212=0,"",JUNIO!T212)</f>
        <v>Productos Farmaceuticos</v>
      </c>
      <c r="U212" s="29">
        <f>+ENERO!U212</f>
        <v>0</v>
      </c>
      <c r="V212" s="17">
        <f>JUNIO!V212+JULIO!AL212</f>
        <v>0</v>
      </c>
      <c r="W212" s="17">
        <f>JUNIO!W212+JULIO!AM212</f>
        <v>0</v>
      </c>
      <c r="X212" s="20">
        <f t="shared" ref="X212:X218" si="176">SUM(U212:W212)</f>
        <v>0</v>
      </c>
      <c r="Y212" s="21">
        <f>JUNIO!AA212</f>
        <v>0</v>
      </c>
      <c r="Z212" s="457">
        <v>0</v>
      </c>
      <c r="AA212" s="20">
        <f t="shared" ref="AA212:AA218" si="177">SUM(Y212:Z212)</f>
        <v>0</v>
      </c>
      <c r="AB212" s="21">
        <f>JUNIO!AD212</f>
        <v>0</v>
      </c>
      <c r="AC212" s="457">
        <v>0</v>
      </c>
      <c r="AD212" s="20">
        <f t="shared" ref="AD212:AD218" si="178">SUM(AB212:AC212)</f>
        <v>0</v>
      </c>
      <c r="AE212" s="21">
        <f>JUNIO!AG212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N213" s="10"/>
      <c r="P213" s="10"/>
      <c r="Q213" s="10"/>
      <c r="R213" s="10"/>
      <c r="S213" s="156" t="str">
        <f>+IF(JUNIO!S213=0,"",JUNIO!S213)</f>
        <v>5100100-2</v>
      </c>
      <c r="T213" s="55" t="str">
        <f>+IF(JUNIO!T213=0,"",JUNIO!T213)</f>
        <v>Material Médico Quirúrgico</v>
      </c>
      <c r="U213" s="29">
        <f>+ENERO!U213</f>
        <v>0</v>
      </c>
      <c r="V213" s="17">
        <f>JUNIO!V213+JULIO!AL213</f>
        <v>0</v>
      </c>
      <c r="W213" s="17">
        <f>JUNIO!W213+JULIO!AM213</f>
        <v>0</v>
      </c>
      <c r="X213" s="20">
        <f t="shared" si="176"/>
        <v>0</v>
      </c>
      <c r="Y213" s="21">
        <f>JUNIO!AA213</f>
        <v>0</v>
      </c>
      <c r="Z213" s="457">
        <v>0</v>
      </c>
      <c r="AA213" s="20">
        <f t="shared" si="177"/>
        <v>0</v>
      </c>
      <c r="AB213" s="21">
        <f>JUNIO!AD213</f>
        <v>0</v>
      </c>
      <c r="AC213" s="457">
        <v>0</v>
      </c>
      <c r="AD213" s="20">
        <f t="shared" si="178"/>
        <v>0</v>
      </c>
      <c r="AE213" s="21">
        <f>JUNIO!AG213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N214" s="10"/>
      <c r="P214" s="10"/>
      <c r="Q214" s="10"/>
      <c r="R214" s="10"/>
      <c r="S214" s="156" t="str">
        <f>+IF(JUNIO!S214=0,"",JUNIO!S214)</f>
        <v>5100100-3</v>
      </c>
      <c r="T214" s="55" t="str">
        <f>+IF(JUNIO!T214=0,"",JUNIO!T214)</f>
        <v>Material de Laboratorio</v>
      </c>
      <c r="U214" s="29">
        <f>+ENERO!U214</f>
        <v>0</v>
      </c>
      <c r="V214" s="17">
        <f>JUNIO!V214+JULIO!AL214</f>
        <v>0</v>
      </c>
      <c r="W214" s="17">
        <f>JUNIO!W214+JULIO!AM214</f>
        <v>0</v>
      </c>
      <c r="X214" s="20">
        <f t="shared" si="176"/>
        <v>0</v>
      </c>
      <c r="Y214" s="21">
        <f>JUNIO!AA214</f>
        <v>0</v>
      </c>
      <c r="Z214" s="457">
        <v>0</v>
      </c>
      <c r="AA214" s="20">
        <f t="shared" si="177"/>
        <v>0</v>
      </c>
      <c r="AB214" s="21">
        <f>JUNIO!AD214</f>
        <v>0</v>
      </c>
      <c r="AC214" s="457">
        <v>0</v>
      </c>
      <c r="AD214" s="20">
        <f t="shared" si="178"/>
        <v>0</v>
      </c>
      <c r="AE214" s="21">
        <f>JUNIO!AG214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N215" s="10"/>
      <c r="P215" s="10"/>
      <c r="Q215" s="10"/>
      <c r="R215" s="10"/>
      <c r="S215" s="156" t="str">
        <f>+IF(JUNIO!S215=0,"",JUNIO!S215)</f>
        <v>5100100-4</v>
      </c>
      <c r="T215" s="55" t="str">
        <f>+IF(JUNIO!T215=0,"",JUNIO!T215)</f>
        <v>Material para Odontologia</v>
      </c>
      <c r="U215" s="29">
        <f>+ENERO!U215</f>
        <v>0</v>
      </c>
      <c r="V215" s="17">
        <f>JUNIO!V215+JULIO!AL215</f>
        <v>0</v>
      </c>
      <c r="W215" s="17">
        <f>JUNIO!W215+JULIO!AM215</f>
        <v>0</v>
      </c>
      <c r="X215" s="20">
        <f t="shared" si="176"/>
        <v>0</v>
      </c>
      <c r="Y215" s="21">
        <f>JUNIO!AA215</f>
        <v>0</v>
      </c>
      <c r="Z215" s="457">
        <v>0</v>
      </c>
      <c r="AA215" s="20">
        <f t="shared" si="177"/>
        <v>0</v>
      </c>
      <c r="AB215" s="21">
        <f>JUNIO!AD215</f>
        <v>0</v>
      </c>
      <c r="AC215" s="457">
        <v>0</v>
      </c>
      <c r="AD215" s="20">
        <f t="shared" si="178"/>
        <v>0</v>
      </c>
      <c r="AE215" s="21">
        <f>JUNIO!AG215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N216" s="10"/>
      <c r="P216" s="10"/>
      <c r="Q216" s="10"/>
      <c r="R216" s="10"/>
      <c r="S216" s="156" t="str">
        <f>+IF(JUNIO!S216=0,"",JUNIO!S216)</f>
        <v>5100100-5</v>
      </c>
      <c r="T216" s="55" t="str">
        <f>+IF(JUNIO!T216=0,"",JUNIO!T216)</f>
        <v>Material para Rayos X</v>
      </c>
      <c r="U216" s="29">
        <f>+ENERO!U216</f>
        <v>0</v>
      </c>
      <c r="V216" s="17">
        <f>JUNIO!V216+JULIO!AL216</f>
        <v>0</v>
      </c>
      <c r="W216" s="17">
        <f>JUNIO!W216+JULIO!AM216</f>
        <v>0</v>
      </c>
      <c r="X216" s="20">
        <f t="shared" si="176"/>
        <v>0</v>
      </c>
      <c r="Y216" s="21">
        <f>JUNIO!AA216</f>
        <v>0</v>
      </c>
      <c r="Z216" s="457">
        <v>0</v>
      </c>
      <c r="AA216" s="20">
        <f t="shared" si="177"/>
        <v>0</v>
      </c>
      <c r="AB216" s="21">
        <f>JUNIO!AD216</f>
        <v>0</v>
      </c>
      <c r="AC216" s="457">
        <v>0</v>
      </c>
      <c r="AD216" s="20">
        <f t="shared" si="178"/>
        <v>0</v>
      </c>
      <c r="AE216" s="21">
        <f>JUNIO!AG216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N217" s="10"/>
      <c r="P217" s="10"/>
      <c r="Q217" s="10"/>
      <c r="R217" s="10"/>
      <c r="S217" s="156" t="str">
        <f>+IF(JUNIO!S217=0,"",JUNIO!S217)</f>
        <v>5100100-6</v>
      </c>
      <c r="T217" s="55" t="str">
        <f>+IF(JUNIO!T217=0,"",JUNIO!T217)</f>
        <v>Material aseo personal, etc.</v>
      </c>
      <c r="U217" s="29">
        <f>+ENERO!U217</f>
        <v>0</v>
      </c>
      <c r="V217" s="17">
        <f>JUNIO!V217+JULIO!AL217</f>
        <v>0</v>
      </c>
      <c r="W217" s="17">
        <f>JUNIO!W217+JULIO!AM217</f>
        <v>0</v>
      </c>
      <c r="X217" s="20">
        <f t="shared" si="176"/>
        <v>0</v>
      </c>
      <c r="Y217" s="21">
        <f>JUNIO!AA217</f>
        <v>0</v>
      </c>
      <c r="Z217" s="457">
        <v>0</v>
      </c>
      <c r="AA217" s="20">
        <f t="shared" si="177"/>
        <v>0</v>
      </c>
      <c r="AB217" s="21">
        <f>JUNIO!AD217</f>
        <v>0</v>
      </c>
      <c r="AC217" s="457">
        <v>0</v>
      </c>
      <c r="AD217" s="20">
        <f t="shared" si="178"/>
        <v>0</v>
      </c>
      <c r="AE217" s="21">
        <f>JUNIO!AG217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N218" s="10"/>
      <c r="P218" s="10"/>
      <c r="Q218" s="10"/>
      <c r="R218" s="10"/>
      <c r="S218" s="657">
        <f>+IF(JUNIO!S218=0,"",JUNIO!S218)</f>
        <v>5199999</v>
      </c>
      <c r="T218" s="658" t="str">
        <f>+IF(JUNIO!T218=0,"",JUNIO!T218)</f>
        <v>Vigencias Anteriores</v>
      </c>
      <c r="U218" s="160">
        <f>+ENERO!U218</f>
        <v>0</v>
      </c>
      <c r="V218" s="143">
        <f>JUNIO!V218+JULIO!AL218</f>
        <v>0</v>
      </c>
      <c r="W218" s="143">
        <f>JUNIO!W218+JULIO!AM218</f>
        <v>0</v>
      </c>
      <c r="X218" s="149">
        <f t="shared" si="176"/>
        <v>0</v>
      </c>
      <c r="Y218" s="147">
        <f>JUNIO!AA218</f>
        <v>0</v>
      </c>
      <c r="Z218" s="475">
        <v>0</v>
      </c>
      <c r="AA218" s="149">
        <f t="shared" si="177"/>
        <v>0</v>
      </c>
      <c r="AB218" s="147">
        <f>JUNIO!AD218</f>
        <v>0</v>
      </c>
      <c r="AC218" s="475">
        <v>0</v>
      </c>
      <c r="AD218" s="149">
        <f t="shared" si="178"/>
        <v>0</v>
      </c>
      <c r="AE218" s="147">
        <f>JUNIO!AG218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N219" s="10"/>
      <c r="P219" s="10"/>
      <c r="Q219" s="10"/>
      <c r="R219" s="10"/>
      <c r="S219" s="643" t="str">
        <f>+IF(JUNIO!S219=0,"",JUNIO!S219)</f>
        <v/>
      </c>
      <c r="T219" s="357" t="str">
        <f>+IF(JUNIO!T219=0,"",JUNIO!T219)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+IF(JUNIO!S220=0,"",JUNIO!S220)</f>
        <v>C</v>
      </c>
      <c r="T220" s="439" t="str">
        <f>+IF(JUNIO!T220=0,"",JUNIO!T220)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N221" s="10"/>
      <c r="P221" s="10"/>
      <c r="Q221" s="10"/>
      <c r="R221" s="10"/>
      <c r="S221" s="448" t="str">
        <f>+IF(JUNIO!S221=0,"",JUNIO!S221)</f>
        <v/>
      </c>
      <c r="T221" s="649" t="str">
        <f>+IF(JUNIO!T221=0,"",JUNIO!T221)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+IF(JUNIO!S222=0,"",JUNIO!S222)</f>
        <v>7001000</v>
      </c>
      <c r="T222" s="158" t="str">
        <f>+IF(JUNIO!T222=0,"",JUNIO!T222)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N223" s="10"/>
      <c r="P223" s="10"/>
      <c r="Q223" s="10"/>
      <c r="R223" s="10"/>
      <c r="S223" s="155">
        <f>+IF(JUNIO!S223=0,"",JUNIO!S223)</f>
        <v>7001100</v>
      </c>
      <c r="T223" s="159" t="str">
        <f>+IF(JUNIO!T223=0,"",JUNIO!T223)</f>
        <v>Amortización deuda Pública Interna</v>
      </c>
      <c r="U223" s="29">
        <f>+ENERO!U223</f>
        <v>0</v>
      </c>
      <c r="V223" s="17">
        <f>JUNIO!V223+JULIO!AL223</f>
        <v>0</v>
      </c>
      <c r="W223" s="17">
        <f>JUNIO!W223+JULIO!AM223</f>
        <v>0</v>
      </c>
      <c r="X223" s="20">
        <f>SUM(U223:W223)</f>
        <v>0</v>
      </c>
      <c r="Y223" s="21">
        <f>JUNIO!AA223</f>
        <v>0</v>
      </c>
      <c r="Z223" s="457">
        <v>0</v>
      </c>
      <c r="AA223" s="20">
        <f>SUM(Y223:Z223)</f>
        <v>0</v>
      </c>
      <c r="AB223" s="21">
        <f>JUNIO!AD223</f>
        <v>0</v>
      </c>
      <c r="AC223" s="457">
        <v>0</v>
      </c>
      <c r="AD223" s="20">
        <f>SUM(AB223:AC223)</f>
        <v>0</v>
      </c>
      <c r="AE223" s="21">
        <f>JUNIO!AG223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+IF(JUNIO!S224=0,"",JUNIO!S224)</f>
        <v>7001200</v>
      </c>
      <c r="T224" s="159" t="str">
        <f>+IF(JUNIO!T224=0,"",JUNIO!T224)</f>
        <v>Intereses Comisiones y gastos de la Deuda Pública</v>
      </c>
      <c r="U224" s="29">
        <f>+ENERO!U224</f>
        <v>0</v>
      </c>
      <c r="V224" s="17">
        <f>JUNIO!V224+JULIO!AL224</f>
        <v>0</v>
      </c>
      <c r="W224" s="17">
        <f>JUNIO!W224+JULIO!AM224</f>
        <v>0</v>
      </c>
      <c r="X224" s="20">
        <f>SUM(U224:W224)</f>
        <v>0</v>
      </c>
      <c r="Y224" s="21">
        <f>JUNIO!AA224</f>
        <v>0</v>
      </c>
      <c r="Z224" s="457">
        <v>0</v>
      </c>
      <c r="AA224" s="20">
        <f>SUM(Y224:Z224)</f>
        <v>0</v>
      </c>
      <c r="AB224" s="21">
        <f>JUNIO!AD224</f>
        <v>0</v>
      </c>
      <c r="AC224" s="457">
        <v>0</v>
      </c>
      <c r="AD224" s="20">
        <f>SUM(AB224:AC224)</f>
        <v>0</v>
      </c>
      <c r="AE224" s="21">
        <f>JUNIO!AG224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+IF(JUNIO!S225=0,"",JUNIO!S225)</f>
        <v>7001999</v>
      </c>
      <c r="T225" s="159" t="str">
        <f>+IF(JUNIO!T225=0,"",JUNIO!T225)</f>
        <v>Vigencias Anteriores</v>
      </c>
      <c r="U225" s="29">
        <f>+ENERO!U225</f>
        <v>0</v>
      </c>
      <c r="V225" s="17">
        <f>JUNIO!V225+JULIO!AL225</f>
        <v>0</v>
      </c>
      <c r="W225" s="17">
        <f>JUNIO!W225+JULIO!AM225</f>
        <v>0</v>
      </c>
      <c r="X225" s="20">
        <f>SUM(U225:W225)</f>
        <v>0</v>
      </c>
      <c r="Y225" s="21">
        <f>JUNIO!AA225</f>
        <v>0</v>
      </c>
      <c r="Z225" s="457">
        <v>0</v>
      </c>
      <c r="AA225" s="20">
        <f>SUM(Y225:Z225)</f>
        <v>0</v>
      </c>
      <c r="AB225" s="21">
        <f>JUNIO!AD225</f>
        <v>0</v>
      </c>
      <c r="AC225" s="457">
        <v>0</v>
      </c>
      <c r="AD225" s="20">
        <f>SUM(AB225:AC225)</f>
        <v>0</v>
      </c>
      <c r="AE225" s="21">
        <f>JUNIO!AG225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+IF(JUNIO!S226=0,"",JUNIO!S226)</f>
        <v/>
      </c>
      <c r="T226" s="649" t="str">
        <f>+IF(JUNIO!T226=0,"",JUNIO!T226)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+IF(JUNIO!S227=0,"",JUNIO!S227)</f>
        <v>7002001</v>
      </c>
      <c r="T227" s="158" t="str">
        <f>+IF(JUNIO!T227=0,"",JUNIO!T227)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64" s="467" customFormat="1" x14ac:dyDescent="0.2">
      <c r="A228" s="623"/>
      <c r="B228" s="554"/>
      <c r="N228" s="10"/>
      <c r="P228" s="10"/>
      <c r="Q228" s="10"/>
      <c r="R228" s="10"/>
      <c r="S228" s="155">
        <f>+IF(JUNIO!S228=0,"",JUNIO!S228)</f>
        <v>7002100</v>
      </c>
      <c r="T228" s="159" t="str">
        <f>+IF(JUNIO!T228=0,"",JUNIO!T228)</f>
        <v>Amortización deuda Pública Externa</v>
      </c>
      <c r="U228" s="29">
        <f>+ENERO!U228</f>
        <v>0</v>
      </c>
      <c r="V228" s="17">
        <f>JUNIO!V228+JULIO!AL228</f>
        <v>0</v>
      </c>
      <c r="W228" s="17">
        <f>JUNIO!W228+JULIO!AM228</f>
        <v>0</v>
      </c>
      <c r="X228" s="20">
        <f>SUM(U228:W228)</f>
        <v>0</v>
      </c>
      <c r="Y228" s="21">
        <f>JUNIO!AA228</f>
        <v>0</v>
      </c>
      <c r="Z228" s="457">
        <v>0</v>
      </c>
      <c r="AA228" s="20">
        <f>SUM(Y228:Z228)</f>
        <v>0</v>
      </c>
      <c r="AB228" s="21">
        <f>JUNIO!AD228</f>
        <v>0</v>
      </c>
      <c r="AC228" s="457">
        <v>0</v>
      </c>
      <c r="AD228" s="20">
        <f>SUM(AB228:AC228)</f>
        <v>0</v>
      </c>
      <c r="AE228" s="21">
        <f>JUNIO!AG228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+IF(JUNIO!S229=0,"",JUNIO!S229)</f>
        <v>7002200</v>
      </c>
      <c r="T229" s="159" t="str">
        <f>+IF(JUNIO!T229=0,"",JUNIO!T229)</f>
        <v>Intereses Comisiones y gastos de la Deuda Pública</v>
      </c>
      <c r="U229" s="29">
        <f>+ENERO!U229</f>
        <v>0</v>
      </c>
      <c r="V229" s="17">
        <f>JUNIO!V229+JULIO!AL229</f>
        <v>0</v>
      </c>
      <c r="W229" s="17">
        <f>JUNIO!W229+JULIO!AM229</f>
        <v>0</v>
      </c>
      <c r="X229" s="20">
        <f>SUM(U229:W229)</f>
        <v>0</v>
      </c>
      <c r="Y229" s="21">
        <f>JUNIO!AA229</f>
        <v>0</v>
      </c>
      <c r="Z229" s="457">
        <v>0</v>
      </c>
      <c r="AA229" s="20">
        <f>SUM(Y229:Z229)</f>
        <v>0</v>
      </c>
      <c r="AB229" s="21">
        <f>JUNIO!AD229</f>
        <v>0</v>
      </c>
      <c r="AC229" s="457">
        <v>0</v>
      </c>
      <c r="AD229" s="20">
        <f>SUM(AB229:AC229)</f>
        <v>0</v>
      </c>
      <c r="AE229" s="21">
        <f>JUNIO!AG229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+IF(JUNIO!S230=0,"",JUNIO!S230)</f>
        <v>7002999</v>
      </c>
      <c r="T230" s="625" t="str">
        <f>+IF(JUNIO!T230=0,"",JUNIO!T230)</f>
        <v>Vigencias Anteriores</v>
      </c>
      <c r="U230" s="160">
        <f>+ENERO!U230</f>
        <v>0</v>
      </c>
      <c r="V230" s="143">
        <f>JUNIO!V230+JULIO!AL230</f>
        <v>0</v>
      </c>
      <c r="W230" s="143">
        <f>JUNIO!W230+JULIO!AM230</f>
        <v>0</v>
      </c>
      <c r="X230" s="149">
        <f>SUM(U230:W230)</f>
        <v>0</v>
      </c>
      <c r="Y230" s="147">
        <f>JUNIO!AA230</f>
        <v>0</v>
      </c>
      <c r="Z230" s="475">
        <v>0</v>
      </c>
      <c r="AA230" s="149">
        <f>SUM(Y230:Z230)</f>
        <v>0</v>
      </c>
      <c r="AB230" s="147">
        <f>JUNIO!AD230</f>
        <v>0</v>
      </c>
      <c r="AC230" s="475">
        <v>0</v>
      </c>
      <c r="AD230" s="149">
        <f>SUM(AB230:AC230)</f>
        <v>0</v>
      </c>
      <c r="AE230" s="147">
        <f>JUNIO!AG230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+IF(JUNIO!S231=0,"",JUNIO!S231)</f>
        <v/>
      </c>
      <c r="T231" s="628" t="str">
        <f>+IF(JUNIO!T231=0,"",JUNIO!T231)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+IF(JUNIO!S232=0,"",JUNIO!S232)</f>
        <v>D</v>
      </c>
      <c r="T232" s="655" t="str">
        <f>+IF(JUNIO!T232=0,"",JUNIO!T232)</f>
        <v>INVERSION</v>
      </c>
      <c r="U232" s="589">
        <f t="shared" ref="U232:AJ232" si="186">U234</f>
        <v>121563100</v>
      </c>
      <c r="V232" s="590">
        <f t="shared" si="186"/>
        <v>-1563100</v>
      </c>
      <c r="W232" s="590">
        <f t="shared" si="186"/>
        <v>85410140</v>
      </c>
      <c r="X232" s="591">
        <f t="shared" si="186"/>
        <v>205410140</v>
      </c>
      <c r="Y232" s="464">
        <f t="shared" si="186"/>
        <v>95294461</v>
      </c>
      <c r="Z232" s="590">
        <f t="shared" si="186"/>
        <v>35042414</v>
      </c>
      <c r="AA232" s="591">
        <f t="shared" si="186"/>
        <v>130336875</v>
      </c>
      <c r="AB232" s="464">
        <f t="shared" si="186"/>
        <v>95294461</v>
      </c>
      <c r="AC232" s="590">
        <f t="shared" si="186"/>
        <v>35041185</v>
      </c>
      <c r="AD232" s="591">
        <f t="shared" si="186"/>
        <v>130335646</v>
      </c>
      <c r="AE232" s="464">
        <f t="shared" si="186"/>
        <v>72589968</v>
      </c>
      <c r="AF232" s="590">
        <f t="shared" si="186"/>
        <v>39231756</v>
      </c>
      <c r="AG232" s="591">
        <f t="shared" si="186"/>
        <v>111821724</v>
      </c>
      <c r="AH232" s="464">
        <f t="shared" si="186"/>
        <v>75073265</v>
      </c>
      <c r="AI232" s="590">
        <f t="shared" si="186"/>
        <v>75074494</v>
      </c>
      <c r="AJ232" s="465">
        <f t="shared" si="186"/>
        <v>93588416</v>
      </c>
      <c r="AK232" s="648"/>
      <c r="AL232" s="464">
        <f>AL234</f>
        <v>0</v>
      </c>
      <c r="AM232" s="465">
        <f>AM234</f>
        <v>85410140</v>
      </c>
      <c r="AN232" s="10"/>
    </row>
    <row r="233" spans="1:64" s="467" customFormat="1" ht="15.75" x14ac:dyDescent="0.2">
      <c r="A233" s="623"/>
      <c r="B233" s="554"/>
      <c r="N233" s="10"/>
      <c r="P233" s="10"/>
      <c r="Q233" s="10"/>
      <c r="R233" s="10"/>
      <c r="S233" s="448" t="str">
        <f>+IF(JUNIO!S233=0,"",JUNIO!S233)</f>
        <v/>
      </c>
      <c r="T233" s="649" t="str">
        <f>+IF(JUNIO!T233=0,"",JUNIO!T233)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+IF(JUNIO!S234=0,"",JUNIO!S234)</f>
        <v>8000000</v>
      </c>
      <c r="T234" s="158" t="str">
        <f>+IF(JUNIO!T234=0,"",JUNIO!T234)</f>
        <v>Programas de Inversión</v>
      </c>
      <c r="U234" s="157">
        <f t="shared" ref="U234:AJ234" si="187">U235+U243</f>
        <v>121563100</v>
      </c>
      <c r="V234" s="144">
        <f t="shared" si="187"/>
        <v>-1563100</v>
      </c>
      <c r="W234" s="144">
        <f t="shared" si="187"/>
        <v>85410140</v>
      </c>
      <c r="X234" s="152">
        <f t="shared" si="187"/>
        <v>205410140</v>
      </c>
      <c r="Y234" s="151">
        <f t="shared" si="187"/>
        <v>95294461</v>
      </c>
      <c r="Z234" s="144">
        <f t="shared" si="187"/>
        <v>35042414</v>
      </c>
      <c r="AA234" s="152">
        <f t="shared" si="187"/>
        <v>130336875</v>
      </c>
      <c r="AB234" s="151">
        <f t="shared" si="187"/>
        <v>95294461</v>
      </c>
      <c r="AC234" s="144">
        <f t="shared" si="187"/>
        <v>35041185</v>
      </c>
      <c r="AD234" s="152">
        <f t="shared" si="187"/>
        <v>130335646</v>
      </c>
      <c r="AE234" s="151">
        <f t="shared" si="187"/>
        <v>72589968</v>
      </c>
      <c r="AF234" s="144">
        <f t="shared" si="187"/>
        <v>39231756</v>
      </c>
      <c r="AG234" s="152">
        <f t="shared" si="187"/>
        <v>111821724</v>
      </c>
      <c r="AH234" s="151">
        <f t="shared" si="187"/>
        <v>75073265</v>
      </c>
      <c r="AI234" s="144">
        <f t="shared" si="187"/>
        <v>75074494</v>
      </c>
      <c r="AJ234" s="153">
        <f t="shared" si="187"/>
        <v>93588416</v>
      </c>
      <c r="AK234" s="10"/>
      <c r="AL234" s="151">
        <f>AL235+AL243</f>
        <v>0</v>
      </c>
      <c r="AM234" s="153">
        <f>AM235+AM243</f>
        <v>85410140</v>
      </c>
      <c r="AN234" s="10"/>
    </row>
    <row r="235" spans="1:64" s="467" customFormat="1" x14ac:dyDescent="0.2">
      <c r="A235" s="623"/>
      <c r="B235" s="554"/>
      <c r="N235" s="10"/>
      <c r="P235" s="10"/>
      <c r="Q235" s="10"/>
      <c r="R235" s="10"/>
      <c r="S235" s="155">
        <f>+IF(JUNIO!S235=0,"",JUNIO!S235)</f>
        <v>8001000</v>
      </c>
      <c r="T235" s="159" t="str">
        <f>+IF(JUNIO!T235=0,"",JUNIO!T235)</f>
        <v>Formación Bruta del Capital</v>
      </c>
      <c r="U235" s="29">
        <f t="shared" ref="U235:AJ235" si="188">SUM(U236:U241)</f>
        <v>0</v>
      </c>
      <c r="V235" s="17">
        <f t="shared" si="188"/>
        <v>0</v>
      </c>
      <c r="W235" s="17">
        <f t="shared" si="188"/>
        <v>85410140</v>
      </c>
      <c r="X235" s="20">
        <f t="shared" si="188"/>
        <v>85410140</v>
      </c>
      <c r="Y235" s="21">
        <f t="shared" si="188"/>
        <v>0</v>
      </c>
      <c r="Z235" s="169">
        <f t="shared" si="188"/>
        <v>33605927</v>
      </c>
      <c r="AA235" s="20">
        <f t="shared" si="188"/>
        <v>33605927</v>
      </c>
      <c r="AB235" s="21">
        <f t="shared" si="188"/>
        <v>0</v>
      </c>
      <c r="AC235" s="169">
        <f t="shared" si="188"/>
        <v>33604698</v>
      </c>
      <c r="AD235" s="20">
        <f t="shared" si="188"/>
        <v>33604698</v>
      </c>
      <c r="AE235" s="21">
        <f t="shared" si="188"/>
        <v>0</v>
      </c>
      <c r="AF235" s="169">
        <f t="shared" si="188"/>
        <v>21922264</v>
      </c>
      <c r="AG235" s="20">
        <f t="shared" si="188"/>
        <v>21922264</v>
      </c>
      <c r="AH235" s="21">
        <f t="shared" si="188"/>
        <v>51804213</v>
      </c>
      <c r="AI235" s="17">
        <f t="shared" si="188"/>
        <v>51805442</v>
      </c>
      <c r="AJ235" s="18">
        <f t="shared" si="188"/>
        <v>63487876</v>
      </c>
      <c r="AK235" s="10"/>
      <c r="AL235" s="31">
        <f>SUM(AL236:AL241)</f>
        <v>0</v>
      </c>
      <c r="AM235" s="28">
        <f>SUM(AM236:AM241)</f>
        <v>85410140</v>
      </c>
      <c r="AN235" s="10"/>
    </row>
    <row r="236" spans="1:64" s="467" customFormat="1" x14ac:dyDescent="0.2">
      <c r="A236" s="623"/>
      <c r="B236" s="554"/>
      <c r="N236" s="10"/>
      <c r="P236" s="10"/>
      <c r="Q236" s="10"/>
      <c r="R236" s="10"/>
      <c r="S236" s="156" t="str">
        <f>+IF(JUNIO!S236=0,"",JUNIO!S236)</f>
        <v>8001000-1</v>
      </c>
      <c r="T236" s="55" t="str">
        <f>+IF(JUNIO!T236=0,"",JUNIO!T236)</f>
        <v>Subprogr.Construc. Remodelac. Adecuación y Apliac.1</v>
      </c>
      <c r="U236" s="29">
        <f>+ENERO!U236</f>
        <v>0</v>
      </c>
      <c r="V236" s="17">
        <f>JUNIO!V236+JULIO!AL236</f>
        <v>0</v>
      </c>
      <c r="W236" s="17">
        <f>JUNIO!W236+JULIO!AM236</f>
        <v>85410140</v>
      </c>
      <c r="X236" s="20">
        <f t="shared" ref="X236:X241" si="189">SUM(U236:W236)</f>
        <v>85410140</v>
      </c>
      <c r="Y236" s="21">
        <f>JUNIO!AA236</f>
        <v>0</v>
      </c>
      <c r="Z236" s="457">
        <v>33605927</v>
      </c>
      <c r="AA236" s="20">
        <f t="shared" ref="AA236:AA241" si="190">SUM(Y236:Z236)</f>
        <v>33605927</v>
      </c>
      <c r="AB236" s="21">
        <f>JUNIO!AD236</f>
        <v>0</v>
      </c>
      <c r="AC236" s="457">
        <v>33604698</v>
      </c>
      <c r="AD236" s="20">
        <f t="shared" ref="AD236:AD241" si="191">SUM(AB236:AC236)</f>
        <v>33604698</v>
      </c>
      <c r="AE236" s="21">
        <f>JUNIO!AG236</f>
        <v>0</v>
      </c>
      <c r="AF236" s="457">
        <v>21922264</v>
      </c>
      <c r="AG236" s="20">
        <f t="shared" ref="AG236:AG241" si="192">SUM(AE236:AF236)</f>
        <v>21922264</v>
      </c>
      <c r="AH236" s="21">
        <f t="shared" ref="AH236:AH241" si="193">X236-AA236</f>
        <v>51804213</v>
      </c>
      <c r="AI236" s="17">
        <f t="shared" ref="AI236:AI241" si="194">X236-AD236</f>
        <v>51805442</v>
      </c>
      <c r="AJ236" s="18">
        <f t="shared" ref="AJ236:AJ241" si="195">X236-AG236</f>
        <v>63487876</v>
      </c>
      <c r="AK236" s="10"/>
      <c r="AL236" s="455">
        <v>0</v>
      </c>
      <c r="AM236" s="458">
        <v>85410140</v>
      </c>
      <c r="AN236" s="10"/>
    </row>
    <row r="237" spans="1:64" s="467" customFormat="1" x14ac:dyDescent="0.2">
      <c r="A237" s="623"/>
      <c r="B237" s="554"/>
      <c r="N237" s="10"/>
      <c r="P237" s="10"/>
      <c r="Q237" s="10"/>
      <c r="R237" s="10"/>
      <c r="S237" s="156" t="str">
        <f>+IF(JUNIO!S237=0,"",JUNIO!S237)</f>
        <v>8001000-2</v>
      </c>
      <c r="T237" s="55" t="str">
        <f>+IF(JUNIO!T237=0,"",JUNIO!T237)</f>
        <v>Subprogr.Construc. Remodelac. Adecuación y Apliac.2</v>
      </c>
      <c r="U237" s="29">
        <f>+ENERO!U237</f>
        <v>0</v>
      </c>
      <c r="V237" s="17">
        <f>JUNIO!V237+JULIO!AL237</f>
        <v>0</v>
      </c>
      <c r="W237" s="17">
        <f>JUNIO!W237+JULIO!AM237</f>
        <v>0</v>
      </c>
      <c r="X237" s="20">
        <f t="shared" si="189"/>
        <v>0</v>
      </c>
      <c r="Y237" s="21">
        <f>JUNIO!AA237</f>
        <v>0</v>
      </c>
      <c r="Z237" s="457">
        <v>0</v>
      </c>
      <c r="AA237" s="20">
        <f t="shared" si="190"/>
        <v>0</v>
      </c>
      <c r="AB237" s="21">
        <f>JUNIO!AD237</f>
        <v>0</v>
      </c>
      <c r="AC237" s="457">
        <v>0</v>
      </c>
      <c r="AD237" s="20">
        <f t="shared" si="191"/>
        <v>0</v>
      </c>
      <c r="AE237" s="21">
        <f>JUNIO!AG237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x14ac:dyDescent="0.2">
      <c r="A238" s="623"/>
      <c r="B238" s="554"/>
      <c r="N238" s="10"/>
      <c r="P238" s="10"/>
      <c r="Q238" s="10"/>
      <c r="R238" s="10"/>
      <c r="S238" s="156" t="str">
        <f>+IF(JUNIO!S238=0,"",JUNIO!S238)</f>
        <v>8001000-3</v>
      </c>
      <c r="T238" s="55" t="str">
        <f>+IF(JUNIO!T238=0,"",JUNIO!T238)</f>
        <v>Subprogr.Construc. Remodelac. Adecuación y Apliac.3</v>
      </c>
      <c r="U238" s="29">
        <f>+ENERO!U238</f>
        <v>0</v>
      </c>
      <c r="V238" s="17">
        <f>JUNIO!V238+JULIO!AL238</f>
        <v>0</v>
      </c>
      <c r="W238" s="17">
        <f>JUNIO!W238+JULIO!AM238</f>
        <v>0</v>
      </c>
      <c r="X238" s="20">
        <f t="shared" si="189"/>
        <v>0</v>
      </c>
      <c r="Y238" s="21">
        <f>JUNIO!AA238</f>
        <v>0</v>
      </c>
      <c r="Z238" s="457">
        <v>0</v>
      </c>
      <c r="AA238" s="20">
        <f t="shared" si="190"/>
        <v>0</v>
      </c>
      <c r="AB238" s="21">
        <f>JUNIO!AD238</f>
        <v>0</v>
      </c>
      <c r="AC238" s="457">
        <v>0</v>
      </c>
      <c r="AD238" s="20">
        <f t="shared" si="191"/>
        <v>0</v>
      </c>
      <c r="AE238" s="21">
        <f>JUNIO!AG238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x14ac:dyDescent="0.2">
      <c r="A239" s="623"/>
      <c r="B239" s="554"/>
      <c r="N239" s="10"/>
      <c r="P239" s="10"/>
      <c r="Q239" s="10"/>
      <c r="S239" s="156" t="str">
        <f>+IF(JUNIO!S239=0,"",JUNIO!S239)</f>
        <v>8001000-4</v>
      </c>
      <c r="T239" s="55" t="str">
        <f>+IF(JUNIO!T239=0,"",JUNIO!T239)</f>
        <v>Subprogr.Construc. Remodelac. Adecuación y Apliac.4</v>
      </c>
      <c r="U239" s="29">
        <f>+ENERO!U239</f>
        <v>0</v>
      </c>
      <c r="V239" s="17">
        <f>JUNIO!V239+JULIO!AL239</f>
        <v>0</v>
      </c>
      <c r="W239" s="17">
        <f>JUNIO!W239+JULIO!AM239</f>
        <v>0</v>
      </c>
      <c r="X239" s="20">
        <f t="shared" si="189"/>
        <v>0</v>
      </c>
      <c r="Y239" s="21">
        <f>JUNIO!AA239</f>
        <v>0</v>
      </c>
      <c r="Z239" s="457">
        <v>0</v>
      </c>
      <c r="AA239" s="20">
        <f t="shared" si="190"/>
        <v>0</v>
      </c>
      <c r="AB239" s="21">
        <f>JUNIO!AD239</f>
        <v>0</v>
      </c>
      <c r="AC239" s="457">
        <v>0</v>
      </c>
      <c r="AD239" s="20">
        <f t="shared" si="191"/>
        <v>0</v>
      </c>
      <c r="AE239" s="21">
        <f>JUNIO!AG239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x14ac:dyDescent="0.2">
      <c r="A240" s="623"/>
      <c r="B240" s="554"/>
      <c r="N240" s="10"/>
      <c r="P240" s="10"/>
      <c r="Q240" s="10"/>
      <c r="S240" s="156" t="str">
        <f>+IF(JUNIO!S240=0,"",JUNIO!S240)</f>
        <v>8001000-7</v>
      </c>
      <c r="T240" s="55" t="str">
        <f>+IF(JUNIO!T240=0,"",JUNIO!T240)</f>
        <v>Subprogr.Construc. Remodelac. Adecuación y Apliac.5</v>
      </c>
      <c r="U240" s="29">
        <f>+ENERO!U240</f>
        <v>0</v>
      </c>
      <c r="V240" s="17">
        <f>JUNIO!V240+JULIO!AL240</f>
        <v>0</v>
      </c>
      <c r="W240" s="17">
        <f>JUNIO!W240+JULIO!AM240</f>
        <v>0</v>
      </c>
      <c r="X240" s="20">
        <f t="shared" si="189"/>
        <v>0</v>
      </c>
      <c r="Y240" s="21">
        <f>JUNIO!AA240</f>
        <v>0</v>
      </c>
      <c r="Z240" s="457">
        <v>0</v>
      </c>
      <c r="AA240" s="20">
        <f t="shared" si="190"/>
        <v>0</v>
      </c>
      <c r="AB240" s="21">
        <f>JUNIO!AD240</f>
        <v>0</v>
      </c>
      <c r="AC240" s="457">
        <v>0</v>
      </c>
      <c r="AD240" s="20">
        <f t="shared" si="191"/>
        <v>0</v>
      </c>
      <c r="AE240" s="21">
        <f>JUNIO!AG240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+IF(JUNIO!S241=0,"",JUNIO!S241)</f>
        <v>8001999</v>
      </c>
      <c r="T241" s="55" t="str">
        <f>+IF(JUNIO!T241=0,"",JUNIO!T241)</f>
        <v>Vigencias Anteriores</v>
      </c>
      <c r="U241" s="29">
        <f>+ENERO!U241</f>
        <v>0</v>
      </c>
      <c r="V241" s="17">
        <f>JUNIO!V241+JULIO!AL241</f>
        <v>0</v>
      </c>
      <c r="W241" s="17">
        <f>JUNIO!W241+JULIO!AM241</f>
        <v>0</v>
      </c>
      <c r="X241" s="20">
        <f t="shared" si="189"/>
        <v>0</v>
      </c>
      <c r="Y241" s="21">
        <f>JUNIO!AA241</f>
        <v>0</v>
      </c>
      <c r="Z241" s="457">
        <v>0</v>
      </c>
      <c r="AA241" s="20">
        <f t="shared" si="190"/>
        <v>0</v>
      </c>
      <c r="AB241" s="21">
        <f>JUNIO!AD241</f>
        <v>0</v>
      </c>
      <c r="AC241" s="457">
        <v>0</v>
      </c>
      <c r="AD241" s="20">
        <f t="shared" si="191"/>
        <v>0</v>
      </c>
      <c r="AE241" s="21">
        <f>JUNIO!AG241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+IF(JUNIO!S242=0,"",JUNIO!S242)</f>
        <v/>
      </c>
      <c r="T242" s="649" t="str">
        <f>+IF(JUNIO!T242=0,"",JUNIO!T242)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+IF(JUNIO!S243=0,"",JUNIO!S243)</f>
        <v>8002001</v>
      </c>
      <c r="T243" s="159" t="str">
        <f>+IF(JUNIO!T243=0,"",JUNIO!T243)</f>
        <v>Gastos Operativos de Inversion   (Programas Especiales)</v>
      </c>
      <c r="U243" s="29">
        <f t="shared" ref="U243:AJ243" si="196">SUM(U244:U256)</f>
        <v>121563100</v>
      </c>
      <c r="V243" s="17">
        <f t="shared" si="196"/>
        <v>-1563100</v>
      </c>
      <c r="W243" s="17">
        <f t="shared" si="196"/>
        <v>0</v>
      </c>
      <c r="X243" s="20">
        <f t="shared" si="196"/>
        <v>120000000</v>
      </c>
      <c r="Y243" s="21">
        <f t="shared" si="196"/>
        <v>95294461</v>
      </c>
      <c r="Z243" s="169">
        <f t="shared" si="196"/>
        <v>1436487</v>
      </c>
      <c r="AA243" s="20">
        <f t="shared" si="196"/>
        <v>96730948</v>
      </c>
      <c r="AB243" s="21">
        <f t="shared" si="196"/>
        <v>95294461</v>
      </c>
      <c r="AC243" s="169">
        <f t="shared" si="196"/>
        <v>1436487</v>
      </c>
      <c r="AD243" s="20">
        <f t="shared" si="196"/>
        <v>96730948</v>
      </c>
      <c r="AE243" s="21">
        <f t="shared" si="196"/>
        <v>72589968</v>
      </c>
      <c r="AF243" s="169">
        <f t="shared" si="196"/>
        <v>17309492</v>
      </c>
      <c r="AG243" s="20">
        <f t="shared" si="196"/>
        <v>89899460</v>
      </c>
      <c r="AH243" s="21">
        <f t="shared" si="196"/>
        <v>23269052</v>
      </c>
      <c r="AI243" s="17">
        <f t="shared" si="196"/>
        <v>23269052</v>
      </c>
      <c r="AJ243" s="18">
        <f t="shared" si="196"/>
        <v>30100540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+IF(JUNIO!S244=0,"",JUNIO!S244)</f>
        <v>8002100-1</v>
      </c>
      <c r="T244" s="55" t="str">
        <f>+IF(JUNIO!T244=0,"",JUNIO!T244)</f>
        <v>Salud Pública</v>
      </c>
      <c r="U244" s="29">
        <f>+ENERO!U244</f>
        <v>120000000</v>
      </c>
      <c r="V244" s="17">
        <f>JUNIO!V244+JULIO!AL244</f>
        <v>0</v>
      </c>
      <c r="W244" s="17">
        <f>JUNIO!W244+JULIO!AM244</f>
        <v>0</v>
      </c>
      <c r="X244" s="20">
        <f t="shared" ref="X244:X256" si="197">SUM(U244:W244)</f>
        <v>120000000</v>
      </c>
      <c r="Y244" s="21">
        <f>JUNIO!AA244</f>
        <v>95294461</v>
      </c>
      <c r="Z244" s="457">
        <v>1436487</v>
      </c>
      <c r="AA244" s="20">
        <f t="shared" ref="AA244:AA256" si="198">SUM(Y244:Z244)</f>
        <v>96730948</v>
      </c>
      <c r="AB244" s="21">
        <f>JUNIO!AD244</f>
        <v>95294461</v>
      </c>
      <c r="AC244" s="457">
        <v>1436487</v>
      </c>
      <c r="AD244" s="20">
        <f t="shared" ref="AD244:AD256" si="199">SUM(AB244:AC244)</f>
        <v>96730948</v>
      </c>
      <c r="AE244" s="21">
        <f>JUNIO!AG244</f>
        <v>72589968</v>
      </c>
      <c r="AF244" s="457">
        <v>17309492</v>
      </c>
      <c r="AG244" s="20">
        <f t="shared" ref="AG244:AG256" si="200">SUM(AE244:AF244)</f>
        <v>89899460</v>
      </c>
      <c r="AH244" s="21">
        <f t="shared" ref="AH244:AH256" si="201">X244-AA244</f>
        <v>23269052</v>
      </c>
      <c r="AI244" s="17">
        <f t="shared" ref="AI244:AI256" si="202">X244-AD244</f>
        <v>23269052</v>
      </c>
      <c r="AJ244" s="18">
        <f t="shared" ref="AJ244:AJ256" si="203">X244-AG244</f>
        <v>30100540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+IF(JUNIO!S245=0,"",JUNIO!S245)</f>
        <v>8002100-2</v>
      </c>
      <c r="T245" s="55" t="str">
        <f>+IF(JUNIO!T245=0,"",JUNIO!T245)</f>
        <v>Programas Especial 01</v>
      </c>
      <c r="U245" s="29">
        <f>+ENERO!U245</f>
        <v>0</v>
      </c>
      <c r="V245" s="17">
        <f>JUNIO!V245+JULIO!AL245</f>
        <v>0</v>
      </c>
      <c r="W245" s="17">
        <f>JUNIO!W245+JULIO!AM245</f>
        <v>0</v>
      </c>
      <c r="X245" s="20">
        <f t="shared" si="197"/>
        <v>0</v>
      </c>
      <c r="Y245" s="21">
        <f>JUNIO!AA245</f>
        <v>0</v>
      </c>
      <c r="Z245" s="457">
        <v>0</v>
      </c>
      <c r="AA245" s="20">
        <f t="shared" si="198"/>
        <v>0</v>
      </c>
      <c r="AB245" s="21">
        <f>JUNIO!AD245</f>
        <v>0</v>
      </c>
      <c r="AC245" s="457">
        <v>0</v>
      </c>
      <c r="AD245" s="20">
        <f t="shared" si="199"/>
        <v>0</v>
      </c>
      <c r="AE245" s="21">
        <f>JUNIO!AG245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+IF(JUNIO!S246=0,"",JUNIO!S246)</f>
        <v>8002100-3</v>
      </c>
      <c r="T246" s="55" t="str">
        <f>+IF(JUNIO!T246=0,"",JUNIO!T246)</f>
        <v>Programas Especial 02</v>
      </c>
      <c r="U246" s="29">
        <f>+ENERO!U246</f>
        <v>0</v>
      </c>
      <c r="V246" s="17">
        <f>JUNIO!V246+JULIO!AL246</f>
        <v>0</v>
      </c>
      <c r="W246" s="17">
        <f>JUNIO!W246+JULIO!AM246</f>
        <v>0</v>
      </c>
      <c r="X246" s="20">
        <f t="shared" si="197"/>
        <v>0</v>
      </c>
      <c r="Y246" s="21">
        <f>JUNIO!AA246</f>
        <v>0</v>
      </c>
      <c r="Z246" s="457">
        <v>0</v>
      </c>
      <c r="AA246" s="20">
        <f t="shared" si="198"/>
        <v>0</v>
      </c>
      <c r="AB246" s="21">
        <f>JUNIO!AD246</f>
        <v>0</v>
      </c>
      <c r="AC246" s="457">
        <v>0</v>
      </c>
      <c r="AD246" s="20">
        <f t="shared" si="199"/>
        <v>0</v>
      </c>
      <c r="AE246" s="21">
        <f>JUNIO!AG246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+IF(JUNIO!S247=0,"",JUNIO!S247)</f>
        <v>8002100-4</v>
      </c>
      <c r="T247" s="55" t="str">
        <f>+IF(JUNIO!T247=0,"",JUNIO!T247)</f>
        <v>Programas Especial 03</v>
      </c>
      <c r="U247" s="29">
        <f>+ENERO!U247</f>
        <v>0</v>
      </c>
      <c r="V247" s="17">
        <f>JUNIO!V247+JULIO!AL247</f>
        <v>0</v>
      </c>
      <c r="W247" s="17">
        <f>JUNIO!W247+JULIO!AM247</f>
        <v>0</v>
      </c>
      <c r="X247" s="20">
        <f t="shared" si="197"/>
        <v>0</v>
      </c>
      <c r="Y247" s="21">
        <f>JUNIO!AA247</f>
        <v>0</v>
      </c>
      <c r="Z247" s="457">
        <v>0</v>
      </c>
      <c r="AA247" s="20">
        <f t="shared" si="198"/>
        <v>0</v>
      </c>
      <c r="AB247" s="21">
        <f>JUNIO!AD247</f>
        <v>0</v>
      </c>
      <c r="AC247" s="457">
        <v>0</v>
      </c>
      <c r="AD247" s="20">
        <f t="shared" si="199"/>
        <v>0</v>
      </c>
      <c r="AE247" s="21">
        <f>JUNIO!AG247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+IF(JUNIO!S248=0,"",JUNIO!S248)</f>
        <v>8002100-5</v>
      </c>
      <c r="T248" s="55" t="str">
        <f>+IF(JUNIO!T248=0,"",JUNIO!T248)</f>
        <v>Programas Especial 04</v>
      </c>
      <c r="U248" s="29">
        <f>+ENERO!U248</f>
        <v>0</v>
      </c>
      <c r="V248" s="17">
        <f>JUNIO!V248+JULIO!AL248</f>
        <v>0</v>
      </c>
      <c r="W248" s="17">
        <f>JUNIO!W248+JULIO!AM248</f>
        <v>0</v>
      </c>
      <c r="X248" s="20">
        <f t="shared" si="197"/>
        <v>0</v>
      </c>
      <c r="Y248" s="21">
        <f>JUNIO!AA248</f>
        <v>0</v>
      </c>
      <c r="Z248" s="457">
        <v>0</v>
      </c>
      <c r="AA248" s="20">
        <f t="shared" si="198"/>
        <v>0</v>
      </c>
      <c r="AB248" s="21">
        <f>JUNIO!AD248</f>
        <v>0</v>
      </c>
      <c r="AC248" s="457">
        <v>0</v>
      </c>
      <c r="AD248" s="20">
        <f t="shared" si="199"/>
        <v>0</v>
      </c>
      <c r="AE248" s="21">
        <f>JUNIO!AG248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+IF(JUNIO!S249=0,"",JUNIO!S249)</f>
        <v>8002100-6</v>
      </c>
      <c r="T249" s="55" t="str">
        <f>+IF(JUNIO!T249=0,"",JUNIO!T249)</f>
        <v>Programas Especial 05</v>
      </c>
      <c r="U249" s="29">
        <f>+ENERO!U249</f>
        <v>0</v>
      </c>
      <c r="V249" s="17">
        <f>JUNIO!V249+JULIO!AL249</f>
        <v>0</v>
      </c>
      <c r="W249" s="17">
        <f>JUNIO!W249+JULIO!AM249</f>
        <v>0</v>
      </c>
      <c r="X249" s="20">
        <f t="shared" si="197"/>
        <v>0</v>
      </c>
      <c r="Y249" s="21">
        <f>JUNIO!AA249</f>
        <v>0</v>
      </c>
      <c r="Z249" s="457">
        <v>0</v>
      </c>
      <c r="AA249" s="20">
        <f t="shared" si="198"/>
        <v>0</v>
      </c>
      <c r="AB249" s="21">
        <f>JUNIO!AD249</f>
        <v>0</v>
      </c>
      <c r="AC249" s="457">
        <v>0</v>
      </c>
      <c r="AD249" s="20">
        <f t="shared" si="199"/>
        <v>0</v>
      </c>
      <c r="AE249" s="21">
        <f>JUNIO!AG249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+IF(JUNIO!S250=0,"",JUNIO!S250)</f>
        <v>8002100-7</v>
      </c>
      <c r="T250" s="55" t="str">
        <f>+IF(JUNIO!T250=0,"",JUNIO!T250)</f>
        <v>Programas Especial 06</v>
      </c>
      <c r="U250" s="29">
        <f>+ENERO!U250</f>
        <v>0</v>
      </c>
      <c r="V250" s="17">
        <f>JUNIO!V250+JULIO!AL250</f>
        <v>0</v>
      </c>
      <c r="W250" s="17">
        <f>JUNIO!W250+JULIO!AM250</f>
        <v>0</v>
      </c>
      <c r="X250" s="20">
        <f>SUM(U250:W250)</f>
        <v>0</v>
      </c>
      <c r="Y250" s="21">
        <f>JUNIO!AA250</f>
        <v>0</v>
      </c>
      <c r="Z250" s="457">
        <v>0</v>
      </c>
      <c r="AA250" s="20">
        <f>SUM(Y250:Z250)</f>
        <v>0</v>
      </c>
      <c r="AB250" s="21">
        <f>JUNIO!AD250</f>
        <v>0</v>
      </c>
      <c r="AC250" s="457">
        <v>0</v>
      </c>
      <c r="AD250" s="20">
        <f>SUM(AB250:AC250)</f>
        <v>0</v>
      </c>
      <c r="AE250" s="21">
        <f>JUNIO!AG250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+IF(JUNIO!S251=0,"",JUNIO!S251)</f>
        <v>8002100-8</v>
      </c>
      <c r="T251" s="55" t="str">
        <f>+IF(JUNIO!T251=0,"",JUNIO!T251)</f>
        <v>Programas Especial 07</v>
      </c>
      <c r="U251" s="29">
        <f>+ENERO!U251</f>
        <v>0</v>
      </c>
      <c r="V251" s="17">
        <f>JUNIO!V251+JULIO!AL251</f>
        <v>0</v>
      </c>
      <c r="W251" s="17">
        <f>JUNIO!W251+JULIO!AM251</f>
        <v>0</v>
      </c>
      <c r="X251" s="20">
        <f>SUM(U251:W251)</f>
        <v>0</v>
      </c>
      <c r="Y251" s="21">
        <f>JUNIO!AA251</f>
        <v>0</v>
      </c>
      <c r="Z251" s="457">
        <v>0</v>
      </c>
      <c r="AA251" s="20">
        <f>SUM(Y251:Z251)</f>
        <v>0</v>
      </c>
      <c r="AB251" s="21">
        <f>JUNIO!AD251</f>
        <v>0</v>
      </c>
      <c r="AC251" s="457">
        <v>0</v>
      </c>
      <c r="AD251" s="20">
        <f>SUM(AB251:AC251)</f>
        <v>0</v>
      </c>
      <c r="AE251" s="21">
        <f>JUNIO!AG251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+IF(JUNIO!S252=0,"",JUNIO!S252)</f>
        <v>8002100-9</v>
      </c>
      <c r="T252" s="55" t="str">
        <f>+IF(JUNIO!T252=0,"",JUNIO!T252)</f>
        <v>Programas Especial 08</v>
      </c>
      <c r="U252" s="29">
        <f>+ENERO!U252</f>
        <v>0</v>
      </c>
      <c r="V252" s="17">
        <f>JUNIO!V252+JULIO!AL252</f>
        <v>0</v>
      </c>
      <c r="W252" s="17">
        <f>JUNIO!W252+JULIO!AM252</f>
        <v>0</v>
      </c>
      <c r="X252" s="20">
        <f>SUM(U252:W252)</f>
        <v>0</v>
      </c>
      <c r="Y252" s="21">
        <f>JUNIO!AA252</f>
        <v>0</v>
      </c>
      <c r="Z252" s="457">
        <v>0</v>
      </c>
      <c r="AA252" s="20">
        <f>SUM(Y252:Z252)</f>
        <v>0</v>
      </c>
      <c r="AB252" s="21">
        <f>JUNIO!AD252</f>
        <v>0</v>
      </c>
      <c r="AC252" s="457">
        <v>0</v>
      </c>
      <c r="AD252" s="20">
        <f>SUM(AB252:AC252)</f>
        <v>0</v>
      </c>
      <c r="AE252" s="21">
        <f>JUNIO!AG252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+IF(JUNIO!S253=0,"",JUNIO!S253)</f>
        <v>8002100-10</v>
      </c>
      <c r="T253" s="55" t="str">
        <f>+IF(JUNIO!T253=0,"",JUNIO!T253)</f>
        <v>Programas Especial 09</v>
      </c>
      <c r="U253" s="29">
        <f>+ENERO!U253</f>
        <v>0</v>
      </c>
      <c r="V253" s="17">
        <f>JUNIO!V253+JULIO!AL253</f>
        <v>0</v>
      </c>
      <c r="W253" s="17">
        <f>JUNIO!W253+JULIO!AM253</f>
        <v>0</v>
      </c>
      <c r="X253" s="20">
        <f>SUM(U253:W253)</f>
        <v>0</v>
      </c>
      <c r="Y253" s="21">
        <f>JUNIO!AA253</f>
        <v>0</v>
      </c>
      <c r="Z253" s="457">
        <v>0</v>
      </c>
      <c r="AA253" s="20">
        <f>SUM(Y253:Z253)</f>
        <v>0</v>
      </c>
      <c r="AB253" s="21">
        <f>JUNIO!AD253</f>
        <v>0</v>
      </c>
      <c r="AC253" s="457">
        <v>0</v>
      </c>
      <c r="AD253" s="20">
        <f>SUM(AB253:AC253)</f>
        <v>0</v>
      </c>
      <c r="AE253" s="21">
        <f>JUNIO!AG253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+IF(JUNIO!S254=0,"",JUNIO!S254)</f>
        <v>8002100-11</v>
      </c>
      <c r="T254" s="55" t="str">
        <f>+IF(JUNIO!T254=0,"",JUNIO!T254)</f>
        <v>Programas Especial 10</v>
      </c>
      <c r="U254" s="29">
        <f>+ENERO!U254</f>
        <v>0</v>
      </c>
      <c r="V254" s="17">
        <f>JUNIO!V254+JULIO!AL254</f>
        <v>0</v>
      </c>
      <c r="W254" s="17">
        <f>JUNIO!W254+JULIO!AM254</f>
        <v>0</v>
      </c>
      <c r="X254" s="20">
        <f>SUM(U254:W254)</f>
        <v>0</v>
      </c>
      <c r="Y254" s="21">
        <f>JUNIO!AA254</f>
        <v>0</v>
      </c>
      <c r="Z254" s="457">
        <v>0</v>
      </c>
      <c r="AA254" s="20">
        <f>SUM(Y254:Z254)</f>
        <v>0</v>
      </c>
      <c r="AB254" s="21">
        <f>JUNIO!AD254</f>
        <v>0</v>
      </c>
      <c r="AC254" s="457">
        <v>0</v>
      </c>
      <c r="AD254" s="20">
        <f>SUM(AB254:AC254)</f>
        <v>0</v>
      </c>
      <c r="AE254" s="21">
        <f>JUNIO!AG254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+IF(JUNIO!S255=0,"",JUNIO!S255)</f>
        <v>8002100-12</v>
      </c>
      <c r="T255" s="55" t="str">
        <f>+IF(JUNIO!T255=0,"",JUNIO!T255)</f>
        <v>Programas Especial 11</v>
      </c>
      <c r="U255" s="29">
        <f>+ENERO!U255</f>
        <v>0</v>
      </c>
      <c r="V255" s="17">
        <f>JUNIO!V255+JULIO!AL255</f>
        <v>0</v>
      </c>
      <c r="W255" s="17">
        <f>JUNIO!W255+JULIO!AM255</f>
        <v>0</v>
      </c>
      <c r="X255" s="20">
        <f t="shared" si="197"/>
        <v>0</v>
      </c>
      <c r="Y255" s="21">
        <f>JUNIO!AA255</f>
        <v>0</v>
      </c>
      <c r="Z255" s="457">
        <v>0</v>
      </c>
      <c r="AA255" s="20">
        <f t="shared" si="198"/>
        <v>0</v>
      </c>
      <c r="AB255" s="21">
        <f>JUNIO!AD255</f>
        <v>0</v>
      </c>
      <c r="AC255" s="457">
        <v>0</v>
      </c>
      <c r="AD255" s="20">
        <f t="shared" si="199"/>
        <v>0</v>
      </c>
      <c r="AE255" s="21">
        <f>JUNIO!AG255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+IF(JUNIO!S256=0,"",JUNIO!S256)</f>
        <v>8002999</v>
      </c>
      <c r="T256" s="658" t="str">
        <f>+IF(JUNIO!T256=0,"",JUNIO!T256)</f>
        <v>Vigencias Anteriores</v>
      </c>
      <c r="U256" s="160">
        <f>+ENERO!U256</f>
        <v>1563100</v>
      </c>
      <c r="V256" s="143">
        <f>JUNIO!V256+JULIO!AL256</f>
        <v>-1563100</v>
      </c>
      <c r="W256" s="143">
        <f>JUNIO!W256+JULIO!AM256</f>
        <v>0</v>
      </c>
      <c r="X256" s="149">
        <f t="shared" si="197"/>
        <v>0</v>
      </c>
      <c r="Y256" s="147">
        <f>JUNIO!AA256</f>
        <v>0</v>
      </c>
      <c r="Z256" s="475">
        <v>0</v>
      </c>
      <c r="AA256" s="149">
        <f t="shared" si="198"/>
        <v>0</v>
      </c>
      <c r="AB256" s="147">
        <f>JUNIO!AD256</f>
        <v>0</v>
      </c>
      <c r="AC256" s="475">
        <v>0</v>
      </c>
      <c r="AD256" s="149">
        <f t="shared" si="199"/>
        <v>0</v>
      </c>
      <c r="AE256" s="147">
        <f>JUNIO!AG256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+IF(JUNIO!S257=0,"",JUNIO!S257)</f>
        <v/>
      </c>
      <c r="T257" s="357" t="str">
        <f>+IF(JUNIO!T257=0,"",JUNIO!T257)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+IF(JUNIO!S258=0,"",JUNIO!S258)</f>
        <v>E</v>
      </c>
      <c r="T258" s="664" t="str">
        <f>+IF(JUNIO!T258=0,"",JUNIO!T258)</f>
        <v>DISPONIBILIDAD FINAL</v>
      </c>
      <c r="U258" s="415">
        <f>+(C10+C17+C108)-(U10+U207+U220+U232)</f>
        <v>0</v>
      </c>
      <c r="V258" s="415">
        <f t="shared" ref="V258:AJ258" si="204">+(D10+D17+D108)-(V10+V207+V220+V232)</f>
        <v>0</v>
      </c>
      <c r="W258" s="415">
        <f t="shared" si="204"/>
        <v>0</v>
      </c>
      <c r="X258" s="415">
        <f t="shared" si="204"/>
        <v>0</v>
      </c>
      <c r="Y258" s="415">
        <f t="shared" si="204"/>
        <v>388404578</v>
      </c>
      <c r="Z258" s="415">
        <f t="shared" si="204"/>
        <v>-9869027</v>
      </c>
      <c r="AA258" s="415">
        <f t="shared" si="204"/>
        <v>378535551</v>
      </c>
      <c r="AB258" s="415">
        <f t="shared" si="204"/>
        <v>8328205</v>
      </c>
      <c r="AC258" s="415">
        <f t="shared" si="204"/>
        <v>-42107138</v>
      </c>
      <c r="AD258" s="415">
        <f t="shared" si="204"/>
        <v>-33778933</v>
      </c>
      <c r="AE258" s="415">
        <f t="shared" si="204"/>
        <v>-121887942</v>
      </c>
      <c r="AF258" s="415">
        <f t="shared" si="204"/>
        <v>1379326632</v>
      </c>
      <c r="AG258" s="415">
        <f t="shared" si="204"/>
        <v>-1872610578</v>
      </c>
      <c r="AH258" s="415">
        <f t="shared" si="204"/>
        <v>-1737388671</v>
      </c>
      <c r="AI258" s="415">
        <f t="shared" si="204"/>
        <v>-1588307075</v>
      </c>
      <c r="AJ258" s="415">
        <f t="shared" si="204"/>
        <v>-1966523757</v>
      </c>
      <c r="AK258" s="10"/>
      <c r="AL258" s="415">
        <v>0</v>
      </c>
      <c r="AM258" s="416">
        <v>0</v>
      </c>
    </row>
    <row r="259" spans="1:39" ht="17.25" thickBot="1" x14ac:dyDescent="0.25">
      <c r="S259" s="982" t="str">
        <f>+IF(JUNIO!S259=0,"",JUNIO!S259)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139404555</v>
      </c>
      <c r="AF259" s="133">
        <f t="shared" si="205"/>
        <v>4752586</v>
      </c>
      <c r="AG259" s="146">
        <f t="shared" si="205"/>
        <v>144157141</v>
      </c>
      <c r="AH259" s="145">
        <f t="shared" si="205"/>
        <v>466000</v>
      </c>
      <c r="AI259" s="133">
        <f t="shared" si="205"/>
        <v>466000</v>
      </c>
      <c r="AJ259" s="134">
        <f t="shared" si="205"/>
        <v>1762350</v>
      </c>
      <c r="AK259" s="12"/>
      <c r="AL259" s="145">
        <f>+SUMIF(AK8:AK256,AK33,AL8:AL256)</f>
        <v>0</v>
      </c>
      <c r="AM259" s="134">
        <f>+SUMIF(AL8:AL256,AL33,AM8:AM256)</f>
        <v>812650700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0"/>
  <sheetViews>
    <sheetView showGridLines="0" topLeftCell="AA1" zoomScale="90" zoomScaleNormal="90"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7" width="14.42578125" style="339" customWidth="1"/>
    <col min="8" max="11" width="14.42578125" style="696" customWidth="1"/>
    <col min="12"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817"/>
      <c r="I2" s="817"/>
      <c r="J2" s="817"/>
      <c r="K2" s="818"/>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8</v>
      </c>
      <c r="AP2" s="349" t="s">
        <v>8</v>
      </c>
      <c r="AQ2" s="350"/>
      <c r="AR2" s="4"/>
      <c r="AS2" s="4"/>
      <c r="AT2" s="4"/>
      <c r="AU2" s="4"/>
      <c r="AV2" s="4"/>
      <c r="AW2" s="4"/>
      <c r="AX2" s="4"/>
      <c r="AY2" s="4"/>
      <c r="AZ2" s="5"/>
      <c r="BB2" s="952" t="s">
        <v>423</v>
      </c>
      <c r="BC2" s="969"/>
      <c r="BD2" s="69" t="s">
        <v>409</v>
      </c>
      <c r="BE2" s="347" t="str">
        <f>+L3</f>
        <v>AGOSTO</v>
      </c>
      <c r="BF2" s="340"/>
      <c r="BG2" s="952" t="s">
        <v>424</v>
      </c>
      <c r="BH2" s="969"/>
      <c r="BI2" s="969"/>
      <c r="BJ2" s="69" t="s">
        <v>409</v>
      </c>
      <c r="BK2" s="347" t="str">
        <f>+BE2</f>
        <v>AGOSTO</v>
      </c>
      <c r="BM2" s="952" t="s">
        <v>424</v>
      </c>
      <c r="BN2" s="969"/>
      <c r="BO2" s="969"/>
      <c r="BP2" s="69" t="s">
        <v>409</v>
      </c>
      <c r="BQ2" s="347" t="str">
        <f>+BK2</f>
        <v>AGOSTO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392</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AGOSTO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100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819" t="s">
        <v>40</v>
      </c>
      <c r="I6" s="820" t="s">
        <v>41</v>
      </c>
      <c r="J6" s="821" t="s">
        <v>39</v>
      </c>
      <c r="K6" s="819" t="s">
        <v>40</v>
      </c>
      <c r="L6" s="142" t="s">
        <v>41</v>
      </c>
      <c r="M6" s="150" t="s">
        <v>42</v>
      </c>
      <c r="N6" s="142" t="s">
        <v>22</v>
      </c>
      <c r="P6" s="191" t="s">
        <v>43</v>
      </c>
      <c r="Q6" s="190" t="s">
        <v>502</v>
      </c>
      <c r="R6" s="348"/>
      <c r="S6" s="101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AGOSTO</v>
      </c>
      <c r="AS6" s="387" t="str">
        <f>AR6</f>
        <v>AGOSTO</v>
      </c>
      <c r="AT6" s="387" t="str">
        <f>AR6</f>
        <v>AGOSTO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822"/>
      <c r="I7" s="822"/>
      <c r="J7" s="822"/>
      <c r="K7" s="822"/>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263697064</v>
      </c>
      <c r="AS7" s="401">
        <f>L22</f>
        <v>133157165</v>
      </c>
      <c r="AT7" s="15"/>
      <c r="AU7" s="402">
        <f t="shared" ref="AU7:AU17" si="0">IF(AQ7=0," ",AR7/AQ7)</f>
        <v>1.1200263026048807</v>
      </c>
      <c r="AV7" s="402">
        <f t="shared" ref="AV7:AV17" si="1">IF(AQ7=0," ",AS7/AQ7)</f>
        <v>0.5655714360941767</v>
      </c>
      <c r="AW7" s="401">
        <f>I23/AO$2*12+I24</f>
        <v>358048220</v>
      </c>
      <c r="AX7" s="401">
        <f>L23/AO$2*12+L24</f>
        <v>162238371.5</v>
      </c>
      <c r="AY7" s="401">
        <f t="shared" ref="AY7:AY16" si="2">AW7-AQ7</f>
        <v>122609942</v>
      </c>
      <c r="AZ7" s="403">
        <f t="shared" ref="AZ7:AZ16" si="3">AX7-AQ7</f>
        <v>-73199906.5</v>
      </c>
      <c r="BB7" s="404" t="s">
        <v>55</v>
      </c>
      <c r="BC7" s="72">
        <f>F10</f>
        <v>133074115</v>
      </c>
      <c r="BD7" s="73">
        <f>I10</f>
        <v>133074115</v>
      </c>
      <c r="BE7" s="74">
        <f>K10</f>
        <v>0</v>
      </c>
      <c r="BF7" s="75"/>
      <c r="BG7" s="109" t="s">
        <v>56</v>
      </c>
      <c r="BH7" s="135">
        <f>+SUM(BH8:BH11)</f>
        <v>3159128778</v>
      </c>
      <c r="BI7" s="135">
        <f>+SUM(BI8:BI11)</f>
        <v>1902366911</v>
      </c>
      <c r="BJ7" s="135">
        <f>+SUM(BJ8:BJ11)</f>
        <v>1902366909</v>
      </c>
      <c r="BK7" s="135">
        <f>+SUM(BK8:BK11)</f>
        <v>218187691</v>
      </c>
      <c r="BM7" s="79" t="s">
        <v>56</v>
      </c>
      <c r="BN7" s="80">
        <f>BN8+BN15+BN22</f>
        <v>3159128778</v>
      </c>
      <c r="BO7" s="81">
        <f>BO8+BO15+BO22</f>
        <v>1902366911</v>
      </c>
      <c r="BP7" s="81">
        <f>BP8+BP15+BP22</f>
        <v>1902366909</v>
      </c>
      <c r="BQ7" s="82">
        <f>BQ8+BQ15+BQ22</f>
        <v>218187691</v>
      </c>
    </row>
    <row r="8" spans="1:69" s="10" customFormat="1" ht="24" thickBot="1" x14ac:dyDescent="0.3">
      <c r="A8" s="405">
        <f>+IF(JULIO!A8=0,"",JULIO!A8)</f>
        <v>1</v>
      </c>
      <c r="B8" s="670" t="str">
        <f>+IF(JULIO!B8=0,"",JULIO!B8)</f>
        <v>INGRESOS</v>
      </c>
      <c r="C8" s="407">
        <f>C10+C17+C108</f>
        <v>3631501012</v>
      </c>
      <c r="D8" s="407">
        <f t="shared" ref="D8:N8" si="4">D10+D17+D108</f>
        <v>0</v>
      </c>
      <c r="E8" s="407">
        <f t="shared" si="4"/>
        <v>207633323</v>
      </c>
      <c r="F8" s="407">
        <f t="shared" si="4"/>
        <v>3839134335</v>
      </c>
      <c r="G8" s="407">
        <f t="shared" si="4"/>
        <v>2480281215</v>
      </c>
      <c r="H8" s="823">
        <f t="shared" si="4"/>
        <v>294691218</v>
      </c>
      <c r="I8" s="823">
        <f t="shared" si="4"/>
        <v>2774972433</v>
      </c>
      <c r="J8" s="823">
        <f t="shared" si="4"/>
        <v>2067938187</v>
      </c>
      <c r="K8" s="823">
        <f t="shared" si="4"/>
        <v>300516316</v>
      </c>
      <c r="L8" s="407">
        <f t="shared" si="4"/>
        <v>2368454503</v>
      </c>
      <c r="M8" s="407">
        <f t="shared" si="4"/>
        <v>1064161902</v>
      </c>
      <c r="N8" s="408">
        <f t="shared" si="4"/>
        <v>1470679832</v>
      </c>
      <c r="O8" s="409"/>
      <c r="P8" s="410">
        <f>P10+P17+P108</f>
        <v>0</v>
      </c>
      <c r="Q8" s="408">
        <f>Q10+Q17+Q108</f>
        <v>0</v>
      </c>
      <c r="S8" s="206" t="str">
        <f>+IF(JULIO!S8=0,"",JULIO!S8)</f>
        <v/>
      </c>
      <c r="T8" s="411" t="str">
        <f>+IF(JULIO!T8=0,"",JULIO!T8)</f>
        <v>GASTOS</v>
      </c>
      <c r="U8" s="412">
        <f t="shared" ref="U8:AM8" si="5">U10+U207+U220+U232</f>
        <v>3631501012</v>
      </c>
      <c r="V8" s="413">
        <f t="shared" si="5"/>
        <v>0</v>
      </c>
      <c r="W8" s="413">
        <f t="shared" si="5"/>
        <v>207633323</v>
      </c>
      <c r="X8" s="414">
        <f t="shared" si="5"/>
        <v>3839134335</v>
      </c>
      <c r="Y8" s="415">
        <f t="shared" si="5"/>
        <v>2101745664</v>
      </c>
      <c r="Z8" s="413">
        <f t="shared" si="5"/>
        <v>278966569</v>
      </c>
      <c r="AA8" s="414">
        <f t="shared" si="5"/>
        <v>2380712233</v>
      </c>
      <c r="AB8" s="415">
        <f t="shared" si="5"/>
        <v>2101717120</v>
      </c>
      <c r="AC8" s="413">
        <f t="shared" si="5"/>
        <v>278966569</v>
      </c>
      <c r="AD8" s="414">
        <f t="shared" si="5"/>
        <v>2380683689</v>
      </c>
      <c r="AE8" s="415">
        <f t="shared" si="5"/>
        <v>1872610578</v>
      </c>
      <c r="AF8" s="413">
        <f t="shared" si="5"/>
        <v>244538859</v>
      </c>
      <c r="AG8" s="414">
        <f t="shared" si="5"/>
        <v>2117149437</v>
      </c>
      <c r="AH8" s="415">
        <f t="shared" si="5"/>
        <v>1458422102</v>
      </c>
      <c r="AI8" s="413">
        <f t="shared" si="5"/>
        <v>1458450646</v>
      </c>
      <c r="AJ8" s="416">
        <f t="shared" si="5"/>
        <v>1721984898</v>
      </c>
      <c r="AL8" s="417">
        <f t="shared" si="5"/>
        <v>0</v>
      </c>
      <c r="AM8" s="418">
        <f t="shared" si="5"/>
        <v>0</v>
      </c>
      <c r="AO8" s="23"/>
      <c r="AP8" s="13" t="s">
        <v>58</v>
      </c>
      <c r="AQ8" s="14">
        <f>F25</f>
        <v>2553198704</v>
      </c>
      <c r="AR8" s="14">
        <f>I25</f>
        <v>1831521161</v>
      </c>
      <c r="AS8" s="14">
        <f>L25</f>
        <v>1608630448</v>
      </c>
      <c r="AT8" s="15"/>
      <c r="AU8" s="419">
        <f t="shared" si="0"/>
        <v>0.71734376103615627</v>
      </c>
      <c r="AV8" s="419">
        <f t="shared" si="1"/>
        <v>0.63004514512709853</v>
      </c>
      <c r="AW8" s="14">
        <f>I26/AO$2*12+I27</f>
        <v>2640001447</v>
      </c>
      <c r="AX8" s="14">
        <f>L26/AO$2*12+L27</f>
        <v>2305665377.5</v>
      </c>
      <c r="AY8" s="14">
        <f t="shared" si="2"/>
        <v>86802743</v>
      </c>
      <c r="AZ8" s="420">
        <f t="shared" si="3"/>
        <v>-247533326.5</v>
      </c>
      <c r="BB8" s="167" t="s">
        <v>59</v>
      </c>
      <c r="BC8" s="83">
        <f>BC9+BC19</f>
        <v>3390927588</v>
      </c>
      <c r="BD8" s="84">
        <f>BD9+BD19</f>
        <v>2285290395</v>
      </c>
      <c r="BE8" s="85">
        <f>BE9+BE19</f>
        <v>289731495</v>
      </c>
      <c r="BF8" s="75"/>
      <c r="BG8" s="86" t="s">
        <v>60</v>
      </c>
      <c r="BH8" s="87">
        <f>BN9+BN13</f>
        <v>2162482035</v>
      </c>
      <c r="BI8" s="87">
        <f>BO9+BO13</f>
        <v>1318504843</v>
      </c>
      <c r="BJ8" s="87">
        <f>BP9+BP13</f>
        <v>1318504843</v>
      </c>
      <c r="BK8" s="87">
        <f>BQ9+BQ13</f>
        <v>140639877</v>
      </c>
      <c r="BM8" s="89" t="s">
        <v>61</v>
      </c>
      <c r="BN8" s="90">
        <f>BN9+BN14+BN13</f>
        <v>2338916990</v>
      </c>
      <c r="BO8" s="87">
        <f>BO9+BO14+BO13</f>
        <v>1391463349</v>
      </c>
      <c r="BP8" s="87">
        <f>BP9+BP14+BP13</f>
        <v>1391463349</v>
      </c>
      <c r="BQ8" s="88">
        <f>BQ9+BQ14+BQ13</f>
        <v>151142446</v>
      </c>
    </row>
    <row r="9" spans="1:69" s="10" customFormat="1" ht="20.25" thickBot="1" x14ac:dyDescent="0.25">
      <c r="A9" s="671"/>
      <c r="B9" s="672"/>
      <c r="C9" s="673"/>
      <c r="D9" s="673"/>
      <c r="E9" s="673"/>
      <c r="F9" s="673"/>
      <c r="G9" s="673"/>
      <c r="H9" s="824"/>
      <c r="I9" s="824"/>
      <c r="J9" s="824"/>
      <c r="K9" s="824"/>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32860005</v>
      </c>
      <c r="AS9" s="14">
        <f>L28+L75</f>
        <v>32860005</v>
      </c>
      <c r="AT9" s="15"/>
      <c r="AU9" s="429">
        <f t="shared" si="0"/>
        <v>29.872731818181819</v>
      </c>
      <c r="AV9" s="429">
        <f t="shared" si="1"/>
        <v>29.872731818181819</v>
      </c>
      <c r="AW9" s="430">
        <f>(I30+I33+I36+I76)/AO$2*12+I31+I34+I37+I38+I39+I40+I77</f>
        <v>49290007.5</v>
      </c>
      <c r="AX9" s="430">
        <f>(L30+L33+L36+L76)/AO$2*12+L31+L34+L37+L38+L39+L40+L77</f>
        <v>49290007.5</v>
      </c>
      <c r="AY9" s="430">
        <f t="shared" si="2"/>
        <v>48190007.5</v>
      </c>
      <c r="AZ9" s="431">
        <f t="shared" si="3"/>
        <v>48190007.5</v>
      </c>
      <c r="BB9" s="432" t="s">
        <v>456</v>
      </c>
      <c r="BC9" s="91">
        <f>BC10+BC18</f>
        <v>3275748559</v>
      </c>
      <c r="BD9" s="92">
        <f>BD10+BD18</f>
        <v>2174850598</v>
      </c>
      <c r="BE9" s="93">
        <f>BE10+BE18</f>
        <v>274101610</v>
      </c>
      <c r="BF9" s="94"/>
      <c r="BG9" s="95" t="s">
        <v>64</v>
      </c>
      <c r="BH9" s="96">
        <f t="shared" ref="BH9:BK10" si="6">BN14</f>
        <v>176434955</v>
      </c>
      <c r="BI9" s="96">
        <f t="shared" si="6"/>
        <v>72958506</v>
      </c>
      <c r="BJ9" s="96">
        <f t="shared" si="6"/>
        <v>72958506</v>
      </c>
      <c r="BK9" s="96">
        <f t="shared" si="6"/>
        <v>10502569</v>
      </c>
      <c r="BM9" s="164" t="s">
        <v>65</v>
      </c>
      <c r="BN9" s="98">
        <f>SUM(BN10:BN12)</f>
        <v>1595742067</v>
      </c>
      <c r="BO9" s="96">
        <f>SUM(BO10:BO12)</f>
        <v>968825717</v>
      </c>
      <c r="BP9" s="96">
        <f>SUM(BP10:BP12)</f>
        <v>968825717</v>
      </c>
      <c r="BQ9" s="97">
        <f>SUM(BQ10:BQ12)</f>
        <v>115978548</v>
      </c>
    </row>
    <row r="10" spans="1:69" s="10" customFormat="1" ht="19.5" x14ac:dyDescent="0.2">
      <c r="A10" s="433">
        <f>+IF(JULIO!A10=0,"",JULIO!A10)</f>
        <v>10</v>
      </c>
      <c r="B10" s="434" t="str">
        <f>+IF(JULIO!B10=0,"",JULIO!B10)</f>
        <v>DISPONIBILIDAD INICIAL</v>
      </c>
      <c r="C10" s="215">
        <f t="shared" ref="C10:N10" si="7">SUM(C12:C15)</f>
        <v>100000000</v>
      </c>
      <c r="D10" s="435">
        <f t="shared" si="7"/>
        <v>0</v>
      </c>
      <c r="E10" s="435">
        <f t="shared" si="7"/>
        <v>33074115</v>
      </c>
      <c r="F10" s="216">
        <f t="shared" si="7"/>
        <v>133074115</v>
      </c>
      <c r="G10" s="436">
        <f t="shared" si="7"/>
        <v>133074115</v>
      </c>
      <c r="H10" s="581">
        <f t="shared" si="7"/>
        <v>0</v>
      </c>
      <c r="I10" s="582">
        <f t="shared" si="7"/>
        <v>133074115</v>
      </c>
      <c r="J10" s="580">
        <f t="shared" si="7"/>
        <v>133074115</v>
      </c>
      <c r="K10" s="581">
        <f t="shared" si="7"/>
        <v>0</v>
      </c>
      <c r="L10" s="216">
        <f t="shared" si="7"/>
        <v>133074115</v>
      </c>
      <c r="M10" s="215">
        <f t="shared" si="7"/>
        <v>0</v>
      </c>
      <c r="N10" s="216">
        <f t="shared" si="7"/>
        <v>0</v>
      </c>
      <c r="O10" s="15"/>
      <c r="P10" s="215">
        <f>SUM(P12:P15)</f>
        <v>0</v>
      </c>
      <c r="Q10" s="216">
        <f>SUM(Q12:Q15)</f>
        <v>0</v>
      </c>
      <c r="S10" s="438" t="str">
        <f>+IF(JULIO!S10=0,"",JULIO!S10)</f>
        <v>A</v>
      </c>
      <c r="T10" s="439" t="str">
        <f>+IF(JULIO!T10=0,"",JULIO!T10)</f>
        <v>GASTOS DE FUNCIONAMIENTO</v>
      </c>
      <c r="U10" s="440">
        <f t="shared" ref="U10:AJ10" si="8">U12+U110+U170+U193</f>
        <v>3509937912</v>
      </c>
      <c r="V10" s="441">
        <f t="shared" si="8"/>
        <v>1563100</v>
      </c>
      <c r="W10" s="441">
        <f t="shared" si="8"/>
        <v>122223183</v>
      </c>
      <c r="X10" s="444">
        <f t="shared" si="8"/>
        <v>3633724195</v>
      </c>
      <c r="Y10" s="443">
        <f t="shared" si="8"/>
        <v>1971408789</v>
      </c>
      <c r="Z10" s="441">
        <f t="shared" si="8"/>
        <v>266711720</v>
      </c>
      <c r="AA10" s="444">
        <f t="shared" si="8"/>
        <v>2238120509</v>
      </c>
      <c r="AB10" s="443">
        <f t="shared" si="8"/>
        <v>1971381474</v>
      </c>
      <c r="AC10" s="441">
        <f t="shared" si="8"/>
        <v>266711720</v>
      </c>
      <c r="AD10" s="444">
        <f t="shared" si="8"/>
        <v>2238093194</v>
      </c>
      <c r="AE10" s="443">
        <f t="shared" si="8"/>
        <v>1760788854</v>
      </c>
      <c r="AF10" s="441">
        <f t="shared" si="8"/>
        <v>242402372</v>
      </c>
      <c r="AG10" s="444">
        <f t="shared" si="8"/>
        <v>2003191226</v>
      </c>
      <c r="AH10" s="443">
        <f t="shared" si="8"/>
        <v>1395603686</v>
      </c>
      <c r="AI10" s="441">
        <f t="shared" si="8"/>
        <v>1395631001</v>
      </c>
      <c r="AJ10" s="442">
        <f t="shared" si="8"/>
        <v>1630532969</v>
      </c>
      <c r="AL10" s="445">
        <f>AL12+AL110+AL170+AL193</f>
        <v>0</v>
      </c>
      <c r="AM10" s="446">
        <f>AM12+AM110+AM170+AM193</f>
        <v>0</v>
      </c>
      <c r="AO10" s="428"/>
      <c r="AP10" s="13" t="s">
        <v>67</v>
      </c>
      <c r="AQ10" s="14">
        <f>F42</f>
        <v>125397398</v>
      </c>
      <c r="AR10" s="14">
        <f>I42</f>
        <v>71125789</v>
      </c>
      <c r="AS10" s="14">
        <f>L42</f>
        <v>53022786</v>
      </c>
      <c r="AT10" s="15"/>
      <c r="AU10" s="429">
        <f t="shared" si="0"/>
        <v>0.56720306907803619</v>
      </c>
      <c r="AV10" s="429">
        <f t="shared" si="1"/>
        <v>0.42283800816983458</v>
      </c>
      <c r="AW10" s="430">
        <f>I43/AO$2*12+I44</f>
        <v>106688683.5</v>
      </c>
      <c r="AX10" s="430">
        <f>L43/AO$2*12+L44</f>
        <v>79534179</v>
      </c>
      <c r="AY10" s="430">
        <f t="shared" si="2"/>
        <v>-18708714.5</v>
      </c>
      <c r="AZ10" s="431">
        <f t="shared" si="3"/>
        <v>-45863219</v>
      </c>
      <c r="BB10" s="447" t="s">
        <v>457</v>
      </c>
      <c r="BC10" s="91">
        <f>BC11+BC12+BC13+BC14+BC16+BC17+BC15</f>
        <v>3023223118</v>
      </c>
      <c r="BD10" s="92">
        <f>BD11+BD12+BD13+BD14+BD16+BD17+BD15</f>
        <v>2006500339</v>
      </c>
      <c r="BE10" s="93">
        <f>BE11+BE12+BE13+BE14+BE16+BE17+BE15</f>
        <v>253057841</v>
      </c>
      <c r="BF10" s="94"/>
      <c r="BG10" s="86" t="s">
        <v>68</v>
      </c>
      <c r="BH10" s="99">
        <f t="shared" si="6"/>
        <v>622444299</v>
      </c>
      <c r="BI10" s="99">
        <f t="shared" si="6"/>
        <v>421989590</v>
      </c>
      <c r="BJ10" s="99">
        <f t="shared" si="6"/>
        <v>421989588</v>
      </c>
      <c r="BK10" s="99">
        <f t="shared" si="6"/>
        <v>57869889</v>
      </c>
      <c r="BM10" s="161" t="s">
        <v>470</v>
      </c>
      <c r="BN10" s="101">
        <f>X17+X66</f>
        <v>1269481968</v>
      </c>
      <c r="BO10" s="99">
        <f>AA17+AA66</f>
        <v>847057276</v>
      </c>
      <c r="BP10" s="99">
        <f>AD17+AD66</f>
        <v>847057276</v>
      </c>
      <c r="BQ10" s="100">
        <f>AF17+AF66</f>
        <v>106799123</v>
      </c>
    </row>
    <row r="11" spans="1:69" s="10" customFormat="1" ht="19.5" x14ac:dyDescent="0.2">
      <c r="A11" s="421"/>
      <c r="B11" s="422"/>
      <c r="C11" s="423"/>
      <c r="D11" s="423"/>
      <c r="E11" s="423"/>
      <c r="F11" s="423"/>
      <c r="G11" s="423"/>
      <c r="H11" s="825"/>
      <c r="I11" s="825"/>
      <c r="J11" s="825"/>
      <c r="K11" s="825"/>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0.66666666666666663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1616960572</v>
      </c>
      <c r="BE11" s="93">
        <f>K26</f>
        <v>189858635</v>
      </c>
      <c r="BF11" s="94"/>
      <c r="BG11" s="86" t="s">
        <v>69</v>
      </c>
      <c r="BH11" s="102">
        <f>BN22</f>
        <v>197767489</v>
      </c>
      <c r="BI11" s="102">
        <f>BO22</f>
        <v>88913972</v>
      </c>
      <c r="BJ11" s="102">
        <f>BP22</f>
        <v>88913972</v>
      </c>
      <c r="BK11" s="102">
        <f>BQ22</f>
        <v>9175356</v>
      </c>
      <c r="BM11" s="162" t="s">
        <v>471</v>
      </c>
      <c r="BN11" s="104">
        <f>X18+X67</f>
        <v>136976782</v>
      </c>
      <c r="BO11" s="102">
        <f>AA18+AA67</f>
        <v>69503634</v>
      </c>
      <c r="BP11" s="102">
        <f>AD18+AD67</f>
        <v>69503634</v>
      </c>
      <c r="BQ11" s="103">
        <f>AF18+AF67</f>
        <v>7237650</v>
      </c>
    </row>
    <row r="12" spans="1:69" s="10" customFormat="1" ht="25.5" x14ac:dyDescent="0.2">
      <c r="A12" s="203">
        <f>+IF(JULIO!A12=0,"",JULIO!A12)</f>
        <v>1001</v>
      </c>
      <c r="B12" s="251" t="str">
        <f>+IF(JULIO!B12=0,"",JULIO!B12)</f>
        <v>Bienestar Social (Caja, Bancos, Inversiones Tempor.) a Dic-31-2013</v>
      </c>
      <c r="C12" s="283">
        <f>+ENERO!C12</f>
        <v>0</v>
      </c>
      <c r="D12" s="456">
        <f>JULIO!D12+AGOSTO!P12</f>
        <v>0</v>
      </c>
      <c r="E12" s="456">
        <f>JULIO!E12+AGOSTO!Q12</f>
        <v>0</v>
      </c>
      <c r="F12" s="170">
        <f>SUM(C12:E12)</f>
        <v>0</v>
      </c>
      <c r="G12" s="283">
        <f>JULIO!I12</f>
        <v>0</v>
      </c>
      <c r="H12" s="154">
        <v>0</v>
      </c>
      <c r="I12" s="575">
        <f>SUM(G12:H12)</f>
        <v>0</v>
      </c>
      <c r="J12" s="576">
        <f>JULIO!L12</f>
        <v>0</v>
      </c>
      <c r="K12" s="154">
        <v>0</v>
      </c>
      <c r="L12" s="170">
        <f>SUM(J12:K12)</f>
        <v>0</v>
      </c>
      <c r="M12" s="283">
        <f>F12-I12</f>
        <v>0</v>
      </c>
      <c r="N12" s="170">
        <f>F12-L12</f>
        <v>0</v>
      </c>
      <c r="O12" s="365"/>
      <c r="P12" s="455">
        <v>0</v>
      </c>
      <c r="Q12" s="458">
        <v>0</v>
      </c>
      <c r="S12" s="459">
        <f>+IF(JULIO!S12=0,"",JULIO!S12)</f>
        <v>1000000</v>
      </c>
      <c r="T12" s="460" t="str">
        <f>+IF(JULIO!T12=0,"",JULIO!T12)</f>
        <v>GASTOS DE PERSONAL</v>
      </c>
      <c r="U12" s="461">
        <f t="shared" ref="U12:AJ12" si="9">U14+U63</f>
        <v>2360005696</v>
      </c>
      <c r="V12" s="462">
        <f t="shared" si="9"/>
        <v>0</v>
      </c>
      <c r="W12" s="462">
        <f t="shared" si="9"/>
        <v>19989110</v>
      </c>
      <c r="X12" s="463">
        <f t="shared" si="9"/>
        <v>2379994806</v>
      </c>
      <c r="Y12" s="445">
        <f t="shared" si="9"/>
        <v>1250725050</v>
      </c>
      <c r="Z12" s="462">
        <f t="shared" si="9"/>
        <v>181351115</v>
      </c>
      <c r="AA12" s="463">
        <f t="shared" si="9"/>
        <v>1432076165</v>
      </c>
      <c r="AB12" s="445">
        <f t="shared" si="9"/>
        <v>1250725050</v>
      </c>
      <c r="AC12" s="462">
        <f t="shared" si="9"/>
        <v>181351115</v>
      </c>
      <c r="AD12" s="463">
        <f t="shared" si="9"/>
        <v>1432076165</v>
      </c>
      <c r="AE12" s="445">
        <f t="shared" si="9"/>
        <v>1200600803</v>
      </c>
      <c r="AF12" s="462">
        <f t="shared" si="9"/>
        <v>151142446</v>
      </c>
      <c r="AG12" s="463">
        <f t="shared" si="9"/>
        <v>1351743249</v>
      </c>
      <c r="AH12" s="445">
        <f t="shared" si="9"/>
        <v>947918641</v>
      </c>
      <c r="AI12" s="462">
        <f t="shared" si="9"/>
        <v>947918641</v>
      </c>
      <c r="AJ12" s="446">
        <f t="shared" si="9"/>
        <v>1028251557</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188702312</v>
      </c>
      <c r="BE12" s="93">
        <f>K23</f>
        <v>26862353</v>
      </c>
      <c r="BF12" s="94"/>
      <c r="BG12" s="466" t="s">
        <v>412</v>
      </c>
      <c r="BH12" s="102">
        <f>BN25</f>
        <v>328675926</v>
      </c>
      <c r="BI12" s="17">
        <f>BO25</f>
        <v>190300107</v>
      </c>
      <c r="BJ12" s="102">
        <f>BP25</f>
        <v>190272794</v>
      </c>
      <c r="BK12" s="102">
        <f>BQ25</f>
        <v>23847531</v>
      </c>
      <c r="BM12" s="163" t="s">
        <v>472</v>
      </c>
      <c r="BN12" s="104">
        <f>X16+X65-X81-X33-BN10-BN11</f>
        <v>189283317</v>
      </c>
      <c r="BO12" s="102">
        <f>AA16+AA65-AA81-AA33-BO10-BO11</f>
        <v>52264807</v>
      </c>
      <c r="BP12" s="102">
        <f>AD16+AD65-AD81-AD33-BP10-BP11</f>
        <v>52264807</v>
      </c>
      <c r="BQ12" s="103">
        <f>AF16+AF65-AF81-AF33-BQ10-BQ11</f>
        <v>1941775</v>
      </c>
    </row>
    <row r="13" spans="1:69" s="10" customFormat="1" ht="25.5" customHeight="1" x14ac:dyDescent="0.25">
      <c r="A13" s="203">
        <f>+IF(JULIO!A13=0,"",JULIO!A13)</f>
        <v>1002</v>
      </c>
      <c r="B13" s="251" t="str">
        <f>+IF(JULIO!B13=0,"",JULIO!B13)</f>
        <v>Fondo Vivienda (Caja, Bancos, Inversiones Tempor.) a Dic-31-2013</v>
      </c>
      <c r="C13" s="283">
        <f>+ENERO!C13</f>
        <v>0</v>
      </c>
      <c r="D13" s="456">
        <f>JULIO!D13+AGOSTO!P13</f>
        <v>0</v>
      </c>
      <c r="E13" s="456">
        <f>JULIO!E13+AGOSTO!Q13</f>
        <v>0</v>
      </c>
      <c r="F13" s="170">
        <f>SUM(C13:E13)</f>
        <v>0</v>
      </c>
      <c r="G13" s="283">
        <f>JULIO!I13</f>
        <v>0</v>
      </c>
      <c r="H13" s="154">
        <v>0</v>
      </c>
      <c r="I13" s="575">
        <f>SUM(G13:H13)</f>
        <v>0</v>
      </c>
      <c r="J13" s="576">
        <f>JULIO!L13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205410140</v>
      </c>
      <c r="BI13" s="102">
        <f t="shared" si="10"/>
        <v>142591724</v>
      </c>
      <c r="BJ13" s="102">
        <f t="shared" si="10"/>
        <v>142590495</v>
      </c>
      <c r="BK13" s="102">
        <f t="shared" si="10"/>
        <v>2136487</v>
      </c>
      <c r="BM13" s="166" t="s">
        <v>473</v>
      </c>
      <c r="BN13" s="101">
        <f>X43-X55+X57-X61+X90-X102+X104-X108</f>
        <v>566739968</v>
      </c>
      <c r="BO13" s="99">
        <f>AA43-AA55+AA57-AA61+AA90-AA102+AA104-AA108</f>
        <v>349679126</v>
      </c>
      <c r="BP13" s="99">
        <f>AD43-AD55+AD57-AD61+AD90-AD102+AD104-AD108</f>
        <v>349679126</v>
      </c>
      <c r="BQ13" s="100">
        <f>AF43-AF55+AF57-AF61+AF90-AF102+AF104-AF108</f>
        <v>24661329</v>
      </c>
    </row>
    <row r="14" spans="1:69" s="10" customFormat="1" ht="15.75" x14ac:dyDescent="0.25">
      <c r="A14" s="203">
        <f>+IF(JULIO!A14=0,"",JULIO!A14)</f>
        <v>1003</v>
      </c>
      <c r="B14" s="251" t="str">
        <f>+IF(JULIO!B14=0,"",JULIO!B14)</f>
        <v>Fondos Comunes y Especiales (Caja, Bancos, Invers. Tempor.) a Dic-31-2013</v>
      </c>
      <c r="C14" s="283">
        <f>+ENERO!C14</f>
        <v>80000000</v>
      </c>
      <c r="D14" s="456">
        <f>JULIO!D14+AGOSTO!P14</f>
        <v>0</v>
      </c>
      <c r="E14" s="456">
        <f>JULIO!E14+AGOSTO!Q14</f>
        <v>33074115</v>
      </c>
      <c r="F14" s="170">
        <f>SUM(C14:E14)</f>
        <v>113074115</v>
      </c>
      <c r="G14" s="283">
        <f>JULIO!I14</f>
        <v>113074115</v>
      </c>
      <c r="H14" s="154">
        <v>0</v>
      </c>
      <c r="I14" s="575">
        <f>SUM(G14:H14)</f>
        <v>113074115</v>
      </c>
      <c r="J14" s="576">
        <f>JULIO!L14</f>
        <v>113074115</v>
      </c>
      <c r="K14" s="154">
        <v>0</v>
      </c>
      <c r="L14" s="170">
        <f>SUM(J14:K14)</f>
        <v>113074115</v>
      </c>
      <c r="M14" s="283">
        <f>F14-I14</f>
        <v>0</v>
      </c>
      <c r="N14" s="170">
        <f>F14-L14</f>
        <v>0</v>
      </c>
      <c r="O14" s="467"/>
      <c r="P14" s="455">
        <v>0</v>
      </c>
      <c r="Q14" s="458">
        <v>0</v>
      </c>
      <c r="S14" s="469">
        <f>+IF(JULIO!S14=0,"",JULIO!S14)</f>
        <v>1010000</v>
      </c>
      <c r="T14" s="470" t="str">
        <f>+IF(JULIO!T14=0,"",JULIO!T14)</f>
        <v>Gastos de Administración</v>
      </c>
      <c r="U14" s="157">
        <f t="shared" ref="U14:AJ14" si="11">U16+U35+U43+U57</f>
        <v>703883287</v>
      </c>
      <c r="V14" s="144">
        <f t="shared" si="11"/>
        <v>-5657703</v>
      </c>
      <c r="W14" s="144">
        <f t="shared" si="11"/>
        <v>1200000</v>
      </c>
      <c r="X14" s="152">
        <f t="shared" si="11"/>
        <v>699425584</v>
      </c>
      <c r="Y14" s="151">
        <f t="shared" si="11"/>
        <v>350938892</v>
      </c>
      <c r="Z14" s="144">
        <f t="shared" si="11"/>
        <v>41601338</v>
      </c>
      <c r="AA14" s="152">
        <f t="shared" si="11"/>
        <v>392540230</v>
      </c>
      <c r="AB14" s="151">
        <f t="shared" si="11"/>
        <v>350938892</v>
      </c>
      <c r="AC14" s="144">
        <f t="shared" si="11"/>
        <v>41601338</v>
      </c>
      <c r="AD14" s="152">
        <f t="shared" si="11"/>
        <v>392540230</v>
      </c>
      <c r="AE14" s="151">
        <f t="shared" si="11"/>
        <v>332957075</v>
      </c>
      <c r="AF14" s="144">
        <f t="shared" si="11"/>
        <v>44445610</v>
      </c>
      <c r="AG14" s="152">
        <f t="shared" si="11"/>
        <v>377402685</v>
      </c>
      <c r="AH14" s="151">
        <f t="shared" si="11"/>
        <v>306885354</v>
      </c>
      <c r="AI14" s="144">
        <f t="shared" si="11"/>
        <v>306885354</v>
      </c>
      <c r="AJ14" s="153">
        <f t="shared" si="11"/>
        <v>322022899</v>
      </c>
      <c r="AK14" s="12"/>
      <c r="AL14" s="151">
        <f>AL16+AL35+AL43+AL57</f>
        <v>0</v>
      </c>
      <c r="AM14" s="153">
        <f>AM16+AM35+AM43+AM57</f>
        <v>0</v>
      </c>
      <c r="AO14" s="23"/>
      <c r="AP14" s="13" t="s">
        <v>75</v>
      </c>
      <c r="AQ14" s="14">
        <f>F19-AQ7-AQ8-AQ9-AQ10-AQ11-AQ12-AQ13</f>
        <v>387837872</v>
      </c>
      <c r="AR14" s="14">
        <f>I19-AR7-AR8-AR9-AR10-AR11-AR12-AR13</f>
        <v>271605331</v>
      </c>
      <c r="AS14" s="14">
        <f>L19-AS7-AS8-AS9-AS10-AS11-AS12-AS13</f>
        <v>236621016</v>
      </c>
      <c r="AT14" s="467"/>
      <c r="AU14" s="429">
        <f t="shared" si="0"/>
        <v>0.70030636667684687</v>
      </c>
      <c r="AV14" s="429">
        <f t="shared" si="1"/>
        <v>0.61010291434354813</v>
      </c>
      <c r="AW14" s="430">
        <f>(I41+I46+I49+I52+I55+I58+I61+I64+I67+I70+I73+I78+I81+I82+I83+I86+I87+I93)/AO$2*12+I47+I50+I53+I56+I59+I62+I65+I68+I71+I74</f>
        <v>375251060</v>
      </c>
      <c r="AX14" s="430">
        <f>(L41+L46+L49+L52+L55+L58+L61+L64+L67+L70+L73+L78+L81+L82+L83+L86+L87+L93)/AO$2*12+L47+L50+L53+L56+L59+L62+L65+L68+L71+L74</f>
        <v>322774587.5</v>
      </c>
      <c r="AY14" s="430">
        <f t="shared" si="2"/>
        <v>-12586812</v>
      </c>
      <c r="AZ14" s="431">
        <f t="shared" si="3"/>
        <v>-65063284.5</v>
      </c>
      <c r="BB14" s="468" t="s">
        <v>461</v>
      </c>
      <c r="BC14" s="110">
        <f>+F64</f>
        <v>40103182</v>
      </c>
      <c r="BD14" s="111">
        <f>+I64</f>
        <v>21738727</v>
      </c>
      <c r="BE14" s="112">
        <f>K64</f>
        <v>3261594</v>
      </c>
      <c r="BF14" s="113"/>
      <c r="BG14" s="109" t="s">
        <v>76</v>
      </c>
      <c r="BH14" s="99">
        <f t="shared" si="10"/>
        <v>0</v>
      </c>
      <c r="BI14" s="99">
        <f t="shared" si="10"/>
        <v>0</v>
      </c>
      <c r="BJ14" s="99">
        <f t="shared" si="10"/>
        <v>0</v>
      </c>
      <c r="BK14" s="99">
        <f t="shared" si="10"/>
        <v>0</v>
      </c>
      <c r="BM14" s="165" t="s">
        <v>469</v>
      </c>
      <c r="BN14" s="104">
        <f>X35-X41+X83-X88</f>
        <v>176434955</v>
      </c>
      <c r="BO14" s="102">
        <f>AA35-AA41+AA83-AA88</f>
        <v>72958506</v>
      </c>
      <c r="BP14" s="102">
        <f>AD35-AD41+AD83-AD88</f>
        <v>72958506</v>
      </c>
      <c r="BQ14" s="103">
        <f>AF35-AF41+AF83-AF88</f>
        <v>10502569</v>
      </c>
    </row>
    <row r="15" spans="1:69" s="10" customFormat="1" ht="16.5" thickBot="1" x14ac:dyDescent="0.3">
      <c r="A15" s="204">
        <f>+IF(JULIO!A15=0,"",JULIO!A15)</f>
        <v>1004</v>
      </c>
      <c r="B15" s="677" t="str">
        <f>+IF(JULIO!B15=0,"",JULIO!B15)</f>
        <v>Cesantias Ley 50/1990 a Dic-31-2013</v>
      </c>
      <c r="C15" s="474">
        <f>+ENERO!C15</f>
        <v>20000000</v>
      </c>
      <c r="D15" s="472">
        <f>JULIO!D15+AGOSTO!P15</f>
        <v>0</v>
      </c>
      <c r="E15" s="472">
        <f>JULIO!E15+AGOSTO!Q15</f>
        <v>0</v>
      </c>
      <c r="F15" s="473">
        <f>SUM(C15:E15)</f>
        <v>20000000</v>
      </c>
      <c r="G15" s="474">
        <f>JULIO!I15</f>
        <v>20000000</v>
      </c>
      <c r="H15" s="197">
        <v>0</v>
      </c>
      <c r="I15" s="565">
        <f>SUM(G15:H15)</f>
        <v>20000000</v>
      </c>
      <c r="J15" s="566">
        <f>JULIO!L15</f>
        <v>20000000</v>
      </c>
      <c r="K15" s="197">
        <v>0</v>
      </c>
      <c r="L15" s="473">
        <f>SUM(J15:K15)</f>
        <v>20000000</v>
      </c>
      <c r="M15" s="474">
        <f>F15-I15</f>
        <v>0</v>
      </c>
      <c r="N15" s="473">
        <f>F15-L15</f>
        <v>0</v>
      </c>
      <c r="O15" s="467"/>
      <c r="P15" s="471">
        <v>0</v>
      </c>
      <c r="Q15" s="476">
        <v>0</v>
      </c>
      <c r="S15" s="448" t="str">
        <f>+IF(JULIO!S15=0,"",JULIO!S15)</f>
        <v/>
      </c>
      <c r="T15" s="649" t="str">
        <f>+IF(JULIO!T15=0,"",JULIO!T15)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2738709</v>
      </c>
      <c r="AS15" s="14">
        <f>L108</f>
        <v>2738709</v>
      </c>
      <c r="AT15" s="15"/>
      <c r="AU15" s="429">
        <f t="shared" si="0"/>
        <v>1.8189844807798689E-2</v>
      </c>
      <c r="AV15" s="419">
        <f t="shared" si="1"/>
        <v>1.8189844807798689E-2</v>
      </c>
      <c r="AW15" s="14">
        <f>AQ15</f>
        <v>150562527</v>
      </c>
      <c r="AX15" s="14">
        <f>AR15</f>
        <v>2738709</v>
      </c>
      <c r="AY15" s="14">
        <f t="shared" si="2"/>
        <v>0</v>
      </c>
      <c r="AZ15" s="420">
        <f t="shared" si="3"/>
        <v>-147823818</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367150</v>
      </c>
      <c r="BM15" s="89" t="s">
        <v>68</v>
      </c>
      <c r="BN15" s="101">
        <f>SUM(BN16:BN21)</f>
        <v>622444299</v>
      </c>
      <c r="BO15" s="99">
        <f>SUM(BO16:BO21)</f>
        <v>421989590</v>
      </c>
      <c r="BP15" s="99">
        <f>SUM(BP16:BP21)</f>
        <v>421989588</v>
      </c>
      <c r="BQ15" s="100">
        <f>SUM(BQ16:BQ21)</f>
        <v>57869889</v>
      </c>
    </row>
    <row r="16" spans="1:69" s="10" customFormat="1" ht="15.75" thickBot="1" x14ac:dyDescent="0.3">
      <c r="A16" s="198" t="str">
        <f>+IF(JULIO!A16=0,"",JULIO!A16)</f>
        <v/>
      </c>
      <c r="B16" s="477" t="str">
        <f>+IF(JULIO!B16=0,"",JULIO!B16)</f>
        <v/>
      </c>
      <c r="C16" s="478"/>
      <c r="D16" s="478"/>
      <c r="E16" s="478"/>
      <c r="F16" s="478"/>
      <c r="G16" s="478"/>
      <c r="H16" s="826"/>
      <c r="I16" s="826"/>
      <c r="J16" s="826"/>
      <c r="K16" s="826"/>
      <c r="L16" s="478"/>
      <c r="M16" s="478"/>
      <c r="N16" s="479"/>
      <c r="O16" s="467"/>
      <c r="P16" s="480"/>
      <c r="Q16" s="481"/>
      <c r="S16" s="34">
        <f>+IF(JULIO!S16=0,"",JULIO!S16)</f>
        <v>1010100</v>
      </c>
      <c r="T16" s="158" t="str">
        <f>+IF(JULIO!T16=0,"",JULIO!T16)</f>
        <v>Servicios Personales Asociados a Nómina</v>
      </c>
      <c r="U16" s="157">
        <f t="shared" ref="U16:AJ16" si="12">SUM(U17:U20)+U33</f>
        <v>451022301</v>
      </c>
      <c r="V16" s="144">
        <f t="shared" si="12"/>
        <v>-3476851</v>
      </c>
      <c r="W16" s="144">
        <f t="shared" si="12"/>
        <v>0</v>
      </c>
      <c r="X16" s="152">
        <f t="shared" si="12"/>
        <v>447545450</v>
      </c>
      <c r="Y16" s="151">
        <f t="shared" si="12"/>
        <v>223576946</v>
      </c>
      <c r="Z16" s="144">
        <f t="shared" si="12"/>
        <v>29883428</v>
      </c>
      <c r="AA16" s="152">
        <f t="shared" si="12"/>
        <v>253460374</v>
      </c>
      <c r="AB16" s="151">
        <f t="shared" si="12"/>
        <v>223576946</v>
      </c>
      <c r="AC16" s="144">
        <f t="shared" si="12"/>
        <v>29883428</v>
      </c>
      <c r="AD16" s="152">
        <f t="shared" si="12"/>
        <v>253460374</v>
      </c>
      <c r="AE16" s="151">
        <f t="shared" si="12"/>
        <v>218487102</v>
      </c>
      <c r="AF16" s="144">
        <f t="shared" si="12"/>
        <v>29387827</v>
      </c>
      <c r="AG16" s="152">
        <f t="shared" si="12"/>
        <v>247874929</v>
      </c>
      <c r="AH16" s="151">
        <f t="shared" si="12"/>
        <v>194085076</v>
      </c>
      <c r="AI16" s="144">
        <f t="shared" si="12"/>
        <v>194085076</v>
      </c>
      <c r="AJ16" s="153">
        <f t="shared" si="12"/>
        <v>199670521</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71125789</v>
      </c>
      <c r="BE16" s="93">
        <f>K43</f>
        <v>20035054</v>
      </c>
      <c r="BF16" s="94"/>
      <c r="BG16" s="109" t="s">
        <v>84</v>
      </c>
      <c r="BH16" s="114">
        <f>BH7+BH12+BH13+BH14+BH15</f>
        <v>3839134335</v>
      </c>
      <c r="BI16" s="114">
        <f>BI7+BI12+BI13+BI14+BI15</f>
        <v>2380712233</v>
      </c>
      <c r="BJ16" s="114">
        <f>BJ7+BJ12+BJ13+BJ14+BJ15</f>
        <v>2380683689</v>
      </c>
      <c r="BK16" s="114">
        <f>BK7+BK12+BK13+BK14+BK15</f>
        <v>244538859</v>
      </c>
      <c r="BM16" s="164" t="s">
        <v>85</v>
      </c>
      <c r="BN16" s="101">
        <f>X114-X121+X147-X148-X153</f>
        <v>157592049</v>
      </c>
      <c r="BO16" s="99">
        <f>AA114-AA121+AA147-AA148-AA153</f>
        <v>125699685</v>
      </c>
      <c r="BP16" s="99">
        <f>AD114-AD121+AD147-AD148-AD153</f>
        <v>125699683</v>
      </c>
      <c r="BQ16" s="100">
        <f>AF114-AF121+AF147-AF148-AF153</f>
        <v>10190487</v>
      </c>
    </row>
    <row r="17" spans="1:70" s="467" customFormat="1" ht="17.25" thickBot="1" x14ac:dyDescent="0.3">
      <c r="A17" s="433">
        <f>+IF(JULIO!A17=0,"",JULIO!A17)</f>
        <v>11</v>
      </c>
      <c r="B17" s="439" t="str">
        <f>+IF(JULIO!B17=0,"",JULIO!B17)</f>
        <v>INGRESOS  CORRIENTES</v>
      </c>
      <c r="C17" s="435">
        <f>C19+C99</f>
        <v>3530048625</v>
      </c>
      <c r="D17" s="435">
        <f t="shared" ref="D17:N17" si="13">D19+D99</f>
        <v>0</v>
      </c>
      <c r="E17" s="435">
        <f t="shared" si="13"/>
        <v>25449068</v>
      </c>
      <c r="F17" s="435">
        <f t="shared" si="13"/>
        <v>3555497693</v>
      </c>
      <c r="G17" s="435">
        <f t="shared" si="13"/>
        <v>2344900477</v>
      </c>
      <c r="H17" s="581">
        <f t="shared" si="13"/>
        <v>294259132</v>
      </c>
      <c r="I17" s="581">
        <f t="shared" si="13"/>
        <v>2639159609</v>
      </c>
      <c r="J17" s="581">
        <f t="shared" si="13"/>
        <v>1932557449</v>
      </c>
      <c r="K17" s="581">
        <f t="shared" si="13"/>
        <v>300084230</v>
      </c>
      <c r="L17" s="435">
        <f t="shared" si="13"/>
        <v>2232641679</v>
      </c>
      <c r="M17" s="435">
        <f t="shared" si="13"/>
        <v>916338084</v>
      </c>
      <c r="N17" s="216">
        <f t="shared" si="13"/>
        <v>1322856014</v>
      </c>
      <c r="P17" s="215">
        <f>P19+P99</f>
        <v>0</v>
      </c>
      <c r="Q17" s="216">
        <f>Q19+Q99</f>
        <v>0</v>
      </c>
      <c r="R17" s="10"/>
      <c r="S17" s="155">
        <f>+IF(JULIO!S17=0,"",JULIO!S17)</f>
        <v>1010101</v>
      </c>
      <c r="T17" s="159" t="str">
        <f>+IF(JULIO!T17=0,"",JULIO!T17)</f>
        <v>Sueldos del Personal de nómina</v>
      </c>
      <c r="U17" s="29">
        <f>+ENERO!U17</f>
        <v>368370792</v>
      </c>
      <c r="V17" s="17">
        <f>JULIO!V17+AGOSTO!AL17</f>
        <v>0</v>
      </c>
      <c r="W17" s="17">
        <f>JULIO!W17+AGOSTO!AM17</f>
        <v>0</v>
      </c>
      <c r="X17" s="20">
        <f>SUM(U17:W17)</f>
        <v>368370792</v>
      </c>
      <c r="Y17" s="21">
        <f>JULIO!AA17</f>
        <v>201796126</v>
      </c>
      <c r="Z17" s="457">
        <v>27970908</v>
      </c>
      <c r="AA17" s="20">
        <f>SUM(Y17:Z17)</f>
        <v>229767034</v>
      </c>
      <c r="AB17" s="21">
        <f>JULIO!AD17</f>
        <v>201796126</v>
      </c>
      <c r="AC17" s="457">
        <v>27970908</v>
      </c>
      <c r="AD17" s="20">
        <f>SUM(AB17:AC17)</f>
        <v>229767034</v>
      </c>
      <c r="AE17" s="21">
        <f>JULIO!AG17</f>
        <v>196706282</v>
      </c>
      <c r="AF17" s="457">
        <v>27900060</v>
      </c>
      <c r="AG17" s="20">
        <f>SUM(AE17:AF17)</f>
        <v>224606342</v>
      </c>
      <c r="AH17" s="21">
        <f>X17-AA17</f>
        <v>138603758</v>
      </c>
      <c r="AI17" s="17">
        <f>X17-AD17</f>
        <v>138603758</v>
      </c>
      <c r="AJ17" s="18">
        <f>X17-AG17</f>
        <v>143764450</v>
      </c>
      <c r="AK17" s="10"/>
      <c r="AL17" s="455">
        <v>0</v>
      </c>
      <c r="AM17" s="458">
        <v>0</v>
      </c>
      <c r="AN17" s="10"/>
      <c r="AO17" s="428"/>
      <c r="AP17" s="488" t="s">
        <v>87</v>
      </c>
      <c r="AQ17" s="489">
        <f>SUM(AQ7:AQ16)</f>
        <v>3586608894</v>
      </c>
      <c r="AR17" s="490">
        <f>SUM(AR7:AR16)</f>
        <v>2606622174</v>
      </c>
      <c r="AS17" s="491">
        <f>SUM(AS7:AS16)</f>
        <v>2200104244</v>
      </c>
      <c r="AT17" s="492"/>
      <c r="AU17" s="490">
        <f t="shared" si="0"/>
        <v>0.72676510069458389</v>
      </c>
      <c r="AV17" s="490">
        <f t="shared" si="1"/>
        <v>0.61342184470699634</v>
      </c>
      <c r="AW17" s="493">
        <f>SUM(AX7:AX16)</f>
        <v>3055315347</v>
      </c>
      <c r="AX17" s="493">
        <f>SUM(AX7:AX16)</f>
        <v>3055315347</v>
      </c>
      <c r="AY17" s="493">
        <f>SUM(AY7:AY16)</f>
        <v>226307166</v>
      </c>
      <c r="AZ17" s="494">
        <f>SUM(AZ7:AZ16)</f>
        <v>-531293547</v>
      </c>
      <c r="BA17" s="10"/>
      <c r="BB17" s="468" t="s">
        <v>463</v>
      </c>
      <c r="BC17" s="91">
        <f>F41+F52+F55+F58+F61+F67+F70+F73+F76+F79+F82+F88+F89+F90+F91</f>
        <v>177489895</v>
      </c>
      <c r="BD17" s="92">
        <f>I41+I52+I55+I58+I61+I67+I70+I73+I76+I79+I82+I88+I89+I90+I91</f>
        <v>107972939</v>
      </c>
      <c r="BE17" s="93">
        <f>K41+K52+K55+K58+K61+K67+K70+K73+K76+K79+K82+K88+K89+K90+K91</f>
        <v>13040205</v>
      </c>
      <c r="BF17" s="94"/>
      <c r="BG17" s="116" t="s">
        <v>88</v>
      </c>
      <c r="BH17" s="117">
        <f>BC23-BH16</f>
        <v>0</v>
      </c>
      <c r="BI17" s="117"/>
      <c r="BJ17" s="117"/>
      <c r="BK17" s="117"/>
      <c r="BM17" s="164" t="s">
        <v>479</v>
      </c>
      <c r="BN17" s="101">
        <f>X123-X126-X139+X155-X156-X167-X168</f>
        <v>191636548</v>
      </c>
      <c r="BO17" s="99">
        <f>AA123-AA126-AA139+AA155-AA156-AA167-AA168</f>
        <v>120266536</v>
      </c>
      <c r="BP17" s="99">
        <f>AD123-AD126-AD139+AD155-AD156-AD167-AD168</f>
        <v>120266536</v>
      </c>
      <c r="BQ17" s="100">
        <f>AF123-AF126-AF139+AF155-AF156-AF167-AF168</f>
        <v>12777156</v>
      </c>
      <c r="BR17" s="10"/>
    </row>
    <row r="18" spans="1:70" s="10" customFormat="1" ht="15" thickBot="1" x14ac:dyDescent="0.25">
      <c r="A18" s="202" t="str">
        <f>+IF(JULIO!A18=0,"",JULIO!A18)</f>
        <v/>
      </c>
      <c r="B18" s="201" t="str">
        <f>+IF(JULIO!B18=0,"",JULIO!B18)</f>
        <v/>
      </c>
      <c r="C18" s="495"/>
      <c r="D18" s="495"/>
      <c r="E18" s="495"/>
      <c r="F18" s="495"/>
      <c r="G18" s="495"/>
      <c r="H18" s="827"/>
      <c r="I18" s="827"/>
      <c r="J18" s="827"/>
      <c r="K18" s="827"/>
      <c r="L18" s="495"/>
      <c r="M18" s="495"/>
      <c r="N18" s="496"/>
      <c r="P18" s="497"/>
      <c r="Q18" s="496"/>
      <c r="S18" s="155">
        <f>+IF(JULIO!S18=0,"",JULIO!S18)</f>
        <v>1010102</v>
      </c>
      <c r="T18" s="159" t="str">
        <f>+IF(JULIO!T18=0,"",JULIO!T18)</f>
        <v>Horas Extras,Dominic.,Festivos y Rec. Nocturnos</v>
      </c>
      <c r="U18" s="29">
        <f>+ENERO!U18</f>
        <v>20119405</v>
      </c>
      <c r="V18" s="17">
        <f>JULIO!V18+AGOSTO!AL18</f>
        <v>0</v>
      </c>
      <c r="W18" s="17">
        <f>JULIO!W18+AGOSTO!AM18</f>
        <v>0</v>
      </c>
      <c r="X18" s="20">
        <f>SUM(U18:W18)</f>
        <v>20119405</v>
      </c>
      <c r="Y18" s="21">
        <f>JULIO!AA18</f>
        <v>6860231</v>
      </c>
      <c r="Z18" s="457">
        <v>739457</v>
      </c>
      <c r="AA18" s="20">
        <f>SUM(Y18:Z18)</f>
        <v>7599688</v>
      </c>
      <c r="AB18" s="21">
        <f>JULIO!AD18</f>
        <v>6860231</v>
      </c>
      <c r="AC18" s="457">
        <v>739457</v>
      </c>
      <c r="AD18" s="20">
        <f>SUM(AB18:AC18)</f>
        <v>7599688</v>
      </c>
      <c r="AE18" s="21">
        <f>JULIO!AG18</f>
        <v>6860231</v>
      </c>
      <c r="AF18" s="457">
        <v>739457</v>
      </c>
      <c r="AG18" s="20">
        <f>SUM(AE18:AF18)</f>
        <v>7599688</v>
      </c>
      <c r="AH18" s="21">
        <f>X18-AA18</f>
        <v>12519717</v>
      </c>
      <c r="AI18" s="17">
        <f>X18-AD18</f>
        <v>12519717</v>
      </c>
      <c r="AJ18" s="18">
        <f>X18-AG18</f>
        <v>12519717</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168350259</v>
      </c>
      <c r="BE18" s="93">
        <f>K100+K101+K102+K105</f>
        <v>21043769</v>
      </c>
      <c r="BF18" s="113"/>
      <c r="BM18" s="164" t="s">
        <v>89</v>
      </c>
      <c r="BN18" s="101">
        <f>X148+X156</f>
        <v>222935242</v>
      </c>
      <c r="BO18" s="99">
        <f>AA148+AA156</f>
        <v>140568178</v>
      </c>
      <c r="BP18" s="99">
        <f>AD148+AD156</f>
        <v>140568178</v>
      </c>
      <c r="BQ18" s="100">
        <f>AF148+AF156</f>
        <v>30500101</v>
      </c>
      <c r="BR18" s="467"/>
    </row>
    <row r="19" spans="1:70" s="10" customFormat="1" ht="15.75" x14ac:dyDescent="0.25">
      <c r="A19" s="498">
        <f>+IF(JULIO!A19=0,"",JULIO!A19)</f>
        <v>113</v>
      </c>
      <c r="B19" s="499" t="str">
        <f>+IF(JULIO!B19=0,"",JULIO!B19)</f>
        <v>VENTA DE SERVICIOS</v>
      </c>
      <c r="C19" s="53">
        <f t="shared" ref="C19:N19" si="14">C21+C85</f>
        <v>3530048625</v>
      </c>
      <c r="D19" s="53">
        <f t="shared" si="14"/>
        <v>-227076373</v>
      </c>
      <c r="E19" s="53">
        <f t="shared" si="14"/>
        <v>0</v>
      </c>
      <c r="F19" s="54">
        <f t="shared" si="14"/>
        <v>3302972252</v>
      </c>
      <c r="G19" s="52">
        <f t="shared" si="14"/>
        <v>2197593987</v>
      </c>
      <c r="H19" s="828">
        <f t="shared" si="14"/>
        <v>273215363</v>
      </c>
      <c r="I19" s="829">
        <f t="shared" si="14"/>
        <v>2470809350</v>
      </c>
      <c r="J19" s="830">
        <f t="shared" si="14"/>
        <v>1785250959</v>
      </c>
      <c r="K19" s="828">
        <f t="shared" si="14"/>
        <v>279040461</v>
      </c>
      <c r="L19" s="54">
        <f t="shared" si="14"/>
        <v>2064291420</v>
      </c>
      <c r="M19" s="52">
        <f t="shared" si="14"/>
        <v>832162902</v>
      </c>
      <c r="N19" s="54">
        <f t="shared" si="14"/>
        <v>1238680832</v>
      </c>
      <c r="O19" s="467"/>
      <c r="P19" s="52">
        <f>P21+P85</f>
        <v>0</v>
      </c>
      <c r="Q19" s="54">
        <f>Q21+Q85</f>
        <v>0</v>
      </c>
      <c r="S19" s="155">
        <f>+IF(JULIO!S19=0,"",JULIO!S19)</f>
        <v>1010103</v>
      </c>
      <c r="T19" s="159" t="str">
        <f>+IF(JULIO!T19=0,"",JULIO!T19)</f>
        <v>Prima Técnica</v>
      </c>
      <c r="U19" s="29">
        <f>+ENERO!U19</f>
        <v>0</v>
      </c>
      <c r="V19" s="17">
        <f>JULIO!V19+AGOSTO!AL19</f>
        <v>0</v>
      </c>
      <c r="W19" s="17">
        <f>JULIO!W19+AGOSTO!AM19</f>
        <v>0</v>
      </c>
      <c r="X19" s="20">
        <f>SUM(U19:W19)</f>
        <v>0</v>
      </c>
      <c r="Y19" s="21">
        <f>JULIO!AA19</f>
        <v>0</v>
      </c>
      <c r="Z19" s="457">
        <v>0</v>
      </c>
      <c r="AA19" s="20">
        <f>SUM(Y19:Z19)</f>
        <v>0</v>
      </c>
      <c r="AB19" s="21">
        <f>JULIO!AD19</f>
        <v>0</v>
      </c>
      <c r="AC19" s="457">
        <v>0</v>
      </c>
      <c r="AD19" s="20">
        <f>SUM(AB19:AC19)</f>
        <v>0</v>
      </c>
      <c r="AE19" s="21">
        <f>JULIO!AG19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110439797</v>
      </c>
      <c r="BE19" s="112">
        <f>K86+K87+K93+K103+K104</f>
        <v>15629885</v>
      </c>
      <c r="BF19" s="75"/>
      <c r="BG19" s="467"/>
      <c r="BH19" s="467">
        <f>BN33</f>
        <v>0</v>
      </c>
      <c r="BI19" s="467"/>
      <c r="BJ19" s="467"/>
      <c r="BK19" s="467"/>
      <c r="BM19" s="164" t="s">
        <v>96</v>
      </c>
      <c r="BN19" s="101">
        <f>X126+X167</f>
        <v>49280460</v>
      </c>
      <c r="BO19" s="99">
        <f>AA126+AA167</f>
        <v>35455191</v>
      </c>
      <c r="BP19" s="99">
        <f>AD126+AD167</f>
        <v>35455191</v>
      </c>
      <c r="BQ19" s="100">
        <f>AF126+AF167</f>
        <v>4402145</v>
      </c>
    </row>
    <row r="20" spans="1:70" s="514" customFormat="1" ht="15" x14ac:dyDescent="0.25">
      <c r="A20" s="202" t="str">
        <f>+IF(JULIO!A20=0,"",JULIO!A20)</f>
        <v/>
      </c>
      <c r="B20" s="201" t="str">
        <f>+IF(JULIO!B20=0,"",JULIO!B20)</f>
        <v/>
      </c>
      <c r="C20" s="495"/>
      <c r="D20" s="495"/>
      <c r="E20" s="495"/>
      <c r="F20" s="495"/>
      <c r="G20" s="495"/>
      <c r="H20" s="827"/>
      <c r="I20" s="827"/>
      <c r="J20" s="827"/>
      <c r="K20" s="827"/>
      <c r="L20" s="495"/>
      <c r="M20" s="495"/>
      <c r="N20" s="496"/>
      <c r="O20" s="10"/>
      <c r="P20" s="497"/>
      <c r="Q20" s="496"/>
      <c r="R20" s="10"/>
      <c r="S20" s="155">
        <f>+IF(JULIO!S20=0,"",JULIO!S20)</f>
        <v>1010104</v>
      </c>
      <c r="T20" s="159" t="str">
        <f>+IF(JULIO!T20=0,"",JULIO!T20)</f>
        <v>Otros</v>
      </c>
      <c r="U20" s="29">
        <f t="shared" ref="U20:AJ20" si="15">SUM(U21:U32)</f>
        <v>58502253</v>
      </c>
      <c r="V20" s="17">
        <f t="shared" si="15"/>
        <v>0</v>
      </c>
      <c r="W20" s="17">
        <f t="shared" si="15"/>
        <v>0</v>
      </c>
      <c r="X20" s="20">
        <f t="shared" si="15"/>
        <v>58502253</v>
      </c>
      <c r="Y20" s="21">
        <f t="shared" si="15"/>
        <v>14367589</v>
      </c>
      <c r="Z20" s="169">
        <f t="shared" si="15"/>
        <v>1173063</v>
      </c>
      <c r="AA20" s="20">
        <f t="shared" si="15"/>
        <v>15540652</v>
      </c>
      <c r="AB20" s="21">
        <f t="shared" si="15"/>
        <v>14367589</v>
      </c>
      <c r="AC20" s="169">
        <f t="shared" si="15"/>
        <v>1173063</v>
      </c>
      <c r="AD20" s="20">
        <f t="shared" si="15"/>
        <v>15540652</v>
      </c>
      <c r="AE20" s="21">
        <f t="shared" si="15"/>
        <v>14367589</v>
      </c>
      <c r="AF20" s="169">
        <f t="shared" si="15"/>
        <v>748310</v>
      </c>
      <c r="AG20" s="20">
        <f t="shared" si="15"/>
        <v>15115899</v>
      </c>
      <c r="AH20" s="21">
        <f t="shared" si="15"/>
        <v>42961601</v>
      </c>
      <c r="AI20" s="17">
        <f t="shared" si="15"/>
        <v>42961601</v>
      </c>
      <c r="AJ20" s="18">
        <f t="shared" si="15"/>
        <v>43386354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644803</v>
      </c>
      <c r="BE20" s="85">
        <f>+K109+K111+K113+K114+K115</f>
        <v>412086</v>
      </c>
      <c r="BF20" s="75"/>
      <c r="BG20" s="467"/>
      <c r="BH20" s="467">
        <f>BH19-BH16</f>
        <v>-3839134335</v>
      </c>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+IF(JULIO!A21=0,"",JULIO!A21)</f>
        <v>11301</v>
      </c>
      <c r="B21" s="516" t="str">
        <f>+IF(JULIO!B21=0,"",JULIO!B21)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2102784075</v>
      </c>
      <c r="H21" s="831">
        <f t="shared" si="16"/>
        <v>257585478</v>
      </c>
      <c r="I21" s="832">
        <f t="shared" si="16"/>
        <v>2360369553</v>
      </c>
      <c r="J21" s="833">
        <f t="shared" si="16"/>
        <v>1690441047</v>
      </c>
      <c r="K21" s="831">
        <f t="shared" si="16"/>
        <v>263410576</v>
      </c>
      <c r="L21" s="519">
        <f t="shared" si="16"/>
        <v>1953851623</v>
      </c>
      <c r="M21" s="517">
        <f t="shared" si="16"/>
        <v>827423670</v>
      </c>
      <c r="N21" s="519">
        <f t="shared" si="16"/>
        <v>1233941600</v>
      </c>
      <c r="O21" s="467"/>
      <c r="P21" s="52">
        <f>P22+P25+P28+P41+P42+P45+P48+P51+P54+P57+P60+P63+P66+P69+P72+P75+P78+P81</f>
        <v>0</v>
      </c>
      <c r="Q21" s="54">
        <f>Q22+Q25+Q28+Q41+Q42+Q45+Q48+Q51+Q54+Q57+Q60+Q63+Q66+Q69+Q72+Q75+Q78+Q81</f>
        <v>0</v>
      </c>
      <c r="R21" s="10"/>
      <c r="S21" s="156" t="str">
        <f>+IF(JULIO!S21=0,"",JULIO!S21)</f>
        <v>1010104-1</v>
      </c>
      <c r="T21" s="55" t="str">
        <f>+IF(JULIO!T21=0,"",JULIO!T21)</f>
        <v xml:space="preserve">Prima de Navidad </v>
      </c>
      <c r="U21" s="29">
        <f>+ENERO!U21</f>
        <v>31976631</v>
      </c>
      <c r="V21" s="17">
        <f>JULIO!V21+AGOSTO!AL21</f>
        <v>0</v>
      </c>
      <c r="W21" s="17">
        <f>JULIO!W21+AGOSTO!AM21</f>
        <v>0</v>
      </c>
      <c r="X21" s="20">
        <f t="shared" ref="X21:X33" si="17">SUM(U21:W21)</f>
        <v>31976631</v>
      </c>
      <c r="Y21" s="21">
        <f>JULIO!AA21</f>
        <v>0</v>
      </c>
      <c r="Z21" s="457">
        <v>262183</v>
      </c>
      <c r="AA21" s="20">
        <f t="shared" ref="AA21:AA33" si="18">SUM(Y21:Z21)</f>
        <v>262183</v>
      </c>
      <c r="AB21" s="21">
        <f>JULIO!AD21</f>
        <v>0</v>
      </c>
      <c r="AC21" s="457">
        <v>262183</v>
      </c>
      <c r="AD21" s="20">
        <f t="shared" ref="AD21:AD33" si="19">SUM(AB21:AC21)</f>
        <v>262183</v>
      </c>
      <c r="AE21" s="21">
        <f>JULIO!AG21</f>
        <v>0</v>
      </c>
      <c r="AF21" s="457">
        <v>0</v>
      </c>
      <c r="AG21" s="20">
        <f t="shared" ref="AG21:AG33" si="20">SUM(AE21:AF21)</f>
        <v>0</v>
      </c>
      <c r="AH21" s="21">
        <f t="shared" ref="AH21:AH33" si="21">X21-AA21</f>
        <v>31714448</v>
      </c>
      <c r="AI21" s="17">
        <f t="shared" ref="AI21:AI33" si="22">X21-AD21</f>
        <v>31714448</v>
      </c>
      <c r="AJ21" s="18">
        <f t="shared" ref="AJ21:AJ33" si="23">X21-AG21</f>
        <v>31976631</v>
      </c>
      <c r="AK21" s="10"/>
      <c r="AL21" s="455">
        <v>0</v>
      </c>
      <c r="AM21" s="458">
        <v>0</v>
      </c>
      <c r="AN21" s="10"/>
      <c r="AO21" s="428"/>
      <c r="AP21" s="520"/>
      <c r="AQ21" s="521"/>
      <c r="AR21" s="522" t="str">
        <f>AR6</f>
        <v>AGOSTO</v>
      </c>
      <c r="AS21" s="523" t="str">
        <f>AR6</f>
        <v>AGOSTO</v>
      </c>
      <c r="AT21" s="522" t="str">
        <f>AR6</f>
        <v>AGOSTO</v>
      </c>
      <c r="AU21" s="522" t="s">
        <v>46</v>
      </c>
      <c r="AV21" s="522" t="s">
        <v>24</v>
      </c>
      <c r="AW21" s="524"/>
      <c r="AX21" s="524"/>
      <c r="AY21" s="522" t="s">
        <v>46</v>
      </c>
      <c r="AZ21" s="525" t="s">
        <v>24</v>
      </c>
      <c r="BA21" s="10"/>
      <c r="BB21" s="119" t="s">
        <v>466</v>
      </c>
      <c r="BC21" s="83">
        <f>+F117</f>
        <v>149110140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+IF(JULIO!A22=0,"",JULIO!A22)</f>
        <v>1130101</v>
      </c>
      <c r="B22" s="45" t="str">
        <f>+IF(JULIO!B22=0,"",JULIO!B22)</f>
        <v>EPS - REGIMEN CONTRIBUTIVO</v>
      </c>
      <c r="C22" s="53">
        <f t="shared" ref="C22:N22" si="24">SUM(C23:C24)</f>
        <v>235438278</v>
      </c>
      <c r="D22" s="53">
        <f t="shared" si="24"/>
        <v>0</v>
      </c>
      <c r="E22" s="53">
        <f t="shared" si="24"/>
        <v>0</v>
      </c>
      <c r="F22" s="54">
        <f t="shared" si="24"/>
        <v>235438278</v>
      </c>
      <c r="G22" s="52">
        <f t="shared" si="24"/>
        <v>234534494</v>
      </c>
      <c r="H22" s="828">
        <f t="shared" si="24"/>
        <v>29162570</v>
      </c>
      <c r="I22" s="829">
        <f t="shared" si="24"/>
        <v>263697064</v>
      </c>
      <c r="J22" s="830">
        <f t="shared" si="24"/>
        <v>102102999</v>
      </c>
      <c r="K22" s="828">
        <f t="shared" si="24"/>
        <v>31054166</v>
      </c>
      <c r="L22" s="54">
        <f t="shared" si="24"/>
        <v>133157165</v>
      </c>
      <c r="M22" s="52">
        <f t="shared" si="24"/>
        <v>-28258786</v>
      </c>
      <c r="N22" s="54">
        <f t="shared" si="24"/>
        <v>102281113</v>
      </c>
      <c r="P22" s="52">
        <f>SUM(P23:P24)</f>
        <v>0</v>
      </c>
      <c r="Q22" s="54">
        <f>SUM(Q23:Q24)</f>
        <v>0</v>
      </c>
      <c r="S22" s="156" t="str">
        <f>+IF(JULIO!S22=0,"",JULIO!S22)</f>
        <v>1010104-2</v>
      </c>
      <c r="T22" s="55" t="str">
        <f>+IF(JULIO!T22=0,"",JULIO!T22)</f>
        <v>Prima Vida Cara</v>
      </c>
      <c r="U22" s="29">
        <f>+ENERO!U22</f>
        <v>0</v>
      </c>
      <c r="V22" s="17">
        <f>JULIO!V22+AGOSTO!AL22</f>
        <v>0</v>
      </c>
      <c r="W22" s="17">
        <f>JULIO!W22+AGOSTO!AM22</f>
        <v>0</v>
      </c>
      <c r="X22" s="20">
        <f t="shared" si="17"/>
        <v>0</v>
      </c>
      <c r="Y22" s="21">
        <f>JULIO!AA22</f>
        <v>0</v>
      </c>
      <c r="Z22" s="457">
        <v>0</v>
      </c>
      <c r="AA22" s="20">
        <f t="shared" si="18"/>
        <v>0</v>
      </c>
      <c r="AB22" s="21">
        <f>JULIO!AD22</f>
        <v>0</v>
      </c>
      <c r="AC22" s="457">
        <v>0</v>
      </c>
      <c r="AD22" s="20">
        <f t="shared" si="19"/>
        <v>0</v>
      </c>
      <c r="AE22" s="21">
        <f>JULIO!AG22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847057276</v>
      </c>
      <c r="AS22" s="527">
        <f>AG17+AG66</f>
        <v>818367683</v>
      </c>
      <c r="AT22" s="528"/>
      <c r="AU22" s="529">
        <f t="shared" ref="AU22:AU32" si="25">IF(AQ22=0," ",AR22/AQ22)</f>
        <v>0.66724640235299504</v>
      </c>
      <c r="AV22" s="529">
        <f t="shared" ref="AV22:AV32" si="26">IF(AQ22=0," ",AS22/AQ22)</f>
        <v>0.64464695334687894</v>
      </c>
      <c r="AW22" s="530">
        <f>AR22/$AO$2*12</f>
        <v>1270585914</v>
      </c>
      <c r="AX22" s="530">
        <f>AS22/$AO$2*12</f>
        <v>1227551524.5</v>
      </c>
      <c r="AY22" s="530">
        <f t="shared" ref="AY22:AY31" si="27">AW22-AQ22</f>
        <v>1103946</v>
      </c>
      <c r="AZ22" s="531">
        <f t="shared" ref="AZ22:AZ31" si="28">AQ22-AX22</f>
        <v>41930443.5</v>
      </c>
      <c r="BA22" s="467"/>
      <c r="BB22" s="119" t="s">
        <v>467</v>
      </c>
      <c r="BC22" s="83">
        <f>SUMIF($B8:B117,$B24,F8:F117)+F116</f>
        <v>165717175</v>
      </c>
      <c r="BD22" s="84">
        <f>SUMIF($B8:B117,$B24,I8:I117)+I116</f>
        <v>355963120</v>
      </c>
      <c r="BE22" s="85">
        <f>SUMIF($B8:B117,$B24,K8:K117)+K116</f>
        <v>10372735</v>
      </c>
      <c r="BF22" s="75"/>
      <c r="BG22" s="467"/>
      <c r="BH22" s="467"/>
      <c r="BI22" s="467"/>
      <c r="BJ22" s="467"/>
      <c r="BK22" s="467"/>
      <c r="BM22" s="89" t="s">
        <v>69</v>
      </c>
      <c r="BN22" s="101">
        <f>BN23+BN24</f>
        <v>197767489</v>
      </c>
      <c r="BO22" s="99">
        <f>BO23+BO24</f>
        <v>88913972</v>
      </c>
      <c r="BP22" s="99">
        <f>BP23+BP24</f>
        <v>88913972</v>
      </c>
      <c r="BQ22" s="100">
        <f>BQ23+BQ24</f>
        <v>9175356</v>
      </c>
      <c r="BR22" s="467"/>
    </row>
    <row r="23" spans="1:70" s="514" customFormat="1" ht="15.75" thickBot="1" x14ac:dyDescent="0.25">
      <c r="A23" s="188" t="str">
        <f>+IF(JULIO!A23=0,"",JULIO!A23)</f>
        <v>1130101-1</v>
      </c>
      <c r="B23" s="189" t="str">
        <f>+CONCATENATE("Vigencia ",INSTRUCCIONES!$F$3)</f>
        <v>Vigencia 2014</v>
      </c>
      <c r="C23" s="456">
        <f>+ENERO!C23</f>
        <v>190033939</v>
      </c>
      <c r="D23" s="456">
        <f>JULIO!D23+AGOSTO!P23</f>
        <v>0</v>
      </c>
      <c r="E23" s="456">
        <f>JULIO!E23+AGOSTO!Q23</f>
        <v>0</v>
      </c>
      <c r="F23" s="170">
        <f>SUM(C23:E23)</f>
        <v>190033939</v>
      </c>
      <c r="G23" s="283">
        <f>JULIO!I23</f>
        <v>163731555</v>
      </c>
      <c r="H23" s="853">
        <v>24970757</v>
      </c>
      <c r="I23" s="575">
        <f>SUM(G23:H23)</f>
        <v>188702312</v>
      </c>
      <c r="J23" s="576">
        <f>JULIO!L23</f>
        <v>31300060</v>
      </c>
      <c r="K23" s="853">
        <v>26862353</v>
      </c>
      <c r="L23" s="170">
        <f>SUM(J23:K23)</f>
        <v>58162413</v>
      </c>
      <c r="M23" s="283">
        <f>F23-I23</f>
        <v>1331627</v>
      </c>
      <c r="N23" s="170">
        <f>F23-L23</f>
        <v>131871526</v>
      </c>
      <c r="O23" s="10"/>
      <c r="P23" s="455">
        <v>0</v>
      </c>
      <c r="Q23" s="458">
        <v>0</v>
      </c>
      <c r="R23" s="10"/>
      <c r="S23" s="156" t="str">
        <f>+IF(JULIO!S23=0,"",JULIO!S23)</f>
        <v>1010104-3</v>
      </c>
      <c r="T23" s="55" t="str">
        <f>+IF(JULIO!T23=0,"",JULIO!T23)</f>
        <v>Prima de Vacaciones</v>
      </c>
      <c r="U23" s="29">
        <f>+ENERO!U23</f>
        <v>15348783</v>
      </c>
      <c r="V23" s="17">
        <f>JULIO!V23+AGOSTO!AL23</f>
        <v>0</v>
      </c>
      <c r="W23" s="17">
        <f>JULIO!W23+AGOSTO!AM23</f>
        <v>0</v>
      </c>
      <c r="X23" s="20">
        <f t="shared" si="17"/>
        <v>15348783</v>
      </c>
      <c r="Y23" s="21">
        <f>JULIO!AA23</f>
        <v>7933147</v>
      </c>
      <c r="Z23" s="457">
        <v>143444</v>
      </c>
      <c r="AA23" s="20">
        <f t="shared" si="18"/>
        <v>8076591</v>
      </c>
      <c r="AB23" s="21">
        <f>JULIO!AD23</f>
        <v>7933147</v>
      </c>
      <c r="AC23" s="457">
        <v>143444</v>
      </c>
      <c r="AD23" s="20">
        <f t="shared" si="19"/>
        <v>8076591</v>
      </c>
      <c r="AE23" s="21">
        <f>JULIO!AG23</f>
        <v>7933147</v>
      </c>
      <c r="AF23" s="457">
        <v>0</v>
      </c>
      <c r="AG23" s="20">
        <f t="shared" si="20"/>
        <v>7933147</v>
      </c>
      <c r="AH23" s="21">
        <f t="shared" si="21"/>
        <v>7272192</v>
      </c>
      <c r="AI23" s="17">
        <f t="shared" si="22"/>
        <v>7272192</v>
      </c>
      <c r="AJ23" s="18">
        <f t="shared" si="23"/>
        <v>7415636</v>
      </c>
      <c r="AK23" s="10"/>
      <c r="AL23" s="455">
        <v>0</v>
      </c>
      <c r="AM23" s="458">
        <v>0</v>
      </c>
      <c r="AN23" s="10"/>
      <c r="AO23" s="453"/>
      <c r="AP23" s="532" t="s">
        <v>110</v>
      </c>
      <c r="AQ23" s="533">
        <f>X16+X65-AQ22</f>
        <v>349958128</v>
      </c>
      <c r="AR23" s="533">
        <f>AD16+AD65-AR22</f>
        <v>145001470</v>
      </c>
      <c r="AS23" s="533">
        <f>AG16+AG65-AS22</f>
        <v>131169890</v>
      </c>
      <c r="AT23" s="401"/>
      <c r="AU23" s="419">
        <f t="shared" si="25"/>
        <v>0.41433948349386529</v>
      </c>
      <c r="AV23" s="419">
        <f t="shared" si="26"/>
        <v>0.37481595512477994</v>
      </c>
      <c r="AW23" s="533">
        <f>(AR23-AD21-AD22-AD23-AD25-AD30-AD33-AD70-AD71-AD72-AD74-AD78-AD81)/$AO$2*12+AX22/12*2.5+AD30+AD33+AD78+AD81</f>
        <v>401457360.4375</v>
      </c>
      <c r="AX23" s="533">
        <f>(AS23-AG21-AG22-AG23-AG25-AG30-AG33-AG70-AG71-AG72-AG74-AG78-AG81)/$AO$2*12+AX22/12*2.5+AG30+AG33+AG78+AG81</f>
        <v>397883536.9375</v>
      </c>
      <c r="AY23" s="533">
        <f t="shared" si="27"/>
        <v>51499232.4375</v>
      </c>
      <c r="AZ23" s="62">
        <f t="shared" si="28"/>
        <v>-47925408.9375</v>
      </c>
      <c r="BA23" s="467"/>
      <c r="BB23" s="678" t="s">
        <v>111</v>
      </c>
      <c r="BC23" s="679">
        <f>BC7+BC8+BC20+BC21+BC22</f>
        <v>3839134335</v>
      </c>
      <c r="BD23" s="138">
        <f>BD7+BD8+BD20+BD21+BD22+BD92</f>
        <v>2774972433</v>
      </c>
      <c r="BE23" s="139">
        <f>BE7+BE8+BE20+BE21+BE22+BE92</f>
        <v>300516316</v>
      </c>
      <c r="BF23" s="467"/>
      <c r="BG23" s="467"/>
      <c r="BH23" s="467"/>
      <c r="BI23" s="467"/>
      <c r="BJ23" s="467"/>
      <c r="BK23" s="467"/>
      <c r="BL23" s="467"/>
      <c r="BM23" s="164" t="s">
        <v>107</v>
      </c>
      <c r="BN23" s="101">
        <f>X177</f>
        <v>104106866</v>
      </c>
      <c r="BO23" s="99">
        <f>AA177</f>
        <v>66176501</v>
      </c>
      <c r="BP23" s="99">
        <f>AD177</f>
        <v>66176501</v>
      </c>
      <c r="BQ23" s="100">
        <f>AF177</f>
        <v>7458862</v>
      </c>
      <c r="BR23" s="10"/>
    </row>
    <row r="24" spans="1:70" s="514" customFormat="1" ht="15" x14ac:dyDescent="0.2">
      <c r="A24" s="188" t="str">
        <f>+IF(JULIO!A24=0,"",JULIO!A24)</f>
        <v>1130101-2</v>
      </c>
      <c r="B24" s="189" t="str">
        <f>+IF(JULIO!B24=0,"",JULIO!B24)</f>
        <v>Vigencias Anteriores</v>
      </c>
      <c r="C24" s="456">
        <f>+ENERO!C24</f>
        <v>45404339</v>
      </c>
      <c r="D24" s="456">
        <f>JULIO!D24+AGOSTO!P24</f>
        <v>0</v>
      </c>
      <c r="E24" s="456">
        <f>JULIO!E24+AGOSTO!Q24</f>
        <v>0</v>
      </c>
      <c r="F24" s="170">
        <f>SUM(C24:E24)</f>
        <v>45404339</v>
      </c>
      <c r="G24" s="283">
        <f>JULIO!I24</f>
        <v>70802939</v>
      </c>
      <c r="H24" s="853">
        <v>4191813</v>
      </c>
      <c r="I24" s="575">
        <f>SUM(G24:H24)</f>
        <v>74994752</v>
      </c>
      <c r="J24" s="576">
        <f>JULIO!L24</f>
        <v>70802939</v>
      </c>
      <c r="K24" s="853">
        <v>4191813</v>
      </c>
      <c r="L24" s="170">
        <f>SUM(J24:K24)</f>
        <v>74994752</v>
      </c>
      <c r="M24" s="283">
        <f>F24-I24</f>
        <v>-29590413</v>
      </c>
      <c r="N24" s="170">
        <f>F24-L24</f>
        <v>-29590413</v>
      </c>
      <c r="O24" s="467"/>
      <c r="P24" s="455">
        <v>0</v>
      </c>
      <c r="Q24" s="458">
        <v>0</v>
      </c>
      <c r="R24" s="10"/>
      <c r="S24" s="156" t="str">
        <f>+IF(JULIO!S24=0,"",JULIO!S24)</f>
        <v>1010104-4</v>
      </c>
      <c r="T24" s="55" t="str">
        <f>+IF(JULIO!T24=0,"",JULIO!T24)</f>
        <v>Prima Clima</v>
      </c>
      <c r="U24" s="29">
        <f>+ENERO!U24</f>
        <v>0</v>
      </c>
      <c r="V24" s="17">
        <f>JULIO!V24+AGOSTO!AL24</f>
        <v>0</v>
      </c>
      <c r="W24" s="17">
        <f>JULIO!W24+AGOSTO!AM24</f>
        <v>0</v>
      </c>
      <c r="X24" s="20">
        <f t="shared" si="17"/>
        <v>0</v>
      </c>
      <c r="Y24" s="21">
        <f>JULIO!AA24</f>
        <v>0</v>
      </c>
      <c r="Z24" s="457">
        <v>0</v>
      </c>
      <c r="AA24" s="20">
        <f t="shared" si="18"/>
        <v>0</v>
      </c>
      <c r="AB24" s="21">
        <f>JULIO!AD24</f>
        <v>0</v>
      </c>
      <c r="AC24" s="457">
        <v>0</v>
      </c>
      <c r="AD24" s="20">
        <f t="shared" si="19"/>
        <v>0</v>
      </c>
      <c r="AE24" s="21">
        <f>JULIO!AG24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84498558</v>
      </c>
      <c r="AS24" s="528">
        <f>AG35+AG83</f>
        <v>75690029</v>
      </c>
      <c r="AT24" s="528"/>
      <c r="AU24" s="456">
        <f t="shared" si="25"/>
        <v>0.44952017477514977</v>
      </c>
      <c r="AV24" s="456">
        <f t="shared" si="26"/>
        <v>0.40266006746311761</v>
      </c>
      <c r="AW24" s="456">
        <f>(AR24-AD41-AD88)/$AO$2*12+AD41+AD88</f>
        <v>120977811</v>
      </c>
      <c r="AX24" s="456">
        <f>(AS24-AG41-AG88)/$AO$2*12+AG41+AG88</f>
        <v>107788667.5</v>
      </c>
      <c r="AY24" s="456">
        <f t="shared" si="27"/>
        <v>-66997196</v>
      </c>
      <c r="AZ24" s="170">
        <f t="shared" si="28"/>
        <v>80186339.5</v>
      </c>
      <c r="BA24" s="10"/>
      <c r="BB24" s="534"/>
      <c r="BC24" s="467"/>
      <c r="BD24" s="467"/>
      <c r="BE24" s="467"/>
      <c r="BF24" s="467"/>
      <c r="BG24" s="467"/>
      <c r="BH24" s="467"/>
      <c r="BI24" s="467"/>
      <c r="BJ24" s="467"/>
      <c r="BK24" s="467"/>
      <c r="BL24" s="467"/>
      <c r="BM24" s="164" t="s">
        <v>112</v>
      </c>
      <c r="BN24" s="101">
        <f>X170-X177-X174-X183-X191</f>
        <v>93660623</v>
      </c>
      <c r="BO24" s="99">
        <f>AA170-AA177-AA174-AA183-AA191</f>
        <v>22737471</v>
      </c>
      <c r="BP24" s="99">
        <f>AD170-AD177-AD174-AD183-AD191</f>
        <v>22737471</v>
      </c>
      <c r="BQ24" s="100">
        <f>AF170-AF177-AF174-AF183-AF191</f>
        <v>1716494</v>
      </c>
      <c r="BR24" s="467"/>
    </row>
    <row r="25" spans="1:70" s="467" customFormat="1" ht="15" x14ac:dyDescent="0.25">
      <c r="A25" s="57">
        <f>+IF(JULIO!A25=0,"",JULIO!A25)</f>
        <v>1130102</v>
      </c>
      <c r="B25" s="45" t="str">
        <f>+IF(JULIO!B25=0,"",JULIO!B25)</f>
        <v>ARS - REGIMEN SUBSIDIADO</v>
      </c>
      <c r="C25" s="53">
        <f t="shared" ref="C25:N25" si="29">SUM(C26:C27)</f>
        <v>2553198704</v>
      </c>
      <c r="D25" s="53">
        <f t="shared" si="29"/>
        <v>0</v>
      </c>
      <c r="E25" s="53">
        <f t="shared" si="29"/>
        <v>0</v>
      </c>
      <c r="F25" s="54">
        <f t="shared" si="29"/>
        <v>2553198704</v>
      </c>
      <c r="G25" s="52">
        <f t="shared" si="29"/>
        <v>1630281120</v>
      </c>
      <c r="H25" s="828">
        <f t="shared" si="29"/>
        <v>201240041</v>
      </c>
      <c r="I25" s="829">
        <f t="shared" si="29"/>
        <v>1831521161</v>
      </c>
      <c r="J25" s="830">
        <f t="shared" si="29"/>
        <v>1412610891</v>
      </c>
      <c r="K25" s="828">
        <f t="shared" si="29"/>
        <v>196019557</v>
      </c>
      <c r="L25" s="54">
        <f t="shared" si="29"/>
        <v>1608630448</v>
      </c>
      <c r="M25" s="52">
        <f t="shared" si="29"/>
        <v>721677543</v>
      </c>
      <c r="N25" s="54">
        <f t="shared" si="29"/>
        <v>944568256</v>
      </c>
      <c r="P25" s="52">
        <f>SUM(P26:P27)</f>
        <v>0</v>
      </c>
      <c r="Q25" s="54">
        <f>SUM(Q26:Q27)</f>
        <v>0</v>
      </c>
      <c r="R25" s="10"/>
      <c r="S25" s="156" t="str">
        <f>+IF(JULIO!S25=0,"",JULIO!S25)</f>
        <v>1010104-5</v>
      </c>
      <c r="T25" s="55" t="str">
        <f>+IF(JULIO!T25=0,"",JULIO!T25)</f>
        <v>Prima de Servicios</v>
      </c>
      <c r="U25" s="29">
        <f>+ENERO!U25</f>
        <v>0</v>
      </c>
      <c r="V25" s="17">
        <f>JULIO!V25+AGOSTO!AL25</f>
        <v>0</v>
      </c>
      <c r="W25" s="17">
        <f>JULIO!W25+AGOSTO!AM25</f>
        <v>0</v>
      </c>
      <c r="X25" s="20">
        <f t="shared" si="17"/>
        <v>0</v>
      </c>
      <c r="Y25" s="21">
        <f>JULIO!AA25</f>
        <v>0</v>
      </c>
      <c r="Z25" s="457">
        <v>0</v>
      </c>
      <c r="AA25" s="20">
        <f t="shared" si="18"/>
        <v>0</v>
      </c>
      <c r="AB25" s="21">
        <f>JULIO!AD25</f>
        <v>0</v>
      </c>
      <c r="AC25" s="457">
        <v>0</v>
      </c>
      <c r="AD25" s="20">
        <f t="shared" si="19"/>
        <v>0</v>
      </c>
      <c r="AE25" s="21">
        <f>JULIO!AG25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355518861</v>
      </c>
      <c r="AS25" s="456">
        <f>AG43+AG57+AG90+AG104</f>
        <v>326515647</v>
      </c>
      <c r="AT25" s="528"/>
      <c r="AU25" s="456">
        <f t="shared" si="25"/>
        <v>0.62090720145558498</v>
      </c>
      <c r="AV25" s="456">
        <f t="shared" si="26"/>
        <v>0.57025361759985405</v>
      </c>
      <c r="AW25" s="456">
        <f>(AR25-AD55-AD61-AD102-AD108)/$AO$2*12+AD55+AD61+AD102+AD108</f>
        <v>530358424</v>
      </c>
      <c r="AX25" s="456">
        <f>(AS25-AG55-AG61-AG102-AG108)/$AO$2*12+AG55+AG61+AG102+AG108</f>
        <v>486853603</v>
      </c>
      <c r="AY25" s="456">
        <f t="shared" si="27"/>
        <v>-42221279</v>
      </c>
      <c r="AZ25" s="170">
        <f t="shared" si="28"/>
        <v>85726100</v>
      </c>
      <c r="BM25" s="167" t="s">
        <v>475</v>
      </c>
      <c r="BN25" s="124">
        <f>+SUM(BN26:BN28)</f>
        <v>328675926</v>
      </c>
      <c r="BO25" s="125">
        <f>+SUM(BO26:BO28)</f>
        <v>190300107</v>
      </c>
      <c r="BP25" s="125">
        <f>+SUM(BP26:BP28)</f>
        <v>190272794</v>
      </c>
      <c r="BQ25" s="126">
        <f>+SUM(BQ26:BQ28)</f>
        <v>23847531</v>
      </c>
    </row>
    <row r="26" spans="1:70" s="10" customFormat="1" ht="15" x14ac:dyDescent="0.2">
      <c r="A26" s="188" t="str">
        <f>+IF(JULIO!A26=0,"",JULIO!A26)</f>
        <v>1130102-1</v>
      </c>
      <c r="B26" s="189" t="str">
        <f>+CONCATENATE("Vigencia ",INSTRUCCIONES!$F$3)</f>
        <v>Vigencia 2014</v>
      </c>
      <c r="C26" s="456">
        <f>+ENERO!C26</f>
        <v>2490198704</v>
      </c>
      <c r="D26" s="456">
        <f>JULIO!D26+AGOSTO!P26</f>
        <v>0</v>
      </c>
      <c r="E26" s="456">
        <f>JULIO!E26+AGOSTO!Q26</f>
        <v>0</v>
      </c>
      <c r="F26" s="170">
        <f>SUM(C26:E26)</f>
        <v>2490198704</v>
      </c>
      <c r="G26" s="283">
        <f>JULIO!I26</f>
        <v>1421881453</v>
      </c>
      <c r="H26" s="853">
        <v>195079119</v>
      </c>
      <c r="I26" s="575">
        <f>SUM(G26:H26)</f>
        <v>1616960572</v>
      </c>
      <c r="J26" s="576">
        <f>JULIO!L26</f>
        <v>1204211224</v>
      </c>
      <c r="K26" s="853">
        <v>189858635</v>
      </c>
      <c r="L26" s="170">
        <f>SUM(J26:K26)</f>
        <v>1394069859</v>
      </c>
      <c r="M26" s="283">
        <f>F26-I26</f>
        <v>873238132</v>
      </c>
      <c r="N26" s="170">
        <f>F26-L26</f>
        <v>1096128845</v>
      </c>
      <c r="P26" s="455">
        <v>0</v>
      </c>
      <c r="Q26" s="458">
        <v>0</v>
      </c>
      <c r="S26" s="156" t="str">
        <f>+IF(JULIO!S26=0,"",JULIO!S26)</f>
        <v>1010104-8</v>
      </c>
      <c r="T26" s="55" t="str">
        <f>+IF(JULIO!T26=0,"",JULIO!T26)</f>
        <v>Bonific. por Servicios Prestados (Convencional)</v>
      </c>
      <c r="U26" s="29">
        <f>+ENERO!U26</f>
        <v>0</v>
      </c>
      <c r="V26" s="17">
        <f>JULIO!V26+AGOSTO!AL26</f>
        <v>0</v>
      </c>
      <c r="W26" s="17">
        <f>JULIO!W26+AGOSTO!AM26</f>
        <v>0</v>
      </c>
      <c r="X26" s="20">
        <f t="shared" si="17"/>
        <v>0</v>
      </c>
      <c r="Y26" s="21">
        <f>JULIO!AA26</f>
        <v>0</v>
      </c>
      <c r="Z26" s="457">
        <v>0</v>
      </c>
      <c r="AA26" s="20">
        <f t="shared" si="18"/>
        <v>0</v>
      </c>
      <c r="AB26" s="21">
        <f>JULIO!AD26</f>
        <v>0</v>
      </c>
      <c r="AC26" s="457">
        <v>0</v>
      </c>
      <c r="AD26" s="20">
        <f t="shared" si="19"/>
        <v>0</v>
      </c>
      <c r="AE26" s="21">
        <f>JULIO!AG26</f>
        <v>0</v>
      </c>
      <c r="AF26" s="457">
        <v>0</v>
      </c>
      <c r="AG26" s="20">
        <f t="shared" si="20"/>
        <v>0</v>
      </c>
      <c r="AH26" s="21">
        <f t="shared" si="21"/>
        <v>0</v>
      </c>
      <c r="AI26" s="17">
        <f t="shared" si="22"/>
        <v>0</v>
      </c>
      <c r="AJ26" s="18">
        <f t="shared" si="23"/>
        <v>0</v>
      </c>
      <c r="AL26" s="455">
        <v>0</v>
      </c>
      <c r="AM26" s="458">
        <v>0</v>
      </c>
      <c r="AO26" s="23"/>
      <c r="AP26" s="536" t="s">
        <v>122</v>
      </c>
      <c r="AQ26" s="401">
        <f>X110</f>
        <v>660254629</v>
      </c>
      <c r="AR26" s="401">
        <f>AD110</f>
        <v>459798918</v>
      </c>
      <c r="AS26" s="401">
        <f>AG110</f>
        <v>388602610</v>
      </c>
      <c r="AT26" s="454">
        <f>AO2/12</f>
        <v>0.66666666666666663</v>
      </c>
      <c r="AU26" s="419">
        <f t="shared" si="25"/>
        <v>0.69639635650324228</v>
      </c>
      <c r="AV26" s="419">
        <f t="shared" si="26"/>
        <v>0.58856476415555736</v>
      </c>
      <c r="AW26" s="533">
        <f>(AR26-AD121-AD139-AD143-AD153-AD168)/$AO$2*12+AD121+AD139+AD143+AD153+AD168</f>
        <v>670793712</v>
      </c>
      <c r="AX26" s="533">
        <f>(AS26-AG121-AG139-AG143-AG153-AG168)/$AO$2*12+AG121+AG139+AG143+AG153+AG168</f>
        <v>564440200</v>
      </c>
      <c r="AY26" s="533">
        <f t="shared" si="27"/>
        <v>10539083</v>
      </c>
      <c r="AZ26" s="62">
        <f t="shared" si="28"/>
        <v>95814429</v>
      </c>
      <c r="BA26" s="467"/>
      <c r="BB26" s="467"/>
      <c r="BC26" s="467"/>
      <c r="BD26" s="467"/>
      <c r="BE26" s="467"/>
      <c r="BF26" s="467"/>
      <c r="BG26" s="467"/>
      <c r="BH26" s="467"/>
      <c r="BI26" s="467"/>
      <c r="BJ26" s="467"/>
      <c r="BK26" s="467"/>
      <c r="BM26" s="127" t="s">
        <v>476</v>
      </c>
      <c r="BN26" s="104">
        <f>+X196+X212</f>
        <v>203038050</v>
      </c>
      <c r="BO26" s="102">
        <f>+AA196+AA212</f>
        <v>114097898</v>
      </c>
      <c r="BP26" s="102">
        <f>+AD196+AD212</f>
        <v>114070889</v>
      </c>
      <c r="BQ26" s="103">
        <f>+AF196+AF212</f>
        <v>14255884</v>
      </c>
      <c r="BR26" s="467"/>
    </row>
    <row r="27" spans="1:70" s="514" customFormat="1" ht="15" x14ac:dyDescent="0.2">
      <c r="A27" s="188" t="str">
        <f>+IF(JULIO!A27=0,"",JULIO!A27)</f>
        <v>1130102-2</v>
      </c>
      <c r="B27" s="189" t="str">
        <f>+IF(JULIO!B27=0,"",JULIO!B27)</f>
        <v>Vigencias Anteriores</v>
      </c>
      <c r="C27" s="456">
        <f>+ENERO!C27</f>
        <v>63000000</v>
      </c>
      <c r="D27" s="456">
        <f>JULIO!D27+AGOSTO!P27</f>
        <v>0</v>
      </c>
      <c r="E27" s="456">
        <f>JULIO!E27+AGOSTO!Q27</f>
        <v>0</v>
      </c>
      <c r="F27" s="170">
        <f>SUM(C27:E27)</f>
        <v>63000000</v>
      </c>
      <c r="G27" s="283">
        <f>JULIO!I27</f>
        <v>208399667</v>
      </c>
      <c r="H27" s="853">
        <v>6160922</v>
      </c>
      <c r="I27" s="575">
        <f>SUM(G27:H27)</f>
        <v>214560589</v>
      </c>
      <c r="J27" s="576">
        <f>JULIO!L27</f>
        <v>208399667</v>
      </c>
      <c r="K27" s="853">
        <v>6160922</v>
      </c>
      <c r="L27" s="170">
        <f>SUM(J27:K27)</f>
        <v>214560589</v>
      </c>
      <c r="M27" s="283">
        <f>F27-I27</f>
        <v>-151560589</v>
      </c>
      <c r="N27" s="170">
        <f>F27-L27</f>
        <v>-151560589</v>
      </c>
      <c r="O27" s="467"/>
      <c r="P27" s="455">
        <v>0</v>
      </c>
      <c r="Q27" s="458">
        <v>0</v>
      </c>
      <c r="R27" s="10"/>
      <c r="S27" s="156" t="str">
        <f>+IF(JULIO!S27=0,"",JULIO!S27)</f>
        <v>1010104-9</v>
      </c>
      <c r="T27" s="55" t="str">
        <f>+IF(JULIO!T27=0,"",JULIO!T27)</f>
        <v>Auxilio de Transporte</v>
      </c>
      <c r="U27" s="29">
        <f>+ENERO!U27</f>
        <v>0</v>
      </c>
      <c r="V27" s="17">
        <f>JULIO!V27+AGOSTO!AL27</f>
        <v>0</v>
      </c>
      <c r="W27" s="17">
        <f>JULIO!W27+AGOSTO!AM27</f>
        <v>0</v>
      </c>
      <c r="X27" s="20">
        <f t="shared" si="17"/>
        <v>0</v>
      </c>
      <c r="Y27" s="21">
        <f>JULIO!AA27</f>
        <v>0</v>
      </c>
      <c r="Z27" s="457">
        <v>0</v>
      </c>
      <c r="AA27" s="20">
        <f t="shared" si="18"/>
        <v>0</v>
      </c>
      <c r="AB27" s="21">
        <f>JULIO!AD27</f>
        <v>0</v>
      </c>
      <c r="AC27" s="457">
        <v>0</v>
      </c>
      <c r="AD27" s="20">
        <f t="shared" si="19"/>
        <v>0</v>
      </c>
      <c r="AE27" s="21">
        <f>JULIO!AG27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95728026</v>
      </c>
      <c r="AS27" s="456">
        <f>AG170</f>
        <v>92131186</v>
      </c>
      <c r="AT27" s="528"/>
      <c r="AU27" s="456">
        <f t="shared" si="25"/>
        <v>0.46792112619856424</v>
      </c>
      <c r="AV27" s="456">
        <f t="shared" si="26"/>
        <v>0.45033967702550765</v>
      </c>
      <c r="AW27" s="456">
        <f>(AR27-AD174-AD183-AD191)/$AO$2*12+AD174+AD183+AD191</f>
        <v>140185012</v>
      </c>
      <c r="AX27" s="456">
        <f>(AS27-AG174-AG183-AG191)/$AO$2*12+AG174+AG183+AG191</f>
        <v>134789752</v>
      </c>
      <c r="AY27" s="456">
        <f t="shared" si="27"/>
        <v>-64396531</v>
      </c>
      <c r="AZ27" s="170">
        <f t="shared" si="28"/>
        <v>69791791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+IF(JULIO!A28=0,"",JULIO!A28)</f>
        <v>1130103</v>
      </c>
      <c r="B28" s="60" t="str">
        <f>+IF(JULIO!B28=0,"",JULIO!B28)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828">
        <f t="shared" si="30"/>
        <v>0</v>
      </c>
      <c r="I28" s="829">
        <f t="shared" si="30"/>
        <v>0</v>
      </c>
      <c r="J28" s="830">
        <f t="shared" si="30"/>
        <v>0</v>
      </c>
      <c r="K28" s="828">
        <f t="shared" si="30"/>
        <v>0</v>
      </c>
      <c r="L28" s="54">
        <f t="shared" si="30"/>
        <v>0</v>
      </c>
      <c r="M28" s="52">
        <f t="shared" si="30"/>
        <v>0</v>
      </c>
      <c r="N28" s="54">
        <f t="shared" si="30"/>
        <v>0</v>
      </c>
      <c r="O28" s="467"/>
      <c r="P28" s="52">
        <f>P29+P32+P35</f>
        <v>0</v>
      </c>
      <c r="Q28" s="54">
        <f>Q29+Q32+Q35</f>
        <v>0</v>
      </c>
      <c r="R28" s="10"/>
      <c r="S28" s="156" t="str">
        <f>+IF(JULIO!S28=0,"",JULIO!S28)</f>
        <v>1010104-10</v>
      </c>
      <c r="T28" s="55" t="str">
        <f>+IF(JULIO!T28=0,"",JULIO!T28)</f>
        <v>Subsidio de Alimentación</v>
      </c>
      <c r="U28" s="29">
        <f>+ENERO!U28</f>
        <v>9130335</v>
      </c>
      <c r="V28" s="17">
        <f>JULIO!V28+AGOSTO!AL28</f>
        <v>0</v>
      </c>
      <c r="W28" s="17">
        <f>JULIO!W28+AGOSTO!AM28</f>
        <v>0</v>
      </c>
      <c r="X28" s="20">
        <f t="shared" si="17"/>
        <v>9130335</v>
      </c>
      <c r="Y28" s="21">
        <f>JULIO!AA28</f>
        <v>5378286</v>
      </c>
      <c r="Z28" s="457">
        <v>748310</v>
      </c>
      <c r="AA28" s="20">
        <f t="shared" si="18"/>
        <v>6126596</v>
      </c>
      <c r="AB28" s="21">
        <f>JULIO!AD28</f>
        <v>5378286</v>
      </c>
      <c r="AC28" s="457">
        <v>748310</v>
      </c>
      <c r="AD28" s="20">
        <f t="shared" si="19"/>
        <v>6126596</v>
      </c>
      <c r="AE28" s="21">
        <f>JULIO!AG28</f>
        <v>5378286</v>
      </c>
      <c r="AF28" s="457">
        <v>748310</v>
      </c>
      <c r="AG28" s="20">
        <f t="shared" si="20"/>
        <v>6126596</v>
      </c>
      <c r="AH28" s="21">
        <f t="shared" si="21"/>
        <v>3003739</v>
      </c>
      <c r="AI28" s="17">
        <f t="shared" si="22"/>
        <v>3003739</v>
      </c>
      <c r="AJ28" s="18">
        <f t="shared" si="23"/>
        <v>3003739</v>
      </c>
      <c r="AK28" s="10"/>
      <c r="AL28" s="455">
        <v>0</v>
      </c>
      <c r="AM28" s="458">
        <v>0</v>
      </c>
      <c r="AN28" s="10"/>
      <c r="AO28" s="428"/>
      <c r="AP28" s="535" t="s">
        <v>129</v>
      </c>
      <c r="AQ28" s="528">
        <f>X193</f>
        <v>388893217</v>
      </c>
      <c r="AR28" s="528">
        <f>AD193</f>
        <v>250490085</v>
      </c>
      <c r="AS28" s="528">
        <f>AG193</f>
        <v>170714181</v>
      </c>
      <c r="AT28" s="528"/>
      <c r="AU28" s="456">
        <f t="shared" si="25"/>
        <v>0.644110192850188</v>
      </c>
      <c r="AV28" s="456">
        <f t="shared" si="26"/>
        <v>0.4389744370367869</v>
      </c>
      <c r="AW28" s="456">
        <f>(AR28-AD205)/$AO$2*12+AD205</f>
        <v>345626482</v>
      </c>
      <c r="AX28" s="456">
        <f>(AS28-AG205)/$AO$2*12+AG205</f>
        <v>225962626</v>
      </c>
      <c r="AY28" s="456">
        <f t="shared" si="27"/>
        <v>-43266735</v>
      </c>
      <c r="AZ28" s="170">
        <f t="shared" si="28"/>
        <v>162930591</v>
      </c>
      <c r="BA28" s="467"/>
      <c r="BB28" s="467"/>
      <c r="BC28" s="467"/>
      <c r="BD28" s="467"/>
      <c r="BE28" s="467"/>
      <c r="BF28" s="467"/>
      <c r="BG28" s="467"/>
      <c r="BH28" s="467"/>
      <c r="BI28" s="467"/>
      <c r="BJ28" s="467"/>
      <c r="BK28" s="467"/>
      <c r="BL28" s="467"/>
      <c r="BM28" s="89" t="s">
        <v>478</v>
      </c>
      <c r="BN28" s="101">
        <f>+X194-X196-X205</f>
        <v>125637876</v>
      </c>
      <c r="BO28" s="99">
        <f>+AA194-AA196-AA205</f>
        <v>76202209</v>
      </c>
      <c r="BP28" s="99">
        <f>+AD194-AD196-AD205</f>
        <v>76201905</v>
      </c>
      <c r="BQ28" s="100">
        <f>+AF194-AF196-AF205</f>
        <v>9591647</v>
      </c>
      <c r="BR28" s="10"/>
    </row>
    <row r="29" spans="1:70" s="10" customFormat="1" ht="15" x14ac:dyDescent="0.25">
      <c r="A29" s="61" t="str">
        <f>+IF(JULIO!A29=0,"",JULIO!A29)</f>
        <v>1130103-1</v>
      </c>
      <c r="B29" s="62" t="str">
        <f>+IF(JULIO!B29=0,"",JULIO!B29)</f>
        <v>Prestación de Servicios de salud  1er Nivel</v>
      </c>
      <c r="C29" s="17">
        <f t="shared" ref="C29:N29" si="31">SUM(C30:C31)</f>
        <v>227076373</v>
      </c>
      <c r="D29" s="17">
        <f t="shared" si="31"/>
        <v>-227076373</v>
      </c>
      <c r="E29" s="17">
        <f t="shared" si="31"/>
        <v>0</v>
      </c>
      <c r="F29" s="18">
        <f t="shared" si="31"/>
        <v>0</v>
      </c>
      <c r="G29" s="21">
        <f t="shared" si="31"/>
        <v>0</v>
      </c>
      <c r="H29" s="834">
        <f t="shared" si="31"/>
        <v>0</v>
      </c>
      <c r="I29" s="835">
        <f t="shared" si="31"/>
        <v>0</v>
      </c>
      <c r="J29" s="836">
        <f t="shared" si="31"/>
        <v>0</v>
      </c>
      <c r="K29" s="834">
        <f t="shared" si="31"/>
        <v>0</v>
      </c>
      <c r="L29" s="18">
        <f t="shared" si="31"/>
        <v>0</v>
      </c>
      <c r="M29" s="21">
        <f t="shared" si="31"/>
        <v>0</v>
      </c>
      <c r="N29" s="18">
        <f t="shared" si="31"/>
        <v>0</v>
      </c>
      <c r="O29" s="467"/>
      <c r="P29" s="171">
        <f>SUM(P30:P31)</f>
        <v>0</v>
      </c>
      <c r="Q29" s="173">
        <f>SUM(Q30:Q31)</f>
        <v>0</v>
      </c>
      <c r="S29" s="156" t="str">
        <f>+IF(JULIO!S29=0,"",JULIO!S29)</f>
        <v>1010104-11</v>
      </c>
      <c r="T29" s="55" t="str">
        <f>+IF(JULIO!T29=0,"",JULIO!T29)</f>
        <v>Gastos de Representación</v>
      </c>
      <c r="U29" s="29">
        <f>+ENERO!U29</f>
        <v>0</v>
      </c>
      <c r="V29" s="17">
        <f>JULIO!V29+AGOSTO!AL29</f>
        <v>0</v>
      </c>
      <c r="W29" s="17">
        <f>JULIO!W29+AGOSTO!AM29</f>
        <v>0</v>
      </c>
      <c r="X29" s="20">
        <f t="shared" si="17"/>
        <v>0</v>
      </c>
      <c r="Y29" s="21">
        <f>JULIO!AA29</f>
        <v>0</v>
      </c>
      <c r="Z29" s="457">
        <v>0</v>
      </c>
      <c r="AA29" s="20">
        <f t="shared" si="18"/>
        <v>0</v>
      </c>
      <c r="AB29" s="21">
        <f>JULIO!AD29</f>
        <v>0</v>
      </c>
      <c r="AC29" s="457">
        <v>0</v>
      </c>
      <c r="AD29" s="20">
        <f t="shared" si="19"/>
        <v>0</v>
      </c>
      <c r="AE29" s="21">
        <f>JULIO!AG29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205410140</v>
      </c>
      <c r="BO29" s="125">
        <f>AA232-AA256-AA241</f>
        <v>142591724</v>
      </c>
      <c r="BP29" s="125">
        <f>AD232-AD256-AD241</f>
        <v>142590495</v>
      </c>
      <c r="BQ29" s="126">
        <f>AF232-AF256-AF241</f>
        <v>2136487</v>
      </c>
      <c r="BR29" s="467"/>
    </row>
    <row r="30" spans="1:70" s="514" customFormat="1" ht="15" x14ac:dyDescent="0.25">
      <c r="A30" s="188" t="str">
        <f>+IF(JULIO!A30=0,"",JULIO!A30)</f>
        <v>1130103-1-1</v>
      </c>
      <c r="B30" s="189" t="str">
        <f>+CONCATENATE("Vigencia ",INSTRUCCIONES!$F$3)</f>
        <v>Vigencia 2014</v>
      </c>
      <c r="C30" s="456">
        <f>+ENERO!C30</f>
        <v>227076373</v>
      </c>
      <c r="D30" s="456">
        <f>JULIO!D30+AGOSTO!P30</f>
        <v>-227076373</v>
      </c>
      <c r="E30" s="456">
        <f>JULIO!E30+AGOSTO!Q30</f>
        <v>0</v>
      </c>
      <c r="F30" s="170">
        <f>SUM(C30:E30)</f>
        <v>0</v>
      </c>
      <c r="G30" s="283">
        <f>JULIO!I30</f>
        <v>0</v>
      </c>
      <c r="H30" s="815">
        <v>0</v>
      </c>
      <c r="I30" s="575">
        <f>SUM(G30:H30)</f>
        <v>0</v>
      </c>
      <c r="J30" s="576">
        <f>JULIO!L30</f>
        <v>0</v>
      </c>
      <c r="K30" s="815">
        <v>0</v>
      </c>
      <c r="L30" s="170">
        <f>SUM(J30:K30)</f>
        <v>0</v>
      </c>
      <c r="M30" s="283">
        <f>F30-I30</f>
        <v>0</v>
      </c>
      <c r="N30" s="170">
        <f>F30-L30</f>
        <v>0</v>
      </c>
      <c r="O30" s="10"/>
      <c r="P30" s="455">
        <v>0</v>
      </c>
      <c r="Q30" s="458">
        <v>0</v>
      </c>
      <c r="R30" s="10"/>
      <c r="S30" s="156" t="str">
        <f>+IF(JULIO!S30=0,"",JULIO!S30)</f>
        <v>1010104-12</v>
      </c>
      <c r="T30" s="55" t="str">
        <f>+IF(JULIO!T30=0,"",JULIO!T30)</f>
        <v xml:space="preserve"> Indemnizaciones por Vacaciones o Supresión de Cargos por Reestructuración</v>
      </c>
      <c r="U30" s="29">
        <f>+ENERO!U30</f>
        <v>0</v>
      </c>
      <c r="V30" s="17">
        <f>JULIO!V30+AGOSTO!AL30</f>
        <v>0</v>
      </c>
      <c r="W30" s="17">
        <f>JULIO!W30+AGOSTO!AM30</f>
        <v>0</v>
      </c>
      <c r="X30" s="20">
        <f t="shared" si="17"/>
        <v>0</v>
      </c>
      <c r="Y30" s="21">
        <f>JULIO!AA30</f>
        <v>0</v>
      </c>
      <c r="Z30" s="457">
        <v>0</v>
      </c>
      <c r="AA30" s="20">
        <f t="shared" si="18"/>
        <v>0</v>
      </c>
      <c r="AB30" s="21">
        <f>JULIO!AD30</f>
        <v>0</v>
      </c>
      <c r="AC30" s="457">
        <v>0</v>
      </c>
      <c r="AD30" s="20">
        <f t="shared" si="19"/>
        <v>0</v>
      </c>
      <c r="AE30" s="21">
        <f>JULIO!AG30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205410140</v>
      </c>
      <c r="AR30" s="456">
        <f>AD220+AD232</f>
        <v>142590495</v>
      </c>
      <c r="AS30" s="456">
        <f>AG220+AG232</f>
        <v>113958211</v>
      </c>
      <c r="AT30" s="528"/>
      <c r="AU30" s="456">
        <f t="shared" si="25"/>
        <v>0.69417456703938762</v>
      </c>
      <c r="AV30" s="456">
        <f t="shared" si="26"/>
        <v>0.5547837657868302</v>
      </c>
      <c r="AW30" s="456">
        <f>(AR30-AD225-AD230-AD241-AD256)/$AO$2*12+AD225+AD230+AD241+AD256</f>
        <v>213885742.5</v>
      </c>
      <c r="AX30" s="456">
        <f>(AS30-AG225-AG230-AG241-AG256)/$AO$2*12+AG225+AG230+AG241+AG256</f>
        <v>170937316.5</v>
      </c>
      <c r="AY30" s="456">
        <f t="shared" si="27"/>
        <v>8475602.5</v>
      </c>
      <c r="AZ30" s="170">
        <f t="shared" si="28"/>
        <v>34472823.5</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+IF(JULIO!A31=0,"",JULIO!A31)</f>
        <v>1130103-1-2</v>
      </c>
      <c r="B31" s="189" t="str">
        <f>+IF(JULIO!B31=0,"",JULIO!B31)</f>
        <v>Vigencias Anteriores</v>
      </c>
      <c r="C31" s="456">
        <f>+ENERO!C31</f>
        <v>0</v>
      </c>
      <c r="D31" s="456">
        <f>JULIO!D31+AGOSTO!P31</f>
        <v>0</v>
      </c>
      <c r="E31" s="456">
        <f>JULIO!E31+AGOSTO!Q31</f>
        <v>0</v>
      </c>
      <c r="F31" s="170">
        <f>SUM(C31:E31)</f>
        <v>0</v>
      </c>
      <c r="G31" s="283">
        <f>JULIO!I31</f>
        <v>0</v>
      </c>
      <c r="H31" s="815">
        <v>0</v>
      </c>
      <c r="I31" s="575">
        <f>SUM(G31:H31)</f>
        <v>0</v>
      </c>
      <c r="J31" s="576">
        <f>JULIO!L31</f>
        <v>0</v>
      </c>
      <c r="K31" s="815">
        <v>0</v>
      </c>
      <c r="L31" s="170">
        <f>SUM(J31:K31)</f>
        <v>0</v>
      </c>
      <c r="M31" s="283">
        <f>F31-I31</f>
        <v>0</v>
      </c>
      <c r="N31" s="170">
        <f>F31-L31</f>
        <v>0</v>
      </c>
      <c r="O31" s="467"/>
      <c r="P31" s="455">
        <v>0</v>
      </c>
      <c r="Q31" s="458">
        <v>0</v>
      </c>
      <c r="R31" s="10"/>
      <c r="S31" s="156" t="str">
        <f>+IF(JULIO!S31=0,"",JULIO!S31)</f>
        <v>1010104-13</v>
      </c>
      <c r="T31" s="55" t="str">
        <f>+IF(JULIO!T31=0,"",JULIO!T31)</f>
        <v>Bonificación Especial por Recreación</v>
      </c>
      <c r="U31" s="29">
        <f>+ENERO!U31</f>
        <v>2046504</v>
      </c>
      <c r="V31" s="17">
        <f>JULIO!V31+AGOSTO!AL31</f>
        <v>0</v>
      </c>
      <c r="W31" s="17">
        <f>JULIO!W31+AGOSTO!AM31</f>
        <v>0</v>
      </c>
      <c r="X31" s="20">
        <f t="shared" si="17"/>
        <v>2046504</v>
      </c>
      <c r="Y31" s="21">
        <f>JULIO!AA31</f>
        <v>1056156</v>
      </c>
      <c r="Z31" s="457">
        <v>19126</v>
      </c>
      <c r="AA31" s="20">
        <f t="shared" si="18"/>
        <v>1075282</v>
      </c>
      <c r="AB31" s="21">
        <f>JULIO!AD31</f>
        <v>1056156</v>
      </c>
      <c r="AC31" s="457">
        <v>19126</v>
      </c>
      <c r="AD31" s="20">
        <f t="shared" si="19"/>
        <v>1075282</v>
      </c>
      <c r="AE31" s="21">
        <f>JULIO!AG31</f>
        <v>1056156</v>
      </c>
      <c r="AF31" s="457">
        <v>0</v>
      </c>
      <c r="AG31" s="20">
        <f t="shared" si="20"/>
        <v>1056156</v>
      </c>
      <c r="AH31" s="21">
        <f t="shared" si="21"/>
        <v>971222</v>
      </c>
      <c r="AI31" s="17">
        <f t="shared" si="22"/>
        <v>971222</v>
      </c>
      <c r="AJ31" s="18">
        <f t="shared" si="23"/>
        <v>990348</v>
      </c>
      <c r="AK31" s="10"/>
      <c r="AL31" s="455">
        <v>0</v>
      </c>
      <c r="AM31" s="458">
        <v>0</v>
      </c>
      <c r="AN31" s="10"/>
      <c r="AO31" s="428"/>
      <c r="AP31" s="507" t="s">
        <v>139</v>
      </c>
      <c r="AQ31" s="528">
        <f>X258</f>
        <v>0</v>
      </c>
      <c r="AR31" s="528">
        <f>AD258</f>
        <v>-12229186</v>
      </c>
      <c r="AS31" s="528">
        <f>AG258</f>
        <v>-2117149437</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367150</v>
      </c>
      <c r="BR31" s="10"/>
    </row>
    <row r="32" spans="1:70" s="10" customFormat="1" ht="15.75" thickBot="1" x14ac:dyDescent="0.3">
      <c r="A32" s="61" t="str">
        <f>+IF(JULIO!A32=0,"",JULIO!A32)</f>
        <v>1130103-2</v>
      </c>
      <c r="B32" s="62" t="str">
        <f>+IF(JULIO!B32=0,"",JULIO!B32)</f>
        <v>Prestación de Servicios de salud  2o. Nivel</v>
      </c>
      <c r="C32" s="17">
        <f t="shared" ref="C32:N32" si="32">SUM(C33:C34)</f>
        <v>0</v>
      </c>
      <c r="D32" s="17">
        <f t="shared" si="32"/>
        <v>0</v>
      </c>
      <c r="E32" s="17">
        <f t="shared" si="32"/>
        <v>0</v>
      </c>
      <c r="F32" s="18">
        <f t="shared" si="32"/>
        <v>0</v>
      </c>
      <c r="G32" s="21">
        <f t="shared" si="32"/>
        <v>0</v>
      </c>
      <c r="H32" s="834">
        <f t="shared" si="32"/>
        <v>0</v>
      </c>
      <c r="I32" s="835">
        <f t="shared" si="32"/>
        <v>0</v>
      </c>
      <c r="J32" s="836">
        <f t="shared" si="32"/>
        <v>0</v>
      </c>
      <c r="K32" s="834">
        <f t="shared" si="32"/>
        <v>0</v>
      </c>
      <c r="L32" s="18">
        <f t="shared" si="32"/>
        <v>0</v>
      </c>
      <c r="M32" s="21">
        <f t="shared" si="32"/>
        <v>0</v>
      </c>
      <c r="N32" s="18">
        <f t="shared" si="32"/>
        <v>0</v>
      </c>
      <c r="O32" s="467"/>
      <c r="P32" s="171">
        <f>SUM(P33:P34)</f>
        <v>0</v>
      </c>
      <c r="Q32" s="173">
        <f>SUM(Q33:Q34)</f>
        <v>0</v>
      </c>
      <c r="S32" s="156" t="str">
        <f>+IF(JULIO!S32=0,"",JULIO!S32)</f>
        <v>1010104-14</v>
      </c>
      <c r="T32" s="55" t="str">
        <f>+IF(JULIO!T32=0,"",JULIO!T32)</f>
        <v/>
      </c>
      <c r="U32" s="29">
        <f>+ENERO!U32</f>
        <v>0</v>
      </c>
      <c r="V32" s="17">
        <f>JULIO!V32+AGOSTO!AL32</f>
        <v>0</v>
      </c>
      <c r="W32" s="17">
        <f>JULIO!W32+AGOSTO!AM32</f>
        <v>0</v>
      </c>
      <c r="X32" s="20">
        <f t="shared" si="17"/>
        <v>0</v>
      </c>
      <c r="Y32" s="21">
        <f>JULIO!AA32</f>
        <v>0</v>
      </c>
      <c r="Z32" s="457">
        <v>0</v>
      </c>
      <c r="AA32" s="20">
        <f t="shared" si="18"/>
        <v>0</v>
      </c>
      <c r="AB32" s="21">
        <f>JULIO!AD32</f>
        <v>0</v>
      </c>
      <c r="AC32" s="457">
        <v>0</v>
      </c>
      <c r="AD32" s="20">
        <f t="shared" si="19"/>
        <v>0</v>
      </c>
      <c r="AE32" s="21">
        <f>JULIO!AG32</f>
        <v>0</v>
      </c>
      <c r="AF32" s="457">
        <v>0</v>
      </c>
      <c r="AG32" s="20">
        <f t="shared" si="20"/>
        <v>0</v>
      </c>
      <c r="AH32" s="21">
        <f t="shared" si="21"/>
        <v>0</v>
      </c>
      <c r="AI32" s="17">
        <f t="shared" si="22"/>
        <v>0</v>
      </c>
      <c r="AJ32" s="18">
        <f t="shared" si="23"/>
        <v>0</v>
      </c>
      <c r="AL32" s="455">
        <v>0</v>
      </c>
      <c r="AM32" s="458">
        <v>0</v>
      </c>
      <c r="AO32" s="23"/>
      <c r="AP32" s="537" t="s">
        <v>144</v>
      </c>
      <c r="AQ32" s="483">
        <f>SUM(AQ22:AQ31)</f>
        <v>3839134335</v>
      </c>
      <c r="AR32" s="483">
        <f>SUM(AR22:AR31)</f>
        <v>2368454503</v>
      </c>
      <c r="AS32" s="483">
        <f>SUM(AS22:AS31)</f>
        <v>0</v>
      </c>
      <c r="AT32" s="538"/>
      <c r="AU32" s="539">
        <f t="shared" si="25"/>
        <v>0.61692410224035565</v>
      </c>
      <c r="AV32" s="539">
        <f t="shared" si="26"/>
        <v>0</v>
      </c>
      <c r="AW32" s="430">
        <f>SUM(AW22:AW31)</f>
        <v>3693870457.9375</v>
      </c>
      <c r="AX32" s="430">
        <f>SUM(AX22:AX31)</f>
        <v>3316207226.4375</v>
      </c>
      <c r="AY32" s="430">
        <f>SUM(AY22:AY31)</f>
        <v>-145263877.0625</v>
      </c>
      <c r="AZ32" s="431">
        <f>SUM(AZ22:AZ31)</f>
        <v>522927108.5625</v>
      </c>
      <c r="BA32" s="467"/>
      <c r="BB32" s="514"/>
      <c r="BC32" s="514"/>
      <c r="BD32" s="514"/>
      <c r="BE32" s="514"/>
      <c r="BF32" s="514"/>
      <c r="BG32" s="467"/>
      <c r="BH32" s="467"/>
      <c r="BI32" s="467"/>
      <c r="BJ32" s="467"/>
      <c r="BK32" s="467"/>
      <c r="BM32" s="128" t="s">
        <v>140</v>
      </c>
      <c r="BN32" s="124">
        <f>+BN7+BN25+BN29+BN30+BN31</f>
        <v>3839134335</v>
      </c>
      <c r="BO32" s="125">
        <f t="shared" ref="BO32:BQ32" si="33">+BO7+BO25+BO29+BO30+BO31</f>
        <v>2380712233</v>
      </c>
      <c r="BP32" s="125">
        <f t="shared" si="33"/>
        <v>2380683689</v>
      </c>
      <c r="BQ32" s="126">
        <f t="shared" si="33"/>
        <v>244538859</v>
      </c>
      <c r="BR32" s="467"/>
    </row>
    <row r="33" spans="1:70" s="514" customFormat="1" ht="15.75" thickBot="1" x14ac:dyDescent="0.3">
      <c r="A33" s="188" t="str">
        <f>+IF(JULIO!A33=0,"",JULIO!A33)</f>
        <v>1130103-2-1</v>
      </c>
      <c r="B33" s="189" t="str">
        <f>+CONCATENATE("Vigencia ",INSTRUCCIONES!$F$3)</f>
        <v>Vigencia 2014</v>
      </c>
      <c r="C33" s="456">
        <f>+ENERO!C33</f>
        <v>0</v>
      </c>
      <c r="D33" s="456">
        <f>JULIO!D33+AGOSTO!P33</f>
        <v>0</v>
      </c>
      <c r="E33" s="456">
        <f>JULIO!E33+AGOSTO!Q33</f>
        <v>0</v>
      </c>
      <c r="F33" s="170">
        <f>SUM(C33:E33)</f>
        <v>0</v>
      </c>
      <c r="G33" s="283">
        <f>JULIO!I33</f>
        <v>0</v>
      </c>
      <c r="H33" s="815">
        <v>0</v>
      </c>
      <c r="I33" s="575">
        <f>SUM(G33:H33)</f>
        <v>0</v>
      </c>
      <c r="J33" s="576">
        <f>JULIO!L33</f>
        <v>0</v>
      </c>
      <c r="K33" s="815">
        <v>0</v>
      </c>
      <c r="L33" s="170">
        <f>SUM(J33:K33)</f>
        <v>0</v>
      </c>
      <c r="M33" s="283">
        <f>F33-I33</f>
        <v>0</v>
      </c>
      <c r="N33" s="170">
        <f>F33-L33</f>
        <v>0</v>
      </c>
      <c r="O33" s="10"/>
      <c r="P33" s="455">
        <v>0</v>
      </c>
      <c r="Q33" s="458">
        <v>0</v>
      </c>
      <c r="R33" s="10"/>
      <c r="S33" s="155">
        <f>+IF(JULIO!S33=0,"",JULIO!S33)</f>
        <v>1010199</v>
      </c>
      <c r="T33" s="159" t="str">
        <f>+IF(JULIO!T33=0,"",JULIO!T33)</f>
        <v>Vigencias Anteriores</v>
      </c>
      <c r="U33" s="29">
        <f>+ENERO!U33</f>
        <v>4029851</v>
      </c>
      <c r="V33" s="17">
        <f>JULIO!V33+AGOSTO!AL33</f>
        <v>-3476851</v>
      </c>
      <c r="W33" s="17">
        <f>JULIO!W33+AGOSTO!AM33</f>
        <v>0</v>
      </c>
      <c r="X33" s="20">
        <f t="shared" si="17"/>
        <v>553000</v>
      </c>
      <c r="Y33" s="21">
        <f>JULIO!AA33</f>
        <v>553000</v>
      </c>
      <c r="Z33" s="457">
        <v>0</v>
      </c>
      <c r="AA33" s="20">
        <f t="shared" si="18"/>
        <v>553000</v>
      </c>
      <c r="AB33" s="21">
        <f>JULIO!AD33</f>
        <v>553000</v>
      </c>
      <c r="AC33" s="457">
        <v>0</v>
      </c>
      <c r="AD33" s="20">
        <f t="shared" si="19"/>
        <v>553000</v>
      </c>
      <c r="AE33" s="21">
        <f>JULIO!AG33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394260200</v>
      </c>
      <c r="BP33" s="131">
        <f>AD258</f>
        <v>-12229186</v>
      </c>
      <c r="BQ33" s="132">
        <f>AF258</f>
        <v>1226140973</v>
      </c>
      <c r="BR33" s="467"/>
    </row>
    <row r="34" spans="1:70" s="514" customFormat="1" ht="16.5" thickBot="1" x14ac:dyDescent="0.25">
      <c r="A34" s="188" t="str">
        <f>+IF(JULIO!A34=0,"",JULIO!A34)</f>
        <v>1130103-2-2</v>
      </c>
      <c r="B34" s="189" t="str">
        <f>+IF(JULIO!B34=0,"",JULIO!B34)</f>
        <v>Vigencias Anteriores</v>
      </c>
      <c r="C34" s="456">
        <f>+ENERO!C34</f>
        <v>0</v>
      </c>
      <c r="D34" s="456">
        <f>JULIO!D34+AGOSTO!P34</f>
        <v>0</v>
      </c>
      <c r="E34" s="456">
        <f>JULIO!E34+AGOSTO!Q34</f>
        <v>0</v>
      </c>
      <c r="F34" s="170">
        <f>SUM(C34:E34)</f>
        <v>0</v>
      </c>
      <c r="G34" s="283">
        <f>JULIO!I34</f>
        <v>0</v>
      </c>
      <c r="H34" s="815">
        <v>0</v>
      </c>
      <c r="I34" s="575">
        <f>SUM(G34:H34)</f>
        <v>0</v>
      </c>
      <c r="J34" s="576">
        <f>JULIO!L34</f>
        <v>0</v>
      </c>
      <c r="K34" s="815">
        <v>0</v>
      </c>
      <c r="L34" s="170">
        <f>SUM(J34:K34)</f>
        <v>0</v>
      </c>
      <c r="M34" s="283">
        <f>F34-I34</f>
        <v>0</v>
      </c>
      <c r="N34" s="170">
        <f>F34-L34</f>
        <v>0</v>
      </c>
      <c r="O34" s="467"/>
      <c r="P34" s="455">
        <v>0</v>
      </c>
      <c r="Q34" s="458">
        <v>0</v>
      </c>
      <c r="R34" s="10"/>
      <c r="S34" s="448" t="str">
        <f>+IF(JULIO!S34=0,"",JULIO!S34)</f>
        <v/>
      </c>
      <c r="T34" s="649" t="str">
        <f>+IF(JULIO!T34=0,"",JULIO!T34)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+IF(JULIO!A35=0,"",JULIO!A35)</f>
        <v>1130103-3</v>
      </c>
      <c r="B35" s="62" t="str">
        <f>+IF(JULIO!B35=0,"",JULIO!B35)</f>
        <v>Prestación de Servicios de salud  3o. Nivel</v>
      </c>
      <c r="C35" s="17">
        <f t="shared" ref="C35:N35" si="34">SUM(C36:C37)</f>
        <v>0</v>
      </c>
      <c r="D35" s="17">
        <f t="shared" si="34"/>
        <v>0</v>
      </c>
      <c r="E35" s="17">
        <f t="shared" si="34"/>
        <v>0</v>
      </c>
      <c r="F35" s="18">
        <f t="shared" si="34"/>
        <v>0</v>
      </c>
      <c r="G35" s="21">
        <f t="shared" si="34"/>
        <v>0</v>
      </c>
      <c r="H35" s="834">
        <f t="shared" si="34"/>
        <v>0</v>
      </c>
      <c r="I35" s="835">
        <f t="shared" si="34"/>
        <v>0</v>
      </c>
      <c r="J35" s="836">
        <f t="shared" si="34"/>
        <v>0</v>
      </c>
      <c r="K35" s="834">
        <f t="shared" si="34"/>
        <v>0</v>
      </c>
      <c r="L35" s="18">
        <f t="shared" si="34"/>
        <v>0</v>
      </c>
      <c r="M35" s="21">
        <f t="shared" si="34"/>
        <v>0</v>
      </c>
      <c r="N35" s="18">
        <f t="shared" si="34"/>
        <v>0</v>
      </c>
      <c r="P35" s="171">
        <f>SUM(P36:P37)</f>
        <v>0</v>
      </c>
      <c r="Q35" s="173">
        <f>SUM(Q36:Q37)</f>
        <v>0</v>
      </c>
      <c r="R35" s="10"/>
      <c r="S35" s="34">
        <f>+IF(JULIO!S35=0,"",JULIO!S35)</f>
        <v>1010200</v>
      </c>
      <c r="T35" s="158" t="str">
        <f>+IF(JULIO!T35=0,"",JULIO!T35)</f>
        <v>Servicios Personales Indirectos</v>
      </c>
      <c r="U35" s="157">
        <f t="shared" ref="U35:AJ35" si="35">SUM(U36:U41)</f>
        <v>113755696</v>
      </c>
      <c r="V35" s="144">
        <f t="shared" si="35"/>
        <v>-2668000</v>
      </c>
      <c r="W35" s="144">
        <f t="shared" si="35"/>
        <v>1200000</v>
      </c>
      <c r="X35" s="152">
        <f t="shared" si="35"/>
        <v>112287696</v>
      </c>
      <c r="Y35" s="151">
        <f t="shared" si="35"/>
        <v>45024705</v>
      </c>
      <c r="Z35" s="144">
        <f t="shared" si="35"/>
        <v>5791465</v>
      </c>
      <c r="AA35" s="152">
        <f t="shared" si="35"/>
        <v>50816170</v>
      </c>
      <c r="AB35" s="151">
        <f t="shared" si="35"/>
        <v>45024705</v>
      </c>
      <c r="AC35" s="144">
        <f t="shared" si="35"/>
        <v>5791465</v>
      </c>
      <c r="AD35" s="152">
        <f t="shared" si="35"/>
        <v>50816170</v>
      </c>
      <c r="AE35" s="151">
        <f t="shared" si="35"/>
        <v>36895232</v>
      </c>
      <c r="AF35" s="144">
        <f t="shared" si="35"/>
        <v>8999269</v>
      </c>
      <c r="AG35" s="152">
        <f t="shared" si="35"/>
        <v>45894501</v>
      </c>
      <c r="AH35" s="151">
        <f t="shared" si="35"/>
        <v>61471526</v>
      </c>
      <c r="AI35" s="144">
        <f t="shared" si="35"/>
        <v>61471526</v>
      </c>
      <c r="AJ35" s="153">
        <f t="shared" si="35"/>
        <v>66393195</v>
      </c>
      <c r="AK35" s="10"/>
      <c r="AL35" s="151">
        <f>SUM(AL36:AL41)</f>
        <v>0</v>
      </c>
      <c r="AM35" s="153">
        <f>SUM(AM36:AM41)</f>
        <v>0</v>
      </c>
      <c r="AN35" s="10"/>
      <c r="AO35" s="428"/>
      <c r="AP35" s="547"/>
      <c r="AQ35" s="363"/>
      <c r="AR35" s="548"/>
      <c r="AS35" s="548"/>
      <c r="AT35" s="548"/>
      <c r="AU35" s="549">
        <f>AR17-AR32</f>
        <v>238167671</v>
      </c>
      <c r="AV35" s="550">
        <f>AS17-AR32</f>
        <v>-168350259</v>
      </c>
      <c r="AW35" s="550" t="s">
        <v>158</v>
      </c>
      <c r="AX35" s="551"/>
      <c r="AY35" s="550">
        <f>AY17+AY32</f>
        <v>81043288.9375</v>
      </c>
      <c r="AZ35" s="552">
        <f>AZ17+AY32</f>
        <v>-676557424.0625</v>
      </c>
      <c r="BB35" s="514"/>
      <c r="BC35" s="514"/>
      <c r="BD35" s="514"/>
      <c r="BE35" s="514"/>
      <c r="BF35" s="514"/>
    </row>
    <row r="36" spans="1:70" s="467" customFormat="1" ht="15.75" thickBot="1" x14ac:dyDescent="0.25">
      <c r="A36" s="188" t="str">
        <f>+IF(JULIO!A36=0,"",JULIO!A36)</f>
        <v>1130103-3-1</v>
      </c>
      <c r="B36" s="189" t="str">
        <f>+CONCATENATE("Vigencia ",INSTRUCCIONES!$F$3)</f>
        <v>Vigencia 2014</v>
      </c>
      <c r="C36" s="456">
        <f>+ENERO!C36</f>
        <v>0</v>
      </c>
      <c r="D36" s="456">
        <f>JULIO!D36+AGOSTO!P36</f>
        <v>0</v>
      </c>
      <c r="E36" s="456">
        <f>JULIO!E36+AGOSTO!Q36</f>
        <v>0</v>
      </c>
      <c r="F36" s="170">
        <f>SUM(C36:E36)</f>
        <v>0</v>
      </c>
      <c r="G36" s="283">
        <f>JULIO!I36</f>
        <v>0</v>
      </c>
      <c r="H36" s="815">
        <v>0</v>
      </c>
      <c r="I36" s="575">
        <f>SUM(G36:H36)</f>
        <v>0</v>
      </c>
      <c r="J36" s="576">
        <f>JULIO!L36</f>
        <v>0</v>
      </c>
      <c r="K36" s="815">
        <v>0</v>
      </c>
      <c r="L36" s="170">
        <f>SUM(J36:K36)</f>
        <v>0</v>
      </c>
      <c r="M36" s="283">
        <f>F36-I36</f>
        <v>0</v>
      </c>
      <c r="N36" s="170">
        <f>F36-L36</f>
        <v>0</v>
      </c>
      <c r="O36" s="10"/>
      <c r="P36" s="455">
        <v>0</v>
      </c>
      <c r="Q36" s="458">
        <v>0</v>
      </c>
      <c r="R36" s="10"/>
      <c r="S36" s="155" t="str">
        <f>+IF(JULIO!S36=0,"",JULIO!S36)</f>
        <v>1010200-1</v>
      </c>
      <c r="T36" s="159" t="str">
        <f>+IF(JULIO!T36=0,"",JULIO!T36)</f>
        <v>Remuneración y Honorarios por Servicios Técnicos y Profesionales</v>
      </c>
      <c r="U36" s="29">
        <f>+ENERO!U36</f>
        <v>16339906</v>
      </c>
      <c r="V36" s="17">
        <f>JULIO!V36+AGOSTO!AL36</f>
        <v>0</v>
      </c>
      <c r="W36" s="17">
        <f>JULIO!W36+AGOSTO!AM36</f>
        <v>0</v>
      </c>
      <c r="X36" s="20">
        <f t="shared" ref="X36:X41" si="36">SUM(U36:W36)</f>
        <v>16339906</v>
      </c>
      <c r="Y36" s="21">
        <f>JULIO!AA36</f>
        <v>7211238</v>
      </c>
      <c r="Z36" s="457">
        <v>1201873</v>
      </c>
      <c r="AA36" s="20">
        <f t="shared" ref="AA36:AA41" si="37">SUM(Y36:Z36)</f>
        <v>8413111</v>
      </c>
      <c r="AB36" s="21">
        <f>JULIO!AD36</f>
        <v>7211238</v>
      </c>
      <c r="AC36" s="457">
        <v>1201873</v>
      </c>
      <c r="AD36" s="20">
        <f t="shared" ref="AD36:AD41" si="38">SUM(AB36:AC36)</f>
        <v>8413111</v>
      </c>
      <c r="AE36" s="21">
        <f>JULIO!AG36</f>
        <v>6009365</v>
      </c>
      <c r="AF36" s="457">
        <v>1201873</v>
      </c>
      <c r="AG36" s="20">
        <f t="shared" ref="AG36:AG41" si="39">SUM(AE36:AF36)</f>
        <v>7211238</v>
      </c>
      <c r="AH36" s="21">
        <f t="shared" ref="AH36:AH41" si="40">X36-AA36</f>
        <v>7926795</v>
      </c>
      <c r="AI36" s="17">
        <f t="shared" ref="AI36:AI41" si="41">X36-AD36</f>
        <v>7926795</v>
      </c>
      <c r="AJ36" s="18">
        <f t="shared" ref="AJ36:AJ41" si="42">X36-AG36</f>
        <v>9128668</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+IF(JULIO!A37=0,"",JULIO!A37)</f>
        <v>1130103-3-2</v>
      </c>
      <c r="B37" s="189" t="str">
        <f>+IF(JULIO!B37=0,"",JULIO!B37)</f>
        <v>Vigencias Anteriores</v>
      </c>
      <c r="C37" s="456">
        <f>+ENERO!C37</f>
        <v>0</v>
      </c>
      <c r="D37" s="456">
        <f>JULIO!D37+AGOSTO!P37</f>
        <v>0</v>
      </c>
      <c r="E37" s="456">
        <f>JULIO!E37+AGOSTO!Q37</f>
        <v>0</v>
      </c>
      <c r="F37" s="170">
        <f>SUM(C37:E37)</f>
        <v>0</v>
      </c>
      <c r="G37" s="283">
        <f>JULIO!I37</f>
        <v>0</v>
      </c>
      <c r="H37" s="815">
        <v>0</v>
      </c>
      <c r="I37" s="575">
        <f>SUM(G37:H37)</f>
        <v>0</v>
      </c>
      <c r="J37" s="576">
        <f>JULIO!L37</f>
        <v>0</v>
      </c>
      <c r="K37" s="815">
        <v>0</v>
      </c>
      <c r="L37" s="170">
        <f>SUM(J37:K37)</f>
        <v>0</v>
      </c>
      <c r="M37" s="283">
        <f>F37-I37</f>
        <v>0</v>
      </c>
      <c r="N37" s="170">
        <f>F37-L37</f>
        <v>0</v>
      </c>
      <c r="P37" s="455">
        <v>0</v>
      </c>
      <c r="Q37" s="458">
        <v>0</v>
      </c>
      <c r="R37" s="10"/>
      <c r="S37" s="155" t="str">
        <f>+IF(JULIO!S37=0,"",JULIO!S37)</f>
        <v>1010200-2</v>
      </c>
      <c r="T37" s="159" t="str">
        <f>+IF(JULIO!T37=0,"",JULIO!T37)</f>
        <v>Personal Supernumerario</v>
      </c>
      <c r="U37" s="29">
        <f>+ENERO!U37</f>
        <v>10000000</v>
      </c>
      <c r="V37" s="17">
        <f>JULIO!V37+AGOSTO!AL37</f>
        <v>0</v>
      </c>
      <c r="W37" s="17">
        <f>JULIO!W37+AGOSTO!AM37</f>
        <v>0</v>
      </c>
      <c r="X37" s="20">
        <f t="shared" si="36"/>
        <v>10000000</v>
      </c>
      <c r="Y37" s="21">
        <f>JULIO!AA37</f>
        <v>0</v>
      </c>
      <c r="Z37" s="457">
        <v>0</v>
      </c>
      <c r="AA37" s="20">
        <f t="shared" si="37"/>
        <v>0</v>
      </c>
      <c r="AB37" s="21">
        <f>JULIO!AD37</f>
        <v>0</v>
      </c>
      <c r="AC37" s="457">
        <v>0</v>
      </c>
      <c r="AD37" s="20">
        <f t="shared" si="38"/>
        <v>0</v>
      </c>
      <c r="AE37" s="21">
        <f>JULIO!AG37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c r="B38" s="719"/>
      <c r="C38" s="720"/>
      <c r="D38" s="720"/>
      <c r="E38" s="720"/>
      <c r="F38" s="721"/>
      <c r="G38" s="722"/>
      <c r="H38" s="712"/>
      <c r="I38" s="710"/>
      <c r="J38" s="711"/>
      <c r="K38" s="712"/>
      <c r="L38" s="721"/>
      <c r="M38" s="722"/>
      <c r="N38" s="721"/>
      <c r="O38" s="726"/>
      <c r="P38" s="724"/>
      <c r="Q38" s="725"/>
      <c r="R38" s="10"/>
      <c r="S38" s="155" t="str">
        <f>+IF(JULIO!S38=0,"",JULIO!S38)</f>
        <v>1010200-3</v>
      </c>
      <c r="T38" s="159" t="str">
        <f>+IF(JULIO!T38=0,"",JULIO!T38)</f>
        <v>Honorarios de la Junta Directiva</v>
      </c>
      <c r="U38" s="29">
        <f>+ENERO!U38</f>
        <v>1098240</v>
      </c>
      <c r="V38" s="17">
        <f>JULIO!V38+AGOSTO!AL38</f>
        <v>0</v>
      </c>
      <c r="W38" s="17">
        <f>JULIO!W38+AGOSTO!AM38</f>
        <v>1200000</v>
      </c>
      <c r="X38" s="20">
        <f t="shared" si="36"/>
        <v>2298240</v>
      </c>
      <c r="Y38" s="21">
        <f>JULIO!AA38</f>
        <v>1084950</v>
      </c>
      <c r="Z38" s="457">
        <v>0</v>
      </c>
      <c r="AA38" s="20">
        <f t="shared" si="37"/>
        <v>1084950</v>
      </c>
      <c r="AB38" s="21">
        <f>JULIO!AD38</f>
        <v>1084950</v>
      </c>
      <c r="AC38" s="457">
        <v>0</v>
      </c>
      <c r="AD38" s="20">
        <f t="shared" si="38"/>
        <v>1084950</v>
      </c>
      <c r="AE38" s="21">
        <f>JULIO!AG38</f>
        <v>1084950</v>
      </c>
      <c r="AF38" s="457">
        <v>0</v>
      </c>
      <c r="AG38" s="20">
        <f t="shared" si="39"/>
        <v>1084950</v>
      </c>
      <c r="AH38" s="21">
        <f t="shared" si="40"/>
        <v>1213290</v>
      </c>
      <c r="AI38" s="17">
        <f t="shared" si="41"/>
        <v>1213290</v>
      </c>
      <c r="AJ38" s="18">
        <f t="shared" si="42"/>
        <v>1213290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12"/>
      <c r="I39" s="710"/>
      <c r="J39" s="711"/>
      <c r="K39" s="712"/>
      <c r="L39" s="721"/>
      <c r="M39" s="722"/>
      <c r="N39" s="721"/>
      <c r="O39" s="726"/>
      <c r="P39" s="724"/>
      <c r="Q39" s="725"/>
      <c r="R39" s="10"/>
      <c r="S39" s="155" t="str">
        <f>+IF(JULIO!S39=0,"",JULIO!S39)</f>
        <v>1010200-4</v>
      </c>
      <c r="T39" s="159" t="str">
        <f>+IF(JULIO!T39=0,"",JULIO!T39)</f>
        <v>Otros Honorarios (Servicios de Cooperativa)</v>
      </c>
      <c r="U39" s="29">
        <f>+ENERO!U39</f>
        <v>80796809</v>
      </c>
      <c r="V39" s="17">
        <f>JULIO!V39+AGOSTO!AL39</f>
        <v>0</v>
      </c>
      <c r="W39" s="17">
        <f>JULIO!W39+AGOSTO!AM39</f>
        <v>0</v>
      </c>
      <c r="X39" s="20">
        <f t="shared" si="36"/>
        <v>80796809</v>
      </c>
      <c r="Y39" s="21">
        <f>JULIO!AA39</f>
        <v>33875776</v>
      </c>
      <c r="Z39" s="457">
        <v>4589592</v>
      </c>
      <c r="AA39" s="20">
        <f t="shared" si="37"/>
        <v>38465368</v>
      </c>
      <c r="AB39" s="21">
        <f>JULIO!AD39</f>
        <v>33875776</v>
      </c>
      <c r="AC39" s="457">
        <v>4589592</v>
      </c>
      <c r="AD39" s="20">
        <f t="shared" si="38"/>
        <v>38465368</v>
      </c>
      <c r="AE39" s="21">
        <f>JULIO!AG39</f>
        <v>26948176</v>
      </c>
      <c r="AF39" s="457">
        <v>7797396</v>
      </c>
      <c r="AG39" s="20">
        <f t="shared" si="39"/>
        <v>34745572</v>
      </c>
      <c r="AH39" s="21">
        <f t="shared" si="40"/>
        <v>42331441</v>
      </c>
      <c r="AI39" s="17">
        <f t="shared" si="41"/>
        <v>42331441</v>
      </c>
      <c r="AJ39" s="18">
        <f t="shared" si="42"/>
        <v>46051237</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12"/>
      <c r="I40" s="710"/>
      <c r="J40" s="711"/>
      <c r="K40" s="712"/>
      <c r="L40" s="721"/>
      <c r="M40" s="722"/>
      <c r="N40" s="721"/>
      <c r="O40" s="726"/>
      <c r="P40" s="724"/>
      <c r="Q40" s="725"/>
      <c r="R40" s="10"/>
      <c r="S40" s="155" t="str">
        <f>+IF(JULIO!S40=0,"",JULIO!S40)</f>
        <v>1010200-6</v>
      </c>
      <c r="T40" s="159" t="str">
        <f>+IF(JULIO!T40=0,"",JULIO!T40)</f>
        <v>Certificación, Habilitación y Acreditación</v>
      </c>
      <c r="U40" s="29">
        <f>+ENERO!U40</f>
        <v>0</v>
      </c>
      <c r="V40" s="17">
        <f>JULIO!V40+AGOSTO!AL40</f>
        <v>0</v>
      </c>
      <c r="W40" s="17">
        <f>JULIO!W40+AGOSTO!AM40</f>
        <v>0</v>
      </c>
      <c r="X40" s="20">
        <f t="shared" si="36"/>
        <v>0</v>
      </c>
      <c r="Y40" s="21">
        <f>JULIO!AA40</f>
        <v>0</v>
      </c>
      <c r="Z40" s="457">
        <v>0</v>
      </c>
      <c r="AA40" s="20">
        <f t="shared" si="37"/>
        <v>0</v>
      </c>
      <c r="AB40" s="21">
        <f>JULIO!AD40</f>
        <v>0</v>
      </c>
      <c r="AC40" s="457">
        <v>0</v>
      </c>
      <c r="AD40" s="20">
        <f t="shared" si="38"/>
        <v>0</v>
      </c>
      <c r="AE40" s="21">
        <f>JULIO!AG40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12"/>
      <c r="I41" s="710"/>
      <c r="J41" s="711"/>
      <c r="K41" s="712"/>
      <c r="L41" s="721"/>
      <c r="M41" s="722"/>
      <c r="N41" s="721"/>
      <c r="O41" s="726"/>
      <c r="P41" s="724"/>
      <c r="Q41" s="725"/>
      <c r="R41" s="10"/>
      <c r="S41" s="155">
        <f>+IF(JULIO!S41=0,"",JULIO!S41)</f>
        <v>1010299</v>
      </c>
      <c r="T41" s="159" t="str">
        <f>+IF(JULIO!T41=0,"",JULIO!T41)</f>
        <v>Vigencias Anteriores</v>
      </c>
      <c r="U41" s="29">
        <f>+ENERO!U41</f>
        <v>5520741</v>
      </c>
      <c r="V41" s="17">
        <f>JULIO!V41+AGOSTO!AL41</f>
        <v>-2668000</v>
      </c>
      <c r="W41" s="17">
        <f>JULIO!W41+AGOSTO!AM41</f>
        <v>0</v>
      </c>
      <c r="X41" s="20">
        <f t="shared" si="36"/>
        <v>2852741</v>
      </c>
      <c r="Y41" s="21">
        <f>JULIO!AA41</f>
        <v>2852741</v>
      </c>
      <c r="Z41" s="457">
        <v>0</v>
      </c>
      <c r="AA41" s="20">
        <f t="shared" si="37"/>
        <v>2852741</v>
      </c>
      <c r="AB41" s="21">
        <f>JULIO!AD41</f>
        <v>2852741</v>
      </c>
      <c r="AC41" s="457">
        <v>0</v>
      </c>
      <c r="AD41" s="20">
        <f t="shared" si="38"/>
        <v>2852741</v>
      </c>
      <c r="AE41" s="21">
        <f>JULIO!AG41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+IF(JULIO!A42=0,"",JULIO!A42)</f>
        <v>1130106</v>
      </c>
      <c r="B42" s="45" t="str">
        <f>+IF(JULIO!B42=0,"",JULIO!B42)</f>
        <v>SALUD PUBLICA - PLAN DE INTERVENCIONES COLECTIVAS</v>
      </c>
      <c r="C42" s="53">
        <f t="shared" ref="C42:N42" si="43">SUM(C43:C44)</f>
        <v>125397398</v>
      </c>
      <c r="D42" s="53">
        <f t="shared" si="43"/>
        <v>0</v>
      </c>
      <c r="E42" s="53">
        <f t="shared" si="43"/>
        <v>0</v>
      </c>
      <c r="F42" s="54">
        <f t="shared" si="43"/>
        <v>125397398</v>
      </c>
      <c r="G42" s="52">
        <f t="shared" si="43"/>
        <v>60206786</v>
      </c>
      <c r="H42" s="828">
        <f t="shared" si="43"/>
        <v>10919003</v>
      </c>
      <c r="I42" s="829">
        <f t="shared" si="43"/>
        <v>71125789</v>
      </c>
      <c r="J42" s="830">
        <f t="shared" si="43"/>
        <v>32987732</v>
      </c>
      <c r="K42" s="828">
        <f t="shared" si="43"/>
        <v>20035054</v>
      </c>
      <c r="L42" s="54">
        <f t="shared" si="43"/>
        <v>53022786</v>
      </c>
      <c r="M42" s="52">
        <f t="shared" si="43"/>
        <v>54271609</v>
      </c>
      <c r="N42" s="54">
        <f t="shared" si="43"/>
        <v>72374612</v>
      </c>
      <c r="P42" s="52">
        <f>SUM(P43:P44)</f>
        <v>0</v>
      </c>
      <c r="Q42" s="54">
        <f>SUM(Q43:Q44)</f>
        <v>0</v>
      </c>
      <c r="R42" s="10"/>
      <c r="S42" s="448" t="str">
        <f>+IF(JULIO!S42=0,"",JULIO!S42)</f>
        <v/>
      </c>
      <c r="T42" s="649" t="str">
        <f>+IF(JULIO!T42=0,"",JULIO!T42)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+IF(JULIO!A43=0,"",JULIO!A43)</f>
        <v>1130106-1</v>
      </c>
      <c r="B43" s="189" t="str">
        <f>+CONCATENATE("Vigencia ",INSTRUCCIONES!$F$3)</f>
        <v>Vigencia 2014</v>
      </c>
      <c r="C43" s="456">
        <f>+ENERO!C43</f>
        <v>125397398</v>
      </c>
      <c r="D43" s="456">
        <f>JULIO!D43+AGOSTO!P43</f>
        <v>0</v>
      </c>
      <c r="E43" s="456">
        <f>JULIO!E43+AGOSTO!Q43</f>
        <v>0</v>
      </c>
      <c r="F43" s="170">
        <f>SUM(C43:E43)</f>
        <v>125397398</v>
      </c>
      <c r="G43" s="283">
        <f>JULIO!I43</f>
        <v>60206786</v>
      </c>
      <c r="H43" s="853">
        <v>10919003</v>
      </c>
      <c r="I43" s="575">
        <f>SUM(G43:H43)</f>
        <v>71125789</v>
      </c>
      <c r="J43" s="576">
        <f>JULIO!L43</f>
        <v>32987732</v>
      </c>
      <c r="K43" s="853">
        <v>20035054</v>
      </c>
      <c r="L43" s="170">
        <f>SUM(J43:K43)</f>
        <v>53022786</v>
      </c>
      <c r="M43" s="283">
        <f>F43-I43</f>
        <v>54271609</v>
      </c>
      <c r="N43" s="170">
        <f>F43-L43</f>
        <v>72374612</v>
      </c>
      <c r="O43" s="467"/>
      <c r="P43" s="455">
        <v>0</v>
      </c>
      <c r="Q43" s="458">
        <v>0</v>
      </c>
      <c r="R43" s="10"/>
      <c r="S43" s="34">
        <f>+IF(JULIO!S43=0,"",JULIO!S43)</f>
        <v>1010300</v>
      </c>
      <c r="T43" s="158" t="str">
        <f>+IF(JULIO!T43=0,"",JULIO!T43)</f>
        <v>Contribuciones Inherentes nómina al Sector Privado</v>
      </c>
      <c r="U43" s="157">
        <f t="shared" ref="U43:AJ43" si="44">U44+U49+U55</f>
        <v>119647956</v>
      </c>
      <c r="V43" s="144">
        <f t="shared" si="44"/>
        <v>487148</v>
      </c>
      <c r="W43" s="144">
        <f t="shared" si="44"/>
        <v>0</v>
      </c>
      <c r="X43" s="152">
        <f t="shared" si="44"/>
        <v>120135104</v>
      </c>
      <c r="Y43" s="151">
        <f t="shared" si="44"/>
        <v>71851141</v>
      </c>
      <c r="Z43" s="144">
        <f t="shared" si="44"/>
        <v>4349859</v>
      </c>
      <c r="AA43" s="152">
        <f t="shared" si="44"/>
        <v>76201000</v>
      </c>
      <c r="AB43" s="151">
        <f t="shared" si="44"/>
        <v>71851141</v>
      </c>
      <c r="AC43" s="144">
        <f t="shared" si="44"/>
        <v>4349859</v>
      </c>
      <c r="AD43" s="152">
        <f t="shared" si="44"/>
        <v>76201000</v>
      </c>
      <c r="AE43" s="151">
        <f t="shared" si="44"/>
        <v>68556041</v>
      </c>
      <c r="AF43" s="144">
        <f t="shared" si="44"/>
        <v>4591114</v>
      </c>
      <c r="AG43" s="152">
        <f t="shared" si="44"/>
        <v>73147155</v>
      </c>
      <c r="AH43" s="151">
        <f t="shared" si="44"/>
        <v>43934104</v>
      </c>
      <c r="AI43" s="144">
        <f t="shared" si="44"/>
        <v>43934104</v>
      </c>
      <c r="AJ43" s="153">
        <f t="shared" si="44"/>
        <v>46987949</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+IF(JULIO!A44=0,"",JULIO!A44)</f>
        <v>1130106-2</v>
      </c>
      <c r="B44" s="189" t="str">
        <f>+IF(JULIO!B44=0,"",JULIO!B44)</f>
        <v>Vigencias Anteriores</v>
      </c>
      <c r="C44" s="456">
        <f>+ENERO!C44</f>
        <v>0</v>
      </c>
      <c r="D44" s="456">
        <f>JULIO!D44+AGOSTO!P44</f>
        <v>0</v>
      </c>
      <c r="E44" s="456">
        <f>JULIO!E44+AGOSTO!Q44</f>
        <v>0</v>
      </c>
      <c r="F44" s="170">
        <f>SUM(C44:E44)</f>
        <v>0</v>
      </c>
      <c r="G44" s="283">
        <f>JULIO!I44</f>
        <v>0</v>
      </c>
      <c r="H44" s="815">
        <v>0</v>
      </c>
      <c r="I44" s="575">
        <f>SUM(G44:H44)</f>
        <v>0</v>
      </c>
      <c r="J44" s="576">
        <f>JULIO!L44</f>
        <v>0</v>
      </c>
      <c r="K44" s="815">
        <v>0</v>
      </c>
      <c r="L44" s="170">
        <f>SUM(J44:K44)</f>
        <v>0</v>
      </c>
      <c r="M44" s="283">
        <f>F44-I44</f>
        <v>0</v>
      </c>
      <c r="N44" s="170">
        <f>F44-L44</f>
        <v>0</v>
      </c>
      <c r="O44" s="467"/>
      <c r="P44" s="455">
        <v>0</v>
      </c>
      <c r="Q44" s="458">
        <v>0</v>
      </c>
      <c r="R44" s="10"/>
      <c r="S44" s="155">
        <f>+IF(JULIO!S44=0,"",JULIO!S44)</f>
        <v>1010301</v>
      </c>
      <c r="T44" s="159" t="str">
        <f>+IF(JULIO!T44=0,"",JULIO!T44)</f>
        <v>Contribuciones - Sin Situación de Fondos</v>
      </c>
      <c r="U44" s="29">
        <f t="shared" ref="U44:AJ44" si="45">SUM(U45:U48)</f>
        <v>56401928</v>
      </c>
      <c r="V44" s="17">
        <f t="shared" si="45"/>
        <v>0</v>
      </c>
      <c r="W44" s="17">
        <f t="shared" si="45"/>
        <v>0</v>
      </c>
      <c r="X44" s="20">
        <f t="shared" si="45"/>
        <v>56401928</v>
      </c>
      <c r="Y44" s="21">
        <f t="shared" si="45"/>
        <v>19107935</v>
      </c>
      <c r="Z44" s="169">
        <f t="shared" si="45"/>
        <v>1296014</v>
      </c>
      <c r="AA44" s="20">
        <f t="shared" si="45"/>
        <v>20403949</v>
      </c>
      <c r="AB44" s="21">
        <f t="shared" si="45"/>
        <v>19107935</v>
      </c>
      <c r="AC44" s="169">
        <f t="shared" si="45"/>
        <v>1296014</v>
      </c>
      <c r="AD44" s="20">
        <f t="shared" si="45"/>
        <v>20403949</v>
      </c>
      <c r="AE44" s="21">
        <f t="shared" si="45"/>
        <v>19107935</v>
      </c>
      <c r="AF44" s="169">
        <f t="shared" si="45"/>
        <v>1296014</v>
      </c>
      <c r="AG44" s="20">
        <f t="shared" si="45"/>
        <v>20403949</v>
      </c>
      <c r="AH44" s="21">
        <f t="shared" si="45"/>
        <v>35997979</v>
      </c>
      <c r="AI44" s="17">
        <f t="shared" si="45"/>
        <v>35997979</v>
      </c>
      <c r="AJ44" s="18">
        <f t="shared" si="45"/>
        <v>35997979</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+IF(JULIO!A45=0,"",JULIO!A45)</f>
        <v>1130107</v>
      </c>
      <c r="B45" s="45" t="str">
        <f>+IF(JULIO!B45=0,"",JULIO!B45)</f>
        <v>MINSALUD-FOSYGA-RECLAMACIONES ECAT</v>
      </c>
      <c r="C45" s="53">
        <f t="shared" ref="C45:N45" si="46">SUM(C46:C47)</f>
        <v>0</v>
      </c>
      <c r="D45" s="53">
        <f t="shared" si="46"/>
        <v>0</v>
      </c>
      <c r="E45" s="53">
        <f t="shared" si="46"/>
        <v>0</v>
      </c>
      <c r="F45" s="54">
        <f t="shared" si="46"/>
        <v>0</v>
      </c>
      <c r="G45" s="52">
        <f t="shared" si="46"/>
        <v>0</v>
      </c>
      <c r="H45" s="828">
        <f t="shared" si="46"/>
        <v>0</v>
      </c>
      <c r="I45" s="829">
        <f t="shared" si="46"/>
        <v>0</v>
      </c>
      <c r="J45" s="830">
        <f t="shared" si="46"/>
        <v>0</v>
      </c>
      <c r="K45" s="828">
        <f t="shared" si="46"/>
        <v>0</v>
      </c>
      <c r="L45" s="54">
        <f t="shared" si="46"/>
        <v>0</v>
      </c>
      <c r="M45" s="52">
        <f t="shared" si="46"/>
        <v>0</v>
      </c>
      <c r="N45" s="54">
        <f t="shared" si="46"/>
        <v>0</v>
      </c>
      <c r="P45" s="52">
        <f>SUM(P46:P47)</f>
        <v>0</v>
      </c>
      <c r="Q45" s="54">
        <f>SUM(Q46:Q47)</f>
        <v>0</v>
      </c>
      <c r="R45" s="10"/>
      <c r="S45" s="156" t="str">
        <f>+IF(JULIO!S45=0,"",JULIO!S45)</f>
        <v>1010301-1</v>
      </c>
      <c r="T45" s="55" t="str">
        <f>+IF(JULIO!T45=0,"",JULIO!T45)</f>
        <v>Aportes a E.P.S.- Sin sit. Fondos</v>
      </c>
      <c r="U45" s="29">
        <f>+ENERO!U45</f>
        <v>24712429</v>
      </c>
      <c r="V45" s="17">
        <f>JULIO!V45+AGOSTO!AL45</f>
        <v>0</v>
      </c>
      <c r="W45" s="17">
        <f>JULIO!W45+AGOSTO!AM45</f>
        <v>0</v>
      </c>
      <c r="X45" s="20">
        <f>SUM(U45:W45)</f>
        <v>24712429</v>
      </c>
      <c r="Y45" s="21">
        <f>JULIO!AA45</f>
        <v>9864135</v>
      </c>
      <c r="Z45" s="457">
        <v>1296014</v>
      </c>
      <c r="AA45" s="20">
        <f>SUM(Y45:Z45)</f>
        <v>11160149</v>
      </c>
      <c r="AB45" s="21">
        <f>JULIO!AD45</f>
        <v>9864135</v>
      </c>
      <c r="AC45" s="457">
        <v>1296014</v>
      </c>
      <c r="AD45" s="20">
        <f>SUM(AB45:AC45)</f>
        <v>11160149</v>
      </c>
      <c r="AE45" s="21">
        <f>JULIO!AG45</f>
        <v>9864135</v>
      </c>
      <c r="AF45" s="457">
        <v>1296014</v>
      </c>
      <c r="AG45" s="20">
        <f>SUM(AE45:AF45)</f>
        <v>11160149</v>
      </c>
      <c r="AH45" s="21">
        <f>X45-AA45</f>
        <v>13552280</v>
      </c>
      <c r="AI45" s="17">
        <f>X45-AD45</f>
        <v>13552280</v>
      </c>
      <c r="AJ45" s="18">
        <f>X45-AG45</f>
        <v>13552280</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+IF(JULIO!A46=0,"",JULIO!A46)</f>
        <v>1130107-1</v>
      </c>
      <c r="B46" s="189" t="str">
        <f>+CONCATENATE("Vigencia ",INSTRUCCIONES!$F$3)</f>
        <v>Vigencia 2014</v>
      </c>
      <c r="C46" s="456">
        <f>+ENERO!C46</f>
        <v>0</v>
      </c>
      <c r="D46" s="456">
        <f>JULIO!D46+AGOSTO!P46</f>
        <v>0</v>
      </c>
      <c r="E46" s="456">
        <f>JULIO!E46+AGOSTO!Q46</f>
        <v>0</v>
      </c>
      <c r="F46" s="170">
        <f>SUM(C46:E46)</f>
        <v>0</v>
      </c>
      <c r="G46" s="283">
        <f>JULIO!I46</f>
        <v>0</v>
      </c>
      <c r="H46" s="815">
        <v>0</v>
      </c>
      <c r="I46" s="575">
        <f>SUM(G46:H46)</f>
        <v>0</v>
      </c>
      <c r="J46" s="576">
        <f>JULIO!L46</f>
        <v>0</v>
      </c>
      <c r="K46" s="815">
        <v>0</v>
      </c>
      <c r="L46" s="170">
        <f>SUM(J46:K46)</f>
        <v>0</v>
      </c>
      <c r="M46" s="283">
        <f>F46-I46</f>
        <v>0</v>
      </c>
      <c r="N46" s="170">
        <f>F46-L46</f>
        <v>0</v>
      </c>
      <c r="O46" s="467"/>
      <c r="P46" s="455">
        <v>0</v>
      </c>
      <c r="Q46" s="458">
        <v>0</v>
      </c>
      <c r="R46" s="10"/>
      <c r="S46" s="156" t="str">
        <f>+IF(JULIO!S46=0,"",JULIO!S46)</f>
        <v>1010301-2</v>
      </c>
      <c r="T46" s="55" t="str">
        <f>+IF(JULIO!T46=0,"",JULIO!T46)</f>
        <v>Aportes Fondos Pensionales - Sin Sit. Fondos</v>
      </c>
      <c r="U46" s="29">
        <f>+ENERO!U46</f>
        <v>26693987</v>
      </c>
      <c r="V46" s="17">
        <f>JULIO!V46+AGOSTO!AL46</f>
        <v>0</v>
      </c>
      <c r="W46" s="17">
        <f>JULIO!W46+AGOSTO!AM46</f>
        <v>0</v>
      </c>
      <c r="X46" s="20">
        <f>SUM(U46:W46)</f>
        <v>26693987</v>
      </c>
      <c r="Y46" s="21">
        <f>JULIO!AA46</f>
        <v>9243800</v>
      </c>
      <c r="Z46" s="457">
        <v>0</v>
      </c>
      <c r="AA46" s="20">
        <f>SUM(Y46:Z46)</f>
        <v>9243800</v>
      </c>
      <c r="AB46" s="21">
        <f>JULIO!AD46</f>
        <v>9243800</v>
      </c>
      <c r="AC46" s="457">
        <v>0</v>
      </c>
      <c r="AD46" s="20">
        <f>SUM(AB46:AC46)</f>
        <v>9243800</v>
      </c>
      <c r="AE46" s="21">
        <f>JULIO!AG46</f>
        <v>9243800</v>
      </c>
      <c r="AF46" s="457">
        <v>0</v>
      </c>
      <c r="AG46" s="20">
        <f>SUM(AE46:AF46)</f>
        <v>9243800</v>
      </c>
      <c r="AH46" s="21">
        <f>X46-AA46</f>
        <v>17450187</v>
      </c>
      <c r="AI46" s="17">
        <f>X46-AD46</f>
        <v>17450187</v>
      </c>
      <c r="AJ46" s="18">
        <f>X46-AG46</f>
        <v>17450187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+IF(JULIO!A47=0,"",JULIO!A47)</f>
        <v>1130107-2</v>
      </c>
      <c r="B47" s="189" t="str">
        <f>+IF(JULIO!B47=0,"",JULIO!B47)</f>
        <v>Vigencias Anteriores</v>
      </c>
      <c r="C47" s="456">
        <f>+ENERO!C47</f>
        <v>0</v>
      </c>
      <c r="D47" s="456">
        <f>JULIO!D47+AGOSTO!P47</f>
        <v>0</v>
      </c>
      <c r="E47" s="456">
        <f>JULIO!E47+AGOSTO!Q47</f>
        <v>0</v>
      </c>
      <c r="F47" s="170">
        <f>SUM(C47:E47)</f>
        <v>0</v>
      </c>
      <c r="G47" s="283">
        <f>JULIO!I47</f>
        <v>0</v>
      </c>
      <c r="H47" s="815">
        <v>0</v>
      </c>
      <c r="I47" s="575">
        <f>SUM(G47:H47)</f>
        <v>0</v>
      </c>
      <c r="J47" s="576">
        <f>JULIO!L47</f>
        <v>0</v>
      </c>
      <c r="K47" s="815">
        <v>0</v>
      </c>
      <c r="L47" s="170">
        <f>SUM(J47:K47)</f>
        <v>0</v>
      </c>
      <c r="M47" s="283">
        <f>F47-I47</f>
        <v>0</v>
      </c>
      <c r="N47" s="170">
        <f>F47-L47</f>
        <v>0</v>
      </c>
      <c r="O47" s="467"/>
      <c r="P47" s="455">
        <v>0</v>
      </c>
      <c r="Q47" s="458">
        <v>0</v>
      </c>
      <c r="R47" s="10"/>
      <c r="S47" s="156" t="str">
        <f>+IF(JULIO!S47=0,"",JULIO!S47)</f>
        <v>1010301-3</v>
      </c>
      <c r="T47" s="55" t="str">
        <f>+IF(JULIO!T47=0,"",JULIO!T47)</f>
        <v xml:space="preserve">Aportes a Fondos de Cesantia - Sin Sit. de Fondos </v>
      </c>
      <c r="U47" s="29">
        <f>+ENERO!U47</f>
        <v>4995512</v>
      </c>
      <c r="V47" s="17">
        <f>JULIO!V47+AGOSTO!AL47</f>
        <v>0</v>
      </c>
      <c r="W47" s="17">
        <f>JULIO!W47+AGOSTO!AM47</f>
        <v>0</v>
      </c>
      <c r="X47" s="20">
        <f>SUM(U47:W47)</f>
        <v>4995512</v>
      </c>
      <c r="Y47" s="21">
        <f>JULIO!AA47</f>
        <v>0</v>
      </c>
      <c r="Z47" s="457">
        <v>0</v>
      </c>
      <c r="AA47" s="20">
        <f>SUM(Y47:Z47)</f>
        <v>0</v>
      </c>
      <c r="AB47" s="21">
        <f>JULIO!AD47</f>
        <v>0</v>
      </c>
      <c r="AC47" s="457">
        <v>0</v>
      </c>
      <c r="AD47" s="20">
        <f>SUM(AB47:AC47)</f>
        <v>0</v>
      </c>
      <c r="AE47" s="21">
        <f>JULIO!AG47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+IF(JULIO!A48=0,"",JULIO!A48)</f>
        <v>1130108</v>
      </c>
      <c r="B48" s="45" t="str">
        <f>+IF(JULIO!B48=0,"",JULIO!B48)</f>
        <v>MINSALUD-FOSYGA -TRAUMA MAYOR Y DESPLAZADOS</v>
      </c>
      <c r="C48" s="53">
        <f t="shared" ref="C48:N48" si="47">SUM(C49:C50)</f>
        <v>0</v>
      </c>
      <c r="D48" s="53">
        <f t="shared" si="47"/>
        <v>0</v>
      </c>
      <c r="E48" s="53">
        <f t="shared" si="47"/>
        <v>0</v>
      </c>
      <c r="F48" s="54">
        <f t="shared" si="47"/>
        <v>0</v>
      </c>
      <c r="G48" s="52">
        <f t="shared" si="47"/>
        <v>0</v>
      </c>
      <c r="H48" s="828">
        <f t="shared" si="47"/>
        <v>0</v>
      </c>
      <c r="I48" s="829">
        <f t="shared" si="47"/>
        <v>0</v>
      </c>
      <c r="J48" s="830">
        <f t="shared" si="47"/>
        <v>0</v>
      </c>
      <c r="K48" s="828">
        <f t="shared" si="47"/>
        <v>0</v>
      </c>
      <c r="L48" s="54">
        <f t="shared" si="47"/>
        <v>0</v>
      </c>
      <c r="M48" s="52">
        <f t="shared" si="47"/>
        <v>0</v>
      </c>
      <c r="N48" s="54">
        <f t="shared" si="47"/>
        <v>0</v>
      </c>
      <c r="P48" s="52">
        <f>SUM(P49:P50)</f>
        <v>0</v>
      </c>
      <c r="Q48" s="54">
        <f>SUM(Q49:Q50)</f>
        <v>0</v>
      </c>
      <c r="R48" s="10"/>
      <c r="S48" s="156" t="str">
        <f>+IF(JULIO!S48=0,"",JULIO!S48)</f>
        <v>1010301-4</v>
      </c>
      <c r="T48" s="55" t="str">
        <f>+IF(JULIO!T48=0,"",JULIO!T48)</f>
        <v xml:space="preserve">Aporte a ARL. - Sin Sit. de Fondos </v>
      </c>
      <c r="U48" s="29">
        <f>+ENERO!U48</f>
        <v>0</v>
      </c>
      <c r="V48" s="17">
        <f>JULIO!V48+AGOSTO!AL48</f>
        <v>0</v>
      </c>
      <c r="W48" s="17">
        <f>JULIO!W48+AGOSTO!AM48</f>
        <v>0</v>
      </c>
      <c r="X48" s="20">
        <f>SUM(U48:W48)</f>
        <v>0</v>
      </c>
      <c r="Y48" s="21">
        <f>JULIO!AA48</f>
        <v>0</v>
      </c>
      <c r="Z48" s="457">
        <v>0</v>
      </c>
      <c r="AA48" s="20">
        <f>SUM(Y48:Z48)</f>
        <v>0</v>
      </c>
      <c r="AB48" s="21">
        <f>JULIO!AD48</f>
        <v>0</v>
      </c>
      <c r="AC48" s="457">
        <v>0</v>
      </c>
      <c r="AD48" s="20">
        <f>SUM(AB48:AC48)</f>
        <v>0</v>
      </c>
      <c r="AE48" s="21">
        <f>JULIO!AG48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+IF(JULIO!A49=0,"",JULIO!A49)</f>
        <v>1130108-1</v>
      </c>
      <c r="B49" s="189" t="str">
        <f>+CONCATENATE("Vigencia ",INSTRUCCIONES!$F$3)</f>
        <v>Vigencia 2014</v>
      </c>
      <c r="C49" s="456">
        <f>+ENERO!C49</f>
        <v>0</v>
      </c>
      <c r="D49" s="456">
        <f>JULIO!D49+AGOSTO!P49</f>
        <v>0</v>
      </c>
      <c r="E49" s="456">
        <f>JULIO!E49+AGOSTO!Q49</f>
        <v>0</v>
      </c>
      <c r="F49" s="170">
        <f>SUM(C49:E49)</f>
        <v>0</v>
      </c>
      <c r="G49" s="283">
        <f>JULIO!I49</f>
        <v>0</v>
      </c>
      <c r="H49" s="815">
        <v>0</v>
      </c>
      <c r="I49" s="575">
        <f>SUM(G49:H49)</f>
        <v>0</v>
      </c>
      <c r="J49" s="576">
        <f>JULIO!L49</f>
        <v>0</v>
      </c>
      <c r="K49" s="815">
        <v>0</v>
      </c>
      <c r="L49" s="170">
        <f>SUM(J49:K49)</f>
        <v>0</v>
      </c>
      <c r="M49" s="283">
        <f>F49-I49</f>
        <v>0</v>
      </c>
      <c r="N49" s="170">
        <f>F49-L49</f>
        <v>0</v>
      </c>
      <c r="O49" s="467"/>
      <c r="P49" s="455">
        <v>0</v>
      </c>
      <c r="Q49" s="458">
        <v>0</v>
      </c>
      <c r="R49" s="10"/>
      <c r="S49" s="155">
        <f>+IF(JULIO!S49=0,"",JULIO!S49)</f>
        <v>1010302</v>
      </c>
      <c r="T49" s="159" t="str">
        <f>+IF(JULIO!T49=0,"",JULIO!T49)</f>
        <v>Contribuciones - Otros</v>
      </c>
      <c r="U49" s="29">
        <f t="shared" ref="U49:AJ49" si="48">SUM(U50:U54)</f>
        <v>63246028</v>
      </c>
      <c r="V49" s="17">
        <f t="shared" si="48"/>
        <v>0</v>
      </c>
      <c r="W49" s="17">
        <f t="shared" si="48"/>
        <v>0</v>
      </c>
      <c r="X49" s="20">
        <f t="shared" si="48"/>
        <v>63246028</v>
      </c>
      <c r="Y49" s="21">
        <f t="shared" si="48"/>
        <v>52256058</v>
      </c>
      <c r="Z49" s="169">
        <f t="shared" si="48"/>
        <v>3053845</v>
      </c>
      <c r="AA49" s="20">
        <f t="shared" si="48"/>
        <v>55309903</v>
      </c>
      <c r="AB49" s="21">
        <f t="shared" si="48"/>
        <v>52256058</v>
      </c>
      <c r="AC49" s="169">
        <f t="shared" si="48"/>
        <v>3053845</v>
      </c>
      <c r="AD49" s="20">
        <f t="shared" si="48"/>
        <v>55309903</v>
      </c>
      <c r="AE49" s="21">
        <f t="shared" si="48"/>
        <v>48960958</v>
      </c>
      <c r="AF49" s="169">
        <f t="shared" si="48"/>
        <v>3295100</v>
      </c>
      <c r="AG49" s="20">
        <f t="shared" si="48"/>
        <v>52256058</v>
      </c>
      <c r="AH49" s="21">
        <f t="shared" si="48"/>
        <v>7936125</v>
      </c>
      <c r="AI49" s="17">
        <f t="shared" si="48"/>
        <v>7936125</v>
      </c>
      <c r="AJ49" s="18">
        <f t="shared" si="48"/>
        <v>10989970</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+IF(JULIO!A50=0,"",JULIO!A50)</f>
        <v>1130108-2</v>
      </c>
      <c r="B50" s="189" t="str">
        <f>+IF(JULIO!B50=0,"",JULIO!B50)</f>
        <v>Vigencias Anteriores</v>
      </c>
      <c r="C50" s="456">
        <f>+ENERO!C50</f>
        <v>0</v>
      </c>
      <c r="D50" s="456">
        <f>JULIO!D50+AGOSTO!P50</f>
        <v>0</v>
      </c>
      <c r="E50" s="456">
        <f>JULIO!E50+AGOSTO!Q50</f>
        <v>0</v>
      </c>
      <c r="F50" s="170">
        <f>SUM(C50:E50)</f>
        <v>0</v>
      </c>
      <c r="G50" s="283">
        <f>JULIO!I50</f>
        <v>0</v>
      </c>
      <c r="H50" s="815">
        <v>0</v>
      </c>
      <c r="I50" s="575">
        <f>SUM(G50:H50)</f>
        <v>0</v>
      </c>
      <c r="J50" s="576">
        <f>JULIO!L50</f>
        <v>0</v>
      </c>
      <c r="K50" s="815">
        <v>0</v>
      </c>
      <c r="L50" s="170">
        <f>SUM(J50:K50)</f>
        <v>0</v>
      </c>
      <c r="M50" s="283">
        <f>F50-I50</f>
        <v>0</v>
      </c>
      <c r="N50" s="170">
        <f>F50-L50</f>
        <v>0</v>
      </c>
      <c r="O50" s="467"/>
      <c r="P50" s="455">
        <v>0</v>
      </c>
      <c r="Q50" s="458">
        <v>0</v>
      </c>
      <c r="R50" s="10"/>
      <c r="S50" s="156" t="str">
        <f>+IF(JULIO!S50=0,"",JULIO!S50)</f>
        <v>1010302-1</v>
      </c>
      <c r="T50" s="55" t="str">
        <f>+IF(JULIO!T50=0,"",JULIO!T50)</f>
        <v>Aportes a E.P.S.- Con sit. Fondos</v>
      </c>
      <c r="U50" s="29">
        <f>+ENERO!U50</f>
        <v>4719263</v>
      </c>
      <c r="V50" s="17">
        <f>JULIO!V50+AGOSTO!AL50</f>
        <v>0</v>
      </c>
      <c r="W50" s="17">
        <f>JULIO!W50+AGOSTO!AM50</f>
        <v>0</v>
      </c>
      <c r="X50" s="20">
        <f t="shared" ref="X50:X55" si="49">SUM(U50:W50)</f>
        <v>4719263</v>
      </c>
      <c r="Y50" s="21">
        <f>JULIO!AA50</f>
        <v>4318160</v>
      </c>
      <c r="Z50" s="457">
        <v>0</v>
      </c>
      <c r="AA50" s="20">
        <f t="shared" ref="AA50:AA55" si="50">SUM(Y50:Z50)</f>
        <v>4318160</v>
      </c>
      <c r="AB50" s="21">
        <f>JULIO!AD50</f>
        <v>4318160</v>
      </c>
      <c r="AC50" s="457">
        <v>0</v>
      </c>
      <c r="AD50" s="20">
        <f t="shared" ref="AD50:AD55" si="51">SUM(AB50:AC50)</f>
        <v>4318160</v>
      </c>
      <c r="AE50" s="21">
        <f>JULIO!AG50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+IF(JULIO!A51=0,"",JULIO!A51)</f>
        <v>1130109</v>
      </c>
      <c r="B51" s="45" t="str">
        <f>+IF(JULIO!B51=0,"",JULIO!B51)</f>
        <v>EPS - PLANES COMPLEMENTARIOS</v>
      </c>
      <c r="C51" s="53">
        <f t="shared" ref="C51:N51" si="56">SUM(C52:C53)</f>
        <v>0</v>
      </c>
      <c r="D51" s="53">
        <f t="shared" si="56"/>
        <v>0</v>
      </c>
      <c r="E51" s="53">
        <f t="shared" si="56"/>
        <v>0</v>
      </c>
      <c r="F51" s="54">
        <f t="shared" si="56"/>
        <v>0</v>
      </c>
      <c r="G51" s="52">
        <f t="shared" si="56"/>
        <v>0</v>
      </c>
      <c r="H51" s="828">
        <f t="shared" si="56"/>
        <v>0</v>
      </c>
      <c r="I51" s="829">
        <f t="shared" si="56"/>
        <v>0</v>
      </c>
      <c r="J51" s="830">
        <f t="shared" si="56"/>
        <v>0</v>
      </c>
      <c r="K51" s="828">
        <f t="shared" si="56"/>
        <v>0</v>
      </c>
      <c r="L51" s="54">
        <f t="shared" si="56"/>
        <v>0</v>
      </c>
      <c r="M51" s="52">
        <f t="shared" si="56"/>
        <v>0</v>
      </c>
      <c r="N51" s="54">
        <f t="shared" si="56"/>
        <v>0</v>
      </c>
      <c r="P51" s="52">
        <f>SUM(P52:P53)</f>
        <v>0</v>
      </c>
      <c r="Q51" s="54">
        <f>SUM(Q52:Q53)</f>
        <v>0</v>
      </c>
      <c r="R51" s="10"/>
      <c r="S51" s="156" t="str">
        <f>+IF(JULIO!S51=0,"",JULIO!S51)</f>
        <v>1010302-2</v>
      </c>
      <c r="T51" s="55" t="str">
        <f>+IF(JULIO!T51=0,"",JULIO!T51)</f>
        <v>Aportes Fondos Pensionales - Con Sit. Fondos</v>
      </c>
      <c r="U51" s="29">
        <f>+ENERO!U51</f>
        <v>14856625</v>
      </c>
      <c r="V51" s="17">
        <f>JULIO!V51+AGOSTO!AL51</f>
        <v>0</v>
      </c>
      <c r="W51" s="17">
        <f>JULIO!W51+AGOSTO!AM51</f>
        <v>0</v>
      </c>
      <c r="X51" s="20">
        <f t="shared" si="49"/>
        <v>14856625</v>
      </c>
      <c r="Y51" s="21">
        <f>JULIO!AA51</f>
        <v>11517560</v>
      </c>
      <c r="Z51" s="457">
        <v>1632147</v>
      </c>
      <c r="AA51" s="20">
        <f t="shared" si="50"/>
        <v>13149707</v>
      </c>
      <c r="AB51" s="21">
        <f>JULIO!AD51</f>
        <v>11517560</v>
      </c>
      <c r="AC51" s="457">
        <v>1632147</v>
      </c>
      <c r="AD51" s="20">
        <f t="shared" si="51"/>
        <v>13149707</v>
      </c>
      <c r="AE51" s="21">
        <f>JULIO!AG51</f>
        <v>9604660</v>
      </c>
      <c r="AF51" s="457">
        <v>1912900</v>
      </c>
      <c r="AG51" s="20">
        <f t="shared" si="52"/>
        <v>11517560</v>
      </c>
      <c r="AH51" s="21">
        <f t="shared" si="53"/>
        <v>1706918</v>
      </c>
      <c r="AI51" s="17">
        <f t="shared" si="54"/>
        <v>1706918</v>
      </c>
      <c r="AJ51" s="18">
        <f t="shared" si="55"/>
        <v>3339065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+IF(JULIO!A52=0,"",JULIO!A52)</f>
        <v>1130109-1</v>
      </c>
      <c r="B52" s="189" t="str">
        <f>+CONCATENATE("Vigencia ",INSTRUCCIONES!$F$3)</f>
        <v>Vigencia 2014</v>
      </c>
      <c r="C52" s="456">
        <f>+ENERO!C52</f>
        <v>0</v>
      </c>
      <c r="D52" s="456">
        <f>JULIO!D52+AGOSTO!P52</f>
        <v>0</v>
      </c>
      <c r="E52" s="456">
        <f>JULIO!E52+AGOSTO!Q52</f>
        <v>0</v>
      </c>
      <c r="F52" s="170">
        <f>SUM(C52:E52)</f>
        <v>0</v>
      </c>
      <c r="G52" s="283">
        <f>JULIO!I52</f>
        <v>0</v>
      </c>
      <c r="H52" s="815">
        <v>0</v>
      </c>
      <c r="I52" s="575">
        <f>SUM(G52:H52)</f>
        <v>0</v>
      </c>
      <c r="J52" s="576">
        <f>JULIO!L52</f>
        <v>0</v>
      </c>
      <c r="K52" s="815">
        <v>0</v>
      </c>
      <c r="L52" s="170">
        <f>SUM(J52:K52)</f>
        <v>0</v>
      </c>
      <c r="M52" s="283">
        <f>F52-I52</f>
        <v>0</v>
      </c>
      <c r="N52" s="170">
        <f>F52-L52</f>
        <v>0</v>
      </c>
      <c r="O52" s="467"/>
      <c r="P52" s="455">
        <v>0</v>
      </c>
      <c r="Q52" s="458">
        <v>0</v>
      </c>
      <c r="R52" s="10"/>
      <c r="S52" s="156" t="str">
        <f>+IF(JULIO!S52=0,"",JULIO!S52)</f>
        <v>1010302-3</v>
      </c>
      <c r="T52" s="55" t="str">
        <f>+IF(JULIO!T52=0,"",JULIO!T52)</f>
        <v xml:space="preserve">Aportes a Fondos de Cesantia - Con Sit. de Fondos </v>
      </c>
      <c r="U52" s="29">
        <f>+ENERO!U52</f>
        <v>26296821</v>
      </c>
      <c r="V52" s="17">
        <f>JULIO!V52+AGOSTO!AL52</f>
        <v>0</v>
      </c>
      <c r="W52" s="17">
        <f>JULIO!W52+AGOSTO!AM52</f>
        <v>0</v>
      </c>
      <c r="X52" s="20">
        <f t="shared" si="49"/>
        <v>26296821</v>
      </c>
      <c r="Y52" s="21">
        <f>JULIO!AA52</f>
        <v>25977938</v>
      </c>
      <c r="Z52" s="457">
        <v>0</v>
      </c>
      <c r="AA52" s="20">
        <f t="shared" si="50"/>
        <v>25977938</v>
      </c>
      <c r="AB52" s="21">
        <f>JULIO!AD52</f>
        <v>25977938</v>
      </c>
      <c r="AC52" s="457">
        <v>0</v>
      </c>
      <c r="AD52" s="20">
        <f t="shared" si="51"/>
        <v>25977938</v>
      </c>
      <c r="AE52" s="21">
        <f>JULIO!AG52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+IF(JULIO!A53=0,"",JULIO!A53)</f>
        <v>1130109-2</v>
      </c>
      <c r="B53" s="189" t="str">
        <f>+IF(JULIO!B53=0,"",JULIO!B53)</f>
        <v>Vigencias Anteriores</v>
      </c>
      <c r="C53" s="456">
        <f>+ENERO!C53</f>
        <v>0</v>
      </c>
      <c r="D53" s="456">
        <f>JULIO!D53+AGOSTO!P53</f>
        <v>0</v>
      </c>
      <c r="E53" s="456">
        <f>JULIO!E53+AGOSTO!Q53</f>
        <v>0</v>
      </c>
      <c r="F53" s="170">
        <f>SUM(C53:E53)</f>
        <v>0</v>
      </c>
      <c r="G53" s="283">
        <f>JULIO!I53</f>
        <v>0</v>
      </c>
      <c r="H53" s="815">
        <v>0</v>
      </c>
      <c r="I53" s="575">
        <f>SUM(G53:H53)</f>
        <v>0</v>
      </c>
      <c r="J53" s="576">
        <f>JULIO!L53</f>
        <v>0</v>
      </c>
      <c r="K53" s="815">
        <v>0</v>
      </c>
      <c r="L53" s="170">
        <f>SUM(J53:K53)</f>
        <v>0</v>
      </c>
      <c r="M53" s="283">
        <f>F53-I53</f>
        <v>0</v>
      </c>
      <c r="N53" s="170">
        <f>F53-L53</f>
        <v>0</v>
      </c>
      <c r="O53" s="467"/>
      <c r="P53" s="455">
        <v>0</v>
      </c>
      <c r="Q53" s="458">
        <v>0</v>
      </c>
      <c r="R53" s="10"/>
      <c r="S53" s="156" t="str">
        <f>+IF(JULIO!S53=0,"",JULIO!S53)</f>
        <v>1010302-4</v>
      </c>
      <c r="T53" s="55" t="str">
        <f>+IF(JULIO!T53=0,"",JULIO!T53)</f>
        <v>Aporte a ARL. - Con Sit. de Fondos</v>
      </c>
      <c r="U53" s="29">
        <f>+ENERO!U53</f>
        <v>1807452</v>
      </c>
      <c r="V53" s="17">
        <f>JULIO!V53+AGOSTO!AL53</f>
        <v>0</v>
      </c>
      <c r="W53" s="17">
        <f>JULIO!W53+AGOSTO!AM53</f>
        <v>0</v>
      </c>
      <c r="X53" s="20">
        <f t="shared" si="49"/>
        <v>1807452</v>
      </c>
      <c r="Y53" s="21">
        <f>JULIO!AA53</f>
        <v>1788400</v>
      </c>
      <c r="Z53" s="457">
        <v>0</v>
      </c>
      <c r="AA53" s="20">
        <f t="shared" si="50"/>
        <v>1788400</v>
      </c>
      <c r="AB53" s="21">
        <f>JULIO!AD53</f>
        <v>1788400</v>
      </c>
      <c r="AC53" s="457">
        <v>0</v>
      </c>
      <c r="AD53" s="20">
        <f t="shared" si="51"/>
        <v>1788400</v>
      </c>
      <c r="AE53" s="21">
        <f>JULIO!AG53</f>
        <v>1788400</v>
      </c>
      <c r="AF53" s="457">
        <v>0</v>
      </c>
      <c r="AG53" s="20">
        <f t="shared" si="52"/>
        <v>1788400</v>
      </c>
      <c r="AH53" s="21">
        <f t="shared" si="53"/>
        <v>19052</v>
      </c>
      <c r="AI53" s="17">
        <f t="shared" si="54"/>
        <v>19052</v>
      </c>
      <c r="AJ53" s="18">
        <f t="shared" si="55"/>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+IF(JULIO!A54=0,"",JULIO!A54)</f>
        <v>1130110</v>
      </c>
      <c r="B54" s="45" t="str">
        <f>+IF(JULIO!B54=0,"",JULIO!B54)</f>
        <v>EMPRESAS MEDICINA PREPAGADA</v>
      </c>
      <c r="C54" s="53">
        <f t="shared" ref="C54:N54" si="57">SUM(C55:C56)</f>
        <v>0</v>
      </c>
      <c r="D54" s="53">
        <f t="shared" si="57"/>
        <v>0</v>
      </c>
      <c r="E54" s="53">
        <f t="shared" si="57"/>
        <v>0</v>
      </c>
      <c r="F54" s="54">
        <f t="shared" si="57"/>
        <v>0</v>
      </c>
      <c r="G54" s="52">
        <f t="shared" si="57"/>
        <v>0</v>
      </c>
      <c r="H54" s="828">
        <f t="shared" si="57"/>
        <v>0</v>
      </c>
      <c r="I54" s="829">
        <f t="shared" si="57"/>
        <v>0</v>
      </c>
      <c r="J54" s="830">
        <f t="shared" si="57"/>
        <v>0</v>
      </c>
      <c r="K54" s="828">
        <f t="shared" si="57"/>
        <v>0</v>
      </c>
      <c r="L54" s="54">
        <f t="shared" si="57"/>
        <v>0</v>
      </c>
      <c r="M54" s="52">
        <f t="shared" si="57"/>
        <v>0</v>
      </c>
      <c r="N54" s="54">
        <f t="shared" si="57"/>
        <v>0</v>
      </c>
      <c r="P54" s="52">
        <f>SUM(P55:P56)</f>
        <v>0</v>
      </c>
      <c r="Q54" s="54">
        <f>SUM(Q55:Q56)</f>
        <v>0</v>
      </c>
      <c r="R54" s="10"/>
      <c r="S54" s="156" t="str">
        <f>+IF(JULIO!S54=0,"",JULIO!S54)</f>
        <v>1010302-5</v>
      </c>
      <c r="T54" s="55" t="str">
        <f>+IF(JULIO!T54=0,"",JULIO!T54)</f>
        <v>Aporte a Caja Compensación Familiar</v>
      </c>
      <c r="U54" s="29">
        <f>+ENERO!U54</f>
        <v>15565867</v>
      </c>
      <c r="V54" s="17">
        <f>JULIO!V54+AGOSTO!AL54</f>
        <v>0</v>
      </c>
      <c r="W54" s="17">
        <f>JULIO!W54+AGOSTO!AM54</f>
        <v>0</v>
      </c>
      <c r="X54" s="20">
        <f t="shared" si="49"/>
        <v>15565867</v>
      </c>
      <c r="Y54" s="21">
        <f>JULIO!AA54</f>
        <v>8654000</v>
      </c>
      <c r="Z54" s="457">
        <v>1421698</v>
      </c>
      <c r="AA54" s="20">
        <f t="shared" si="50"/>
        <v>10075698</v>
      </c>
      <c r="AB54" s="21">
        <f>JULIO!AD54</f>
        <v>8654000</v>
      </c>
      <c r="AC54" s="457">
        <v>1421698</v>
      </c>
      <c r="AD54" s="20">
        <f t="shared" si="51"/>
        <v>10075698</v>
      </c>
      <c r="AE54" s="21">
        <f>JULIO!AG54</f>
        <v>7271800</v>
      </c>
      <c r="AF54" s="457">
        <v>1382200</v>
      </c>
      <c r="AG54" s="20">
        <f t="shared" si="52"/>
        <v>8654000</v>
      </c>
      <c r="AH54" s="21">
        <f t="shared" si="53"/>
        <v>5490169</v>
      </c>
      <c r="AI54" s="17">
        <f t="shared" si="54"/>
        <v>5490169</v>
      </c>
      <c r="AJ54" s="18">
        <f t="shared" si="55"/>
        <v>6911867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+IF(JULIO!A55=0,"",JULIO!A55)</f>
        <v>1130110-1</v>
      </c>
      <c r="B55" s="189" t="str">
        <f>+CONCATENATE("Vigencia ",INSTRUCCIONES!$F$3)</f>
        <v>Vigencia 2014</v>
      </c>
      <c r="C55" s="456">
        <f>+ENERO!C55</f>
        <v>0</v>
      </c>
      <c r="D55" s="456">
        <f>JULIO!D55+AGOSTO!P55</f>
        <v>0</v>
      </c>
      <c r="E55" s="456">
        <f>JULIO!E55+AGOSTO!Q55</f>
        <v>0</v>
      </c>
      <c r="F55" s="170">
        <f>SUM(C55:E55)</f>
        <v>0</v>
      </c>
      <c r="G55" s="283">
        <f>JULIO!I55</f>
        <v>0</v>
      </c>
      <c r="H55" s="815">
        <v>0</v>
      </c>
      <c r="I55" s="575">
        <f>SUM(G55:H55)</f>
        <v>0</v>
      </c>
      <c r="J55" s="576">
        <f>JULIO!L55</f>
        <v>0</v>
      </c>
      <c r="K55" s="815">
        <v>0</v>
      </c>
      <c r="L55" s="170">
        <f>SUM(J55:K55)</f>
        <v>0</v>
      </c>
      <c r="M55" s="283">
        <f>F55-I55</f>
        <v>0</v>
      </c>
      <c r="N55" s="170">
        <f>F55-L55</f>
        <v>0</v>
      </c>
      <c r="O55" s="467"/>
      <c r="P55" s="455">
        <v>0</v>
      </c>
      <c r="Q55" s="458">
        <v>0</v>
      </c>
      <c r="R55" s="10"/>
      <c r="S55" s="155">
        <f>+IF(JULIO!S55=0,"",JULIO!S55)</f>
        <v>1010399</v>
      </c>
      <c r="T55" s="159" t="str">
        <f>+IF(JULIO!T55=0,"",JULIO!T55)</f>
        <v>Vigencias Anteriores</v>
      </c>
      <c r="U55" s="29">
        <f>+ENERO!U55</f>
        <v>0</v>
      </c>
      <c r="V55" s="17">
        <f>JULIO!V55+AGOSTO!AL55</f>
        <v>487148</v>
      </c>
      <c r="W55" s="17">
        <f>JULIO!W55+AGOSTO!AM55</f>
        <v>0</v>
      </c>
      <c r="X55" s="20">
        <f t="shared" si="49"/>
        <v>487148</v>
      </c>
      <c r="Y55" s="21">
        <f>JULIO!AA55</f>
        <v>487148</v>
      </c>
      <c r="Z55" s="457">
        <v>0</v>
      </c>
      <c r="AA55" s="20">
        <f t="shared" si="50"/>
        <v>487148</v>
      </c>
      <c r="AB55" s="21">
        <f>JULIO!AD55</f>
        <v>487148</v>
      </c>
      <c r="AC55" s="457">
        <v>0</v>
      </c>
      <c r="AD55" s="20">
        <f t="shared" si="51"/>
        <v>487148</v>
      </c>
      <c r="AE55" s="21">
        <f>JULIO!AG55</f>
        <v>487148</v>
      </c>
      <c r="AF55" s="457">
        <v>0</v>
      </c>
      <c r="AG55" s="20">
        <f t="shared" si="52"/>
        <v>487148</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+IF(JULIO!A56=0,"",JULIO!A56)</f>
        <v>1130110-2</v>
      </c>
      <c r="B56" s="189" t="str">
        <f>+IF(JULIO!B56=0,"",JULIO!B56)</f>
        <v>Vigencias Anteriores</v>
      </c>
      <c r="C56" s="456">
        <f>+ENERO!C56</f>
        <v>0</v>
      </c>
      <c r="D56" s="456">
        <f>JULIO!D56+AGOSTO!P56</f>
        <v>0</v>
      </c>
      <c r="E56" s="456">
        <f>JULIO!E56+AGOSTO!Q56</f>
        <v>0</v>
      </c>
      <c r="F56" s="170">
        <f>SUM(C56:E56)</f>
        <v>0</v>
      </c>
      <c r="G56" s="283">
        <f>JULIO!I56</f>
        <v>0</v>
      </c>
      <c r="H56" s="815">
        <v>0</v>
      </c>
      <c r="I56" s="575">
        <f>SUM(G56:H56)</f>
        <v>0</v>
      </c>
      <c r="J56" s="576">
        <f>JULIO!L56</f>
        <v>0</v>
      </c>
      <c r="K56" s="815">
        <v>0</v>
      </c>
      <c r="L56" s="170">
        <f>SUM(J56:K56)</f>
        <v>0</v>
      </c>
      <c r="M56" s="283">
        <f>F56-I56</f>
        <v>0</v>
      </c>
      <c r="N56" s="170">
        <f>F56-L56</f>
        <v>0</v>
      </c>
      <c r="O56" s="467"/>
      <c r="P56" s="455">
        <v>0</v>
      </c>
      <c r="Q56" s="458">
        <v>0</v>
      </c>
      <c r="R56" s="10"/>
      <c r="S56" s="448" t="str">
        <f>+IF(JULIO!S56=0,"",JULIO!S56)</f>
        <v/>
      </c>
      <c r="T56" s="649" t="str">
        <f>+IF(JULIO!T56=0,"",JULIO!T56)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+IF(JULIO!A57=0,"",JULIO!A57)</f>
        <v>1130111</v>
      </c>
      <c r="B57" s="45" t="str">
        <f>+IF(JULIO!B57=0,"",JULIO!B57)</f>
        <v>IPS PRIVADAS</v>
      </c>
      <c r="C57" s="53">
        <f t="shared" ref="C57:N57" si="58">SUM(C58:C59)</f>
        <v>0</v>
      </c>
      <c r="D57" s="53">
        <f t="shared" si="58"/>
        <v>0</v>
      </c>
      <c r="E57" s="53">
        <f t="shared" si="58"/>
        <v>0</v>
      </c>
      <c r="F57" s="54">
        <f t="shared" si="58"/>
        <v>0</v>
      </c>
      <c r="G57" s="52">
        <f t="shared" si="58"/>
        <v>0</v>
      </c>
      <c r="H57" s="828">
        <f t="shared" si="58"/>
        <v>0</v>
      </c>
      <c r="I57" s="829">
        <f t="shared" si="58"/>
        <v>0</v>
      </c>
      <c r="J57" s="830">
        <f t="shared" si="58"/>
        <v>0</v>
      </c>
      <c r="K57" s="828">
        <f t="shared" si="58"/>
        <v>0</v>
      </c>
      <c r="L57" s="54">
        <f t="shared" si="58"/>
        <v>0</v>
      </c>
      <c r="M57" s="52">
        <f t="shared" si="58"/>
        <v>0</v>
      </c>
      <c r="N57" s="54">
        <f t="shared" si="58"/>
        <v>0</v>
      </c>
      <c r="P57" s="52">
        <f>SUM(P58:P59)</f>
        <v>0</v>
      </c>
      <c r="Q57" s="54">
        <f>SUM(Q58:Q59)</f>
        <v>0</v>
      </c>
      <c r="R57" s="10"/>
      <c r="S57" s="34">
        <f>+IF(JULIO!S57=0,"",JULIO!S57)</f>
        <v>1010400</v>
      </c>
      <c r="T57" s="158" t="str">
        <f>+IF(JULIO!T57=0,"",JULIO!T57)</f>
        <v>Contribuciones Inherentes nómina del Sector Publico</v>
      </c>
      <c r="U57" s="157">
        <f t="shared" ref="U57:AJ57" si="59">U58+U61</f>
        <v>19457334</v>
      </c>
      <c r="V57" s="144">
        <f t="shared" si="59"/>
        <v>0</v>
      </c>
      <c r="W57" s="144">
        <f t="shared" si="59"/>
        <v>0</v>
      </c>
      <c r="X57" s="152">
        <f t="shared" si="59"/>
        <v>19457334</v>
      </c>
      <c r="Y57" s="151">
        <f t="shared" si="59"/>
        <v>10486100</v>
      </c>
      <c r="Z57" s="144">
        <f t="shared" si="59"/>
        <v>1576586</v>
      </c>
      <c r="AA57" s="152">
        <f t="shared" si="59"/>
        <v>12062686</v>
      </c>
      <c r="AB57" s="151">
        <f t="shared" si="59"/>
        <v>10486100</v>
      </c>
      <c r="AC57" s="144">
        <f t="shared" si="59"/>
        <v>1576586</v>
      </c>
      <c r="AD57" s="152">
        <f t="shared" si="59"/>
        <v>12062686</v>
      </c>
      <c r="AE57" s="151">
        <f t="shared" si="59"/>
        <v>9018700</v>
      </c>
      <c r="AF57" s="144">
        <f t="shared" si="59"/>
        <v>1467400</v>
      </c>
      <c r="AG57" s="152">
        <f t="shared" si="59"/>
        <v>10486100</v>
      </c>
      <c r="AH57" s="151">
        <f t="shared" si="59"/>
        <v>7394648</v>
      </c>
      <c r="AI57" s="144">
        <f t="shared" si="59"/>
        <v>7394648</v>
      </c>
      <c r="AJ57" s="153">
        <f t="shared" si="59"/>
        <v>8971234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+IF(JULIO!A58=0,"",JULIO!A58)</f>
        <v>1130111-1</v>
      </c>
      <c r="B58" s="189" t="str">
        <f>+CONCATENATE("Vigencia ",INSTRUCCIONES!$F$3)</f>
        <v>Vigencia 2014</v>
      </c>
      <c r="C58" s="456">
        <f>+ENERO!C58</f>
        <v>0</v>
      </c>
      <c r="D58" s="456">
        <f>JULIO!D58+AGOSTO!P58</f>
        <v>0</v>
      </c>
      <c r="E58" s="456">
        <f>JULIO!E58+AGOSTO!Q58</f>
        <v>0</v>
      </c>
      <c r="F58" s="170">
        <f>SUM(C58:E58)</f>
        <v>0</v>
      </c>
      <c r="G58" s="283">
        <f>JULIO!I58</f>
        <v>0</v>
      </c>
      <c r="H58" s="815">
        <v>0</v>
      </c>
      <c r="I58" s="575">
        <f>SUM(G58:H58)</f>
        <v>0</v>
      </c>
      <c r="J58" s="576">
        <f>JULIO!L58</f>
        <v>0</v>
      </c>
      <c r="K58" s="815">
        <v>0</v>
      </c>
      <c r="L58" s="170">
        <f>SUM(J58:K58)</f>
        <v>0</v>
      </c>
      <c r="M58" s="283">
        <f>F58-I58</f>
        <v>0</v>
      </c>
      <c r="N58" s="170">
        <f>F58-L58</f>
        <v>0</v>
      </c>
      <c r="O58" s="467"/>
      <c r="P58" s="455">
        <v>0</v>
      </c>
      <c r="Q58" s="458">
        <v>0</v>
      </c>
      <c r="R58" s="10"/>
      <c r="S58" s="155">
        <f>+IF(JULIO!S58=0,"",JULIO!S58)</f>
        <v>1010402</v>
      </c>
      <c r="T58" s="159" t="str">
        <f>+IF(JULIO!T58=0,"",JULIO!T58)</f>
        <v>Contribuciones - Otros</v>
      </c>
      <c r="U58" s="29">
        <f t="shared" ref="U58:AJ58" si="60">SUM(U59:U60)</f>
        <v>19457334</v>
      </c>
      <c r="V58" s="17">
        <f t="shared" si="60"/>
        <v>0</v>
      </c>
      <c r="W58" s="17">
        <f t="shared" si="60"/>
        <v>0</v>
      </c>
      <c r="X58" s="20">
        <f t="shared" si="60"/>
        <v>19457334</v>
      </c>
      <c r="Y58" s="21">
        <f t="shared" si="60"/>
        <v>10486100</v>
      </c>
      <c r="Z58" s="169">
        <f t="shared" si="60"/>
        <v>1576586</v>
      </c>
      <c r="AA58" s="20">
        <f t="shared" si="60"/>
        <v>12062686</v>
      </c>
      <c r="AB58" s="21">
        <f t="shared" si="60"/>
        <v>10486100</v>
      </c>
      <c r="AC58" s="169">
        <f t="shared" si="60"/>
        <v>1576586</v>
      </c>
      <c r="AD58" s="20">
        <f t="shared" si="60"/>
        <v>12062686</v>
      </c>
      <c r="AE58" s="21">
        <f t="shared" si="60"/>
        <v>9018700</v>
      </c>
      <c r="AF58" s="169">
        <f t="shared" si="60"/>
        <v>1467400</v>
      </c>
      <c r="AG58" s="20">
        <f t="shared" si="60"/>
        <v>10486100</v>
      </c>
      <c r="AH58" s="21">
        <f t="shared" si="60"/>
        <v>7394648</v>
      </c>
      <c r="AI58" s="17">
        <f t="shared" si="60"/>
        <v>7394648</v>
      </c>
      <c r="AJ58" s="18">
        <f t="shared" si="60"/>
        <v>8971234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+IF(JULIO!A59=0,"",JULIO!A59)</f>
        <v>1130111-2</v>
      </c>
      <c r="B59" s="189" t="str">
        <f>+IF(JULIO!B59=0,"",JULIO!B59)</f>
        <v>Vigencias Anteriores</v>
      </c>
      <c r="C59" s="456">
        <f>+ENERO!C59</f>
        <v>0</v>
      </c>
      <c r="D59" s="456">
        <f>JULIO!D59+AGOSTO!P59</f>
        <v>0</v>
      </c>
      <c r="E59" s="456">
        <f>JULIO!E59+AGOSTO!Q59</f>
        <v>0</v>
      </c>
      <c r="F59" s="170">
        <f>SUM(C59:E59)</f>
        <v>0</v>
      </c>
      <c r="G59" s="283">
        <f>JULIO!I59</f>
        <v>0</v>
      </c>
      <c r="H59" s="815">
        <v>0</v>
      </c>
      <c r="I59" s="575">
        <f>SUM(G59:H59)</f>
        <v>0</v>
      </c>
      <c r="J59" s="576">
        <f>JULIO!L59</f>
        <v>0</v>
      </c>
      <c r="K59" s="815">
        <v>0</v>
      </c>
      <c r="L59" s="170">
        <f>SUM(J59:K59)</f>
        <v>0</v>
      </c>
      <c r="M59" s="283">
        <f>F59-I59</f>
        <v>0</v>
      </c>
      <c r="N59" s="170">
        <f>F59-L59</f>
        <v>0</v>
      </c>
      <c r="O59" s="467"/>
      <c r="P59" s="455">
        <v>0</v>
      </c>
      <c r="Q59" s="458">
        <v>0</v>
      </c>
      <c r="R59" s="10"/>
      <c r="S59" s="156" t="str">
        <f>+IF(JULIO!S59=0,"",JULIO!S59)</f>
        <v>1010402-1</v>
      </c>
      <c r="T59" s="159" t="str">
        <f>+IF(JULIO!T59=0,"",JULIO!T59)</f>
        <v>S.E.N.A.</v>
      </c>
      <c r="U59" s="29">
        <f>+ENERO!U59</f>
        <v>7782934</v>
      </c>
      <c r="V59" s="17">
        <f>JULIO!V59+AGOSTO!AL59</f>
        <v>0</v>
      </c>
      <c r="W59" s="17">
        <f>JULIO!W59+AGOSTO!AM59</f>
        <v>0</v>
      </c>
      <c r="X59" s="20">
        <f>SUM(U59:W59)</f>
        <v>7782934</v>
      </c>
      <c r="Y59" s="21">
        <f>JULIO!AA59</f>
        <v>4115200</v>
      </c>
      <c r="Z59" s="457">
        <v>594217</v>
      </c>
      <c r="AA59" s="20">
        <f>SUM(Y59:Z59)</f>
        <v>4709417</v>
      </c>
      <c r="AB59" s="21">
        <f>JULIO!AD59</f>
        <v>4115200</v>
      </c>
      <c r="AC59" s="457">
        <v>594217</v>
      </c>
      <c r="AD59" s="20">
        <f>SUM(AB59:AC59)</f>
        <v>4709417</v>
      </c>
      <c r="AE59" s="21">
        <f>JULIO!AG59</f>
        <v>3528400</v>
      </c>
      <c r="AF59" s="457">
        <v>586800</v>
      </c>
      <c r="AG59" s="20">
        <f>SUM(AE59:AF59)</f>
        <v>4115200</v>
      </c>
      <c r="AH59" s="21">
        <f>X59-AA59</f>
        <v>3073517</v>
      </c>
      <c r="AI59" s="17">
        <f>X59-AD59</f>
        <v>3073517</v>
      </c>
      <c r="AJ59" s="18">
        <f>X59-AG59</f>
        <v>3667734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+IF(JULIO!A60=0,"",JULIO!A60)</f>
        <v>1130112</v>
      </c>
      <c r="B60" s="45" t="str">
        <f>+IF(JULIO!B60=0,"",JULIO!B60)</f>
        <v>IPS PUBLICAS</v>
      </c>
      <c r="C60" s="53">
        <f t="shared" ref="C60:N60" si="61">SUM(C61:C62)</f>
        <v>8883897</v>
      </c>
      <c r="D60" s="53">
        <f t="shared" si="61"/>
        <v>0</v>
      </c>
      <c r="E60" s="53">
        <f t="shared" si="61"/>
        <v>0</v>
      </c>
      <c r="F60" s="54">
        <f t="shared" si="61"/>
        <v>8883897</v>
      </c>
      <c r="G60" s="52">
        <f t="shared" si="61"/>
        <v>4146766</v>
      </c>
      <c r="H60" s="828">
        <f t="shared" si="61"/>
        <v>0</v>
      </c>
      <c r="I60" s="829">
        <f t="shared" si="61"/>
        <v>4146766</v>
      </c>
      <c r="J60" s="830">
        <f t="shared" si="61"/>
        <v>2752706</v>
      </c>
      <c r="K60" s="828">
        <f t="shared" si="61"/>
        <v>0</v>
      </c>
      <c r="L60" s="54">
        <f t="shared" si="61"/>
        <v>2752706</v>
      </c>
      <c r="M60" s="52">
        <f t="shared" si="61"/>
        <v>4737131</v>
      </c>
      <c r="N60" s="54">
        <f t="shared" si="61"/>
        <v>6131191</v>
      </c>
      <c r="P60" s="52">
        <f>SUM(P61:P62)</f>
        <v>0</v>
      </c>
      <c r="Q60" s="54">
        <f>SUM(Q61:Q62)</f>
        <v>0</v>
      </c>
      <c r="R60" s="10"/>
      <c r="S60" s="156" t="str">
        <f>+IF(JULIO!S60=0,"",JULIO!S60)</f>
        <v>1010402-2</v>
      </c>
      <c r="T60" s="159" t="str">
        <f>+IF(JULIO!T60=0,"",JULIO!T60)</f>
        <v>I.C.B.F.</v>
      </c>
      <c r="U60" s="29">
        <f>+ENERO!U60</f>
        <v>11674400</v>
      </c>
      <c r="V60" s="17">
        <f>JULIO!V60+AGOSTO!AL60</f>
        <v>0</v>
      </c>
      <c r="W60" s="17">
        <f>JULIO!W60+AGOSTO!AM60</f>
        <v>0</v>
      </c>
      <c r="X60" s="20">
        <f>SUM(U60:W60)</f>
        <v>11674400</v>
      </c>
      <c r="Y60" s="21">
        <f>JULIO!AA60</f>
        <v>6370900</v>
      </c>
      <c r="Z60" s="457">
        <v>982369</v>
      </c>
      <c r="AA60" s="20">
        <f>SUM(Y60:Z60)</f>
        <v>7353269</v>
      </c>
      <c r="AB60" s="21">
        <f>JULIO!AD60</f>
        <v>6370900</v>
      </c>
      <c r="AC60" s="457">
        <v>982369</v>
      </c>
      <c r="AD60" s="20">
        <f>SUM(AB60:AC60)</f>
        <v>7353269</v>
      </c>
      <c r="AE60" s="21">
        <f>JULIO!AG60</f>
        <v>5490300</v>
      </c>
      <c r="AF60" s="457">
        <v>880600</v>
      </c>
      <c r="AG60" s="20">
        <f>SUM(AE60:AF60)</f>
        <v>6370900</v>
      </c>
      <c r="AH60" s="21">
        <f>X60-AA60</f>
        <v>4321131</v>
      </c>
      <c r="AI60" s="17">
        <f>X60-AD60</f>
        <v>4321131</v>
      </c>
      <c r="AJ60" s="18">
        <f>X60-AG60</f>
        <v>5303500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+IF(JULIO!A61=0,"",JULIO!A61)</f>
        <v>1130112-1</v>
      </c>
      <c r="B61" s="189" t="str">
        <f>+CONCATENATE("Vigencia ",INSTRUCCIONES!$F$3)</f>
        <v>Vigencia 2014</v>
      </c>
      <c r="C61" s="456">
        <f>+ENERO!C61</f>
        <v>5883897</v>
      </c>
      <c r="D61" s="456">
        <f>JULIO!D61+AGOSTO!P61</f>
        <v>0</v>
      </c>
      <c r="E61" s="456">
        <f>JULIO!E61+AGOSTO!Q61</f>
        <v>0</v>
      </c>
      <c r="F61" s="170">
        <f>SUM(C61:E61)</f>
        <v>5883897</v>
      </c>
      <c r="G61" s="283">
        <f>JULIO!I61</f>
        <v>1608632</v>
      </c>
      <c r="H61" s="815">
        <v>0</v>
      </c>
      <c r="I61" s="575">
        <f>SUM(G61:H61)</f>
        <v>1608632</v>
      </c>
      <c r="J61" s="576">
        <f>JULIO!L61</f>
        <v>214572</v>
      </c>
      <c r="K61" s="815">
        <v>0</v>
      </c>
      <c r="L61" s="170">
        <f>SUM(J61:K61)</f>
        <v>214572</v>
      </c>
      <c r="M61" s="283">
        <f>F61-I61</f>
        <v>4275265</v>
      </c>
      <c r="N61" s="170">
        <f>F61-L61</f>
        <v>5669325</v>
      </c>
      <c r="O61" s="467"/>
      <c r="P61" s="455">
        <v>0</v>
      </c>
      <c r="Q61" s="458">
        <v>0</v>
      </c>
      <c r="R61" s="10"/>
      <c r="S61" s="155">
        <f>+IF(JULIO!S61=0,"",JULIO!S61)</f>
        <v>1010499</v>
      </c>
      <c r="T61" s="159" t="str">
        <f>+IF(JULIO!T61=0,"",JULIO!T61)</f>
        <v>Vigencias Anteriores</v>
      </c>
      <c r="U61" s="29">
        <f>+ENERO!U61</f>
        <v>0</v>
      </c>
      <c r="V61" s="17">
        <f>JULIO!V61+AGOSTO!AL61</f>
        <v>0</v>
      </c>
      <c r="W61" s="17">
        <f>JULIO!W61+AGOSTO!AM61</f>
        <v>0</v>
      </c>
      <c r="X61" s="20">
        <f>SUM(U61:W61)</f>
        <v>0</v>
      </c>
      <c r="Y61" s="21">
        <f>JULIO!AA61</f>
        <v>0</v>
      </c>
      <c r="Z61" s="457">
        <v>0</v>
      </c>
      <c r="AA61" s="20">
        <f>SUM(Y61:Z61)</f>
        <v>0</v>
      </c>
      <c r="AB61" s="21">
        <f>JULIO!AD61</f>
        <v>0</v>
      </c>
      <c r="AC61" s="457">
        <v>0</v>
      </c>
      <c r="AD61" s="20">
        <f>SUM(AB61:AC61)</f>
        <v>0</v>
      </c>
      <c r="AE61" s="21">
        <f>JULIO!AG61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+IF(JULIO!A62=0,"",JULIO!A62)</f>
        <v>1130112-2</v>
      </c>
      <c r="B62" s="189" t="str">
        <f>+IF(JULIO!B62=0,"",JULIO!B62)</f>
        <v>Vigencias Anteriores</v>
      </c>
      <c r="C62" s="456">
        <f>+ENERO!C62</f>
        <v>3000000</v>
      </c>
      <c r="D62" s="456">
        <f>JULIO!D62+AGOSTO!P62</f>
        <v>0</v>
      </c>
      <c r="E62" s="456">
        <f>JULIO!E62+AGOSTO!Q62</f>
        <v>0</v>
      </c>
      <c r="F62" s="170">
        <f>SUM(C62:E62)</f>
        <v>3000000</v>
      </c>
      <c r="G62" s="283">
        <f>JULIO!I62</f>
        <v>2538134</v>
      </c>
      <c r="H62" s="815">
        <v>0</v>
      </c>
      <c r="I62" s="575">
        <f>SUM(G62:H62)</f>
        <v>2538134</v>
      </c>
      <c r="J62" s="576">
        <f>JULIO!L62</f>
        <v>2538134</v>
      </c>
      <c r="K62" s="815">
        <v>0</v>
      </c>
      <c r="L62" s="170">
        <f>SUM(J62:K62)</f>
        <v>2538134</v>
      </c>
      <c r="M62" s="283">
        <f>F62-I62</f>
        <v>461866</v>
      </c>
      <c r="N62" s="170">
        <f>F62-L62</f>
        <v>461866</v>
      </c>
      <c r="O62" s="467"/>
      <c r="P62" s="455">
        <v>0</v>
      </c>
      <c r="Q62" s="458">
        <v>0</v>
      </c>
      <c r="R62" s="10"/>
      <c r="S62" s="448" t="str">
        <f>+IF(JULIO!S62=0,"",JULIO!S62)</f>
        <v/>
      </c>
      <c r="T62" s="649" t="str">
        <f>+IF(JULIO!T62=0,"",JULIO!T62)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+IF(JULIO!A63=0,"",JULIO!A63)</f>
        <v>1130113</v>
      </c>
      <c r="B63" s="45" t="str">
        <f>+IF(JULIO!B63=0,"",JULIO!B63)</f>
        <v>COMPAÑIAS DE SEGUROS  - ACCIDENTES DE TRANSITO (SOAT)</v>
      </c>
      <c r="C63" s="53">
        <f t="shared" ref="C63:N63" si="62">SUM(C64:C65)</f>
        <v>52973202</v>
      </c>
      <c r="D63" s="53">
        <f t="shared" si="62"/>
        <v>0</v>
      </c>
      <c r="E63" s="53">
        <f t="shared" si="62"/>
        <v>0</v>
      </c>
      <c r="F63" s="54">
        <f t="shared" si="62"/>
        <v>52973202</v>
      </c>
      <c r="G63" s="52">
        <f t="shared" si="62"/>
        <v>26730486</v>
      </c>
      <c r="H63" s="828">
        <f t="shared" si="62"/>
        <v>3125967</v>
      </c>
      <c r="I63" s="829">
        <f t="shared" si="62"/>
        <v>29856453</v>
      </c>
      <c r="J63" s="830">
        <f t="shared" si="62"/>
        <v>21005017</v>
      </c>
      <c r="K63" s="828">
        <f t="shared" si="62"/>
        <v>3261594</v>
      </c>
      <c r="L63" s="54">
        <f t="shared" si="62"/>
        <v>24266611</v>
      </c>
      <c r="M63" s="52">
        <f t="shared" si="62"/>
        <v>23116749</v>
      </c>
      <c r="N63" s="54">
        <f t="shared" si="62"/>
        <v>28706591</v>
      </c>
      <c r="P63" s="52">
        <f>SUM(P64:P65)</f>
        <v>0</v>
      </c>
      <c r="Q63" s="54">
        <f>SUM(Q64:Q65)</f>
        <v>0</v>
      </c>
      <c r="R63" s="10"/>
      <c r="S63" s="469">
        <f>+IF(JULIO!S63=0,"",JULIO!S63)</f>
        <v>1020010</v>
      </c>
      <c r="T63" s="470" t="str">
        <f>+IF(JULIO!T63=0,"",JULIO!T63)</f>
        <v>Gastos de Operación</v>
      </c>
      <c r="U63" s="157">
        <f t="shared" ref="U63:AJ63" si="63">U65+U83+U90+U104</f>
        <v>1656122409</v>
      </c>
      <c r="V63" s="144">
        <f t="shared" si="63"/>
        <v>5657703</v>
      </c>
      <c r="W63" s="144">
        <f t="shared" si="63"/>
        <v>18789110</v>
      </c>
      <c r="X63" s="152">
        <f t="shared" si="63"/>
        <v>1680569222</v>
      </c>
      <c r="Y63" s="151">
        <f t="shared" si="63"/>
        <v>899786158</v>
      </c>
      <c r="Z63" s="144">
        <f t="shared" si="63"/>
        <v>139749777</v>
      </c>
      <c r="AA63" s="152">
        <f t="shared" si="63"/>
        <v>1039535935</v>
      </c>
      <c r="AB63" s="151">
        <f t="shared" si="63"/>
        <v>899786158</v>
      </c>
      <c r="AC63" s="144">
        <f t="shared" si="63"/>
        <v>139749777</v>
      </c>
      <c r="AD63" s="152">
        <f t="shared" si="63"/>
        <v>1039535935</v>
      </c>
      <c r="AE63" s="151">
        <f t="shared" si="63"/>
        <v>867643728</v>
      </c>
      <c r="AF63" s="144">
        <f t="shared" si="63"/>
        <v>106696836</v>
      </c>
      <c r="AG63" s="152">
        <f t="shared" si="63"/>
        <v>974340564</v>
      </c>
      <c r="AH63" s="151">
        <f t="shared" si="63"/>
        <v>641033287</v>
      </c>
      <c r="AI63" s="144">
        <f t="shared" si="63"/>
        <v>641033287</v>
      </c>
      <c r="AJ63" s="153">
        <f t="shared" si="63"/>
        <v>706228658</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+IF(JULIO!A64=0,"",JULIO!A64)</f>
        <v>1130113-1</v>
      </c>
      <c r="B64" s="189" t="str">
        <f>+CONCATENATE("Vigencia ",INSTRUCCIONES!$F$3)</f>
        <v>Vigencia 2014</v>
      </c>
      <c r="C64" s="456">
        <f>+ENERO!C64</f>
        <v>40103182</v>
      </c>
      <c r="D64" s="456">
        <f>JULIO!D64+AGOSTO!P64</f>
        <v>0</v>
      </c>
      <c r="E64" s="456">
        <f>JULIO!E64+AGOSTO!Q64</f>
        <v>0</v>
      </c>
      <c r="F64" s="170">
        <f>SUM(C64:E64)</f>
        <v>40103182</v>
      </c>
      <c r="G64" s="283">
        <f>JULIO!I64</f>
        <v>18612760</v>
      </c>
      <c r="H64" s="853">
        <v>3125967</v>
      </c>
      <c r="I64" s="575">
        <f>SUM(G64:H64)</f>
        <v>21738727</v>
      </c>
      <c r="J64" s="576">
        <f>JULIO!L64</f>
        <v>12887291</v>
      </c>
      <c r="K64" s="853">
        <v>3261594</v>
      </c>
      <c r="L64" s="170">
        <f>SUM(J64:K64)</f>
        <v>16148885</v>
      </c>
      <c r="M64" s="283">
        <f>F64-I64</f>
        <v>18364455</v>
      </c>
      <c r="N64" s="170">
        <f>F64-L64</f>
        <v>23954297</v>
      </c>
      <c r="O64" s="467"/>
      <c r="P64" s="455">
        <v>0</v>
      </c>
      <c r="Q64" s="458">
        <v>0</v>
      </c>
      <c r="R64" s="10"/>
      <c r="S64" s="448" t="str">
        <f>+IF(JULIO!S64=0,"",JULIO!S64)</f>
        <v/>
      </c>
      <c r="T64" s="649" t="str">
        <f>+IF(JULIO!T64=0,"",JULIO!T64)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+IF(JULIO!A65=0,"",JULIO!A65)</f>
        <v>1130113-2</v>
      </c>
      <c r="B65" s="189" t="str">
        <f>+IF(JULIO!B65=0,"",JULIO!B65)</f>
        <v>Vigencias Anteriores</v>
      </c>
      <c r="C65" s="456">
        <f>+ENERO!C65</f>
        <v>12870020</v>
      </c>
      <c r="D65" s="456">
        <f>JULIO!D65+AGOSTO!P65</f>
        <v>0</v>
      </c>
      <c r="E65" s="456">
        <f>JULIO!E65+AGOSTO!Q65</f>
        <v>0</v>
      </c>
      <c r="F65" s="170">
        <f>SUM(C65:E65)</f>
        <v>12870020</v>
      </c>
      <c r="G65" s="283">
        <f>JULIO!I65</f>
        <v>8117726</v>
      </c>
      <c r="H65" s="815">
        <v>0</v>
      </c>
      <c r="I65" s="575">
        <f>SUM(G65:H65)</f>
        <v>8117726</v>
      </c>
      <c r="J65" s="576">
        <f>JULIO!L65</f>
        <v>8117726</v>
      </c>
      <c r="K65" s="815">
        <v>0</v>
      </c>
      <c r="L65" s="170">
        <f>SUM(J65:K65)</f>
        <v>8117726</v>
      </c>
      <c r="M65" s="283">
        <f>F65-I65</f>
        <v>4752294</v>
      </c>
      <c r="N65" s="170">
        <f>F65-L65</f>
        <v>4752294</v>
      </c>
      <c r="O65" s="467"/>
      <c r="P65" s="455">
        <v>0</v>
      </c>
      <c r="Q65" s="458">
        <v>0</v>
      </c>
      <c r="R65" s="10"/>
      <c r="S65" s="34">
        <f>+IF(JULIO!S65=0,"",JULIO!S65)</f>
        <v>1020100</v>
      </c>
      <c r="T65" s="158" t="str">
        <f>+IF(JULIO!T65=0,"",JULIO!T65)</f>
        <v>Servicios Personales Asociados a Nómina</v>
      </c>
      <c r="U65" s="157">
        <f t="shared" ref="U65:AJ65" si="64">SUM(U66:U69)+U81</f>
        <v>1157487731</v>
      </c>
      <c r="V65" s="144">
        <f t="shared" si="64"/>
        <v>5657703</v>
      </c>
      <c r="W65" s="144">
        <f t="shared" si="64"/>
        <v>8749212</v>
      </c>
      <c r="X65" s="152">
        <f t="shared" si="64"/>
        <v>1171894646</v>
      </c>
      <c r="Y65" s="151">
        <f t="shared" si="64"/>
        <v>628739753</v>
      </c>
      <c r="Z65" s="144">
        <f t="shared" si="64"/>
        <v>109858619</v>
      </c>
      <c r="AA65" s="152">
        <f t="shared" si="64"/>
        <v>738598372</v>
      </c>
      <c r="AB65" s="151">
        <f t="shared" si="64"/>
        <v>628739753</v>
      </c>
      <c r="AC65" s="144">
        <f t="shared" si="64"/>
        <v>109858619</v>
      </c>
      <c r="AD65" s="152">
        <f t="shared" si="64"/>
        <v>738598372</v>
      </c>
      <c r="AE65" s="151">
        <f t="shared" si="64"/>
        <v>615071923</v>
      </c>
      <c r="AF65" s="144">
        <f t="shared" si="64"/>
        <v>86590721</v>
      </c>
      <c r="AG65" s="152">
        <f t="shared" si="64"/>
        <v>701662644</v>
      </c>
      <c r="AH65" s="151">
        <f t="shared" si="64"/>
        <v>433296274</v>
      </c>
      <c r="AI65" s="144">
        <f t="shared" si="64"/>
        <v>433296274</v>
      </c>
      <c r="AJ65" s="153">
        <f t="shared" si="64"/>
        <v>470232002</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+IF(JULIO!A66=0,"",JULIO!A66)</f>
        <v>1130114</v>
      </c>
      <c r="B66" s="45" t="str">
        <f>+IF(JULIO!B66=0,"",JULIO!B66)</f>
        <v xml:space="preserve">COMPAÑIAS DE SEGUROS  - PLANES DE SALUD  </v>
      </c>
      <c r="C66" s="53">
        <f t="shared" ref="C66:N66" si="65">SUM(C67:C68)</f>
        <v>0</v>
      </c>
      <c r="D66" s="53">
        <f t="shared" si="65"/>
        <v>0</v>
      </c>
      <c r="E66" s="53">
        <f t="shared" si="65"/>
        <v>0</v>
      </c>
      <c r="F66" s="54">
        <f t="shared" si="65"/>
        <v>0</v>
      </c>
      <c r="G66" s="52">
        <f t="shared" si="65"/>
        <v>0</v>
      </c>
      <c r="H66" s="828">
        <f t="shared" si="65"/>
        <v>0</v>
      </c>
      <c r="I66" s="829">
        <f t="shared" si="65"/>
        <v>0</v>
      </c>
      <c r="J66" s="830">
        <f t="shared" si="65"/>
        <v>0</v>
      </c>
      <c r="K66" s="828">
        <f t="shared" si="65"/>
        <v>0</v>
      </c>
      <c r="L66" s="54">
        <f t="shared" si="65"/>
        <v>0</v>
      </c>
      <c r="M66" s="52">
        <f t="shared" si="65"/>
        <v>0</v>
      </c>
      <c r="N66" s="54">
        <f t="shared" si="65"/>
        <v>0</v>
      </c>
      <c r="P66" s="52">
        <f>SUM(P67:P68)</f>
        <v>0</v>
      </c>
      <c r="Q66" s="54">
        <f>SUM(Q67:Q68)</f>
        <v>0</v>
      </c>
      <c r="R66" s="10"/>
      <c r="S66" s="155">
        <f>+IF(JULIO!S66=0,"",JULIO!S66)</f>
        <v>1020101</v>
      </c>
      <c r="T66" s="159" t="str">
        <f>+IF(JULIO!T66=0,"",JULIO!T66)</f>
        <v>Sueldos del Personal de nómina</v>
      </c>
      <c r="U66" s="29">
        <f>+ENERO!U66</f>
        <v>901111176</v>
      </c>
      <c r="V66" s="17">
        <f>JULIO!V66+AGOSTO!AL66</f>
        <v>0</v>
      </c>
      <c r="W66" s="17">
        <f>JULIO!W66+AGOSTO!AM66</f>
        <v>0</v>
      </c>
      <c r="X66" s="20">
        <f>SUM(U66:W66)</f>
        <v>901111176</v>
      </c>
      <c r="Y66" s="21">
        <f>JULIO!AA66</f>
        <v>528417526</v>
      </c>
      <c r="Z66" s="457">
        <v>88872716</v>
      </c>
      <c r="AA66" s="20">
        <f>SUM(Y66:Z66)</f>
        <v>617290242</v>
      </c>
      <c r="AB66" s="21">
        <f>JULIO!AD66</f>
        <v>528417526</v>
      </c>
      <c r="AC66" s="457">
        <v>88872716</v>
      </c>
      <c r="AD66" s="20">
        <f>SUM(AB66:AC66)</f>
        <v>617290242</v>
      </c>
      <c r="AE66" s="21">
        <f>JULIO!AG66</f>
        <v>514862278</v>
      </c>
      <c r="AF66" s="457">
        <v>78899063</v>
      </c>
      <c r="AG66" s="20">
        <f>SUM(AE66:AF66)</f>
        <v>593761341</v>
      </c>
      <c r="AH66" s="21">
        <f>X66-AA66</f>
        <v>283820934</v>
      </c>
      <c r="AI66" s="17">
        <f>X66-AD66</f>
        <v>283820934</v>
      </c>
      <c r="AJ66" s="18">
        <f>X66-AG66</f>
        <v>307349835</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+IF(JULIO!A67=0,"",JULIO!A67)</f>
        <v>1130114-1</v>
      </c>
      <c r="B67" s="189" t="str">
        <f>+CONCATENATE("Vigencia ",INSTRUCCIONES!$F$3)</f>
        <v>Vigencia 2014</v>
      </c>
      <c r="C67" s="456">
        <f>+ENERO!C67</f>
        <v>0</v>
      </c>
      <c r="D67" s="456">
        <f>JULIO!D67+AGOSTO!P67</f>
        <v>0</v>
      </c>
      <c r="E67" s="456">
        <f>JULIO!E67+AGOSTO!Q67</f>
        <v>0</v>
      </c>
      <c r="F67" s="170">
        <f>SUM(C67:E67)</f>
        <v>0</v>
      </c>
      <c r="G67" s="283">
        <f>JULIO!I67</f>
        <v>0</v>
      </c>
      <c r="H67" s="815">
        <v>0</v>
      </c>
      <c r="I67" s="575">
        <f>SUM(G67:H67)</f>
        <v>0</v>
      </c>
      <c r="J67" s="576">
        <f>JULIO!L67</f>
        <v>0</v>
      </c>
      <c r="K67" s="815">
        <v>0</v>
      </c>
      <c r="L67" s="170">
        <f>SUM(J67:K67)</f>
        <v>0</v>
      </c>
      <c r="M67" s="283">
        <f>F67-I67</f>
        <v>0</v>
      </c>
      <c r="N67" s="170">
        <f>F67-L67</f>
        <v>0</v>
      </c>
      <c r="O67" s="467"/>
      <c r="P67" s="455">
        <v>0</v>
      </c>
      <c r="Q67" s="458">
        <v>0</v>
      </c>
      <c r="R67" s="10"/>
      <c r="S67" s="155">
        <f>+IF(JULIO!S67=0,"",JULIO!S67)</f>
        <v>1020102</v>
      </c>
      <c r="T67" s="159" t="str">
        <f>+IF(JULIO!T67=0,"",JULIO!T67)</f>
        <v>Horas Extras,Dominic.,Festivos y Rec. Nocturnos</v>
      </c>
      <c r="U67" s="29">
        <f>+ENERO!U67</f>
        <v>116857377</v>
      </c>
      <c r="V67" s="17">
        <f>JULIO!V67+AGOSTO!AL67</f>
        <v>0</v>
      </c>
      <c r="W67" s="17">
        <f>JULIO!W67+AGOSTO!AM67</f>
        <v>0</v>
      </c>
      <c r="X67" s="20">
        <f>SUM(U67:W67)</f>
        <v>116857377</v>
      </c>
      <c r="Y67" s="21">
        <f>JULIO!AA67</f>
        <v>53657973</v>
      </c>
      <c r="Z67" s="457">
        <v>8245973</v>
      </c>
      <c r="AA67" s="20">
        <f>SUM(Y67:Z67)</f>
        <v>61903946</v>
      </c>
      <c r="AB67" s="21">
        <f>JULIO!AD67</f>
        <v>53657973</v>
      </c>
      <c r="AC67" s="457">
        <v>8245973</v>
      </c>
      <c r="AD67" s="20">
        <f>SUM(AB67:AC67)</f>
        <v>61903946</v>
      </c>
      <c r="AE67" s="21">
        <f>JULIO!AG67</f>
        <v>53657973</v>
      </c>
      <c r="AF67" s="457">
        <v>6498193</v>
      </c>
      <c r="AG67" s="20">
        <f>SUM(AE67:AF67)</f>
        <v>60156166</v>
      </c>
      <c r="AH67" s="21">
        <f>X67-AA67</f>
        <v>54953431</v>
      </c>
      <c r="AI67" s="17">
        <f>X67-AD67</f>
        <v>54953431</v>
      </c>
      <c r="AJ67" s="18">
        <f>X67-AG67</f>
        <v>56701211</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+IF(JULIO!A68=0,"",JULIO!A68)</f>
        <v>1130114-2</v>
      </c>
      <c r="B68" s="189" t="str">
        <f>+IF(JULIO!B68=0,"",JULIO!B68)</f>
        <v>Vigencias Anteriores</v>
      </c>
      <c r="C68" s="456">
        <f>+ENERO!C68</f>
        <v>0</v>
      </c>
      <c r="D68" s="456">
        <f>JULIO!D68+AGOSTO!P68</f>
        <v>0</v>
      </c>
      <c r="E68" s="456">
        <f>JULIO!E68+AGOSTO!Q68</f>
        <v>0</v>
      </c>
      <c r="F68" s="170">
        <f>SUM(C68:E68)</f>
        <v>0</v>
      </c>
      <c r="G68" s="283">
        <f>JULIO!I68</f>
        <v>0</v>
      </c>
      <c r="H68" s="815">
        <v>0</v>
      </c>
      <c r="I68" s="575">
        <f>SUM(G68:H68)</f>
        <v>0</v>
      </c>
      <c r="J68" s="576">
        <f>JULIO!L68</f>
        <v>0</v>
      </c>
      <c r="K68" s="815">
        <v>0</v>
      </c>
      <c r="L68" s="170">
        <f>SUM(J68:K68)</f>
        <v>0</v>
      </c>
      <c r="M68" s="283">
        <f>F68-I68</f>
        <v>0</v>
      </c>
      <c r="N68" s="170">
        <f>F68-L68</f>
        <v>0</v>
      </c>
      <c r="O68" s="467"/>
      <c r="P68" s="455">
        <v>0</v>
      </c>
      <c r="Q68" s="458">
        <v>0</v>
      </c>
      <c r="R68" s="10"/>
      <c r="S68" s="155">
        <f>+IF(JULIO!S68=0,"",JULIO!S68)</f>
        <v>1020103</v>
      </c>
      <c r="T68" s="159" t="str">
        <f>+IF(JULIO!T68=0,"",JULIO!T68)</f>
        <v>Prima Técnica</v>
      </c>
      <c r="U68" s="29">
        <f>+ENERO!U68</f>
        <v>0</v>
      </c>
      <c r="V68" s="17">
        <f>JULIO!V68+AGOSTO!AL68</f>
        <v>0</v>
      </c>
      <c r="W68" s="17">
        <f>JULIO!W68+AGOSTO!AM68</f>
        <v>0</v>
      </c>
      <c r="X68" s="20">
        <f>SUM(U68:W68)</f>
        <v>0</v>
      </c>
      <c r="Y68" s="21">
        <f>JULIO!AA68</f>
        <v>0</v>
      </c>
      <c r="Z68" s="457">
        <v>0</v>
      </c>
      <c r="AA68" s="20">
        <f>SUM(Y68:Z68)</f>
        <v>0</v>
      </c>
      <c r="AB68" s="21">
        <f>JULIO!AD68</f>
        <v>0</v>
      </c>
      <c r="AC68" s="457">
        <v>0</v>
      </c>
      <c r="AD68" s="20">
        <f>SUM(AB68:AC68)</f>
        <v>0</v>
      </c>
      <c r="AE68" s="21">
        <f>JULIO!AG68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+IF(JULIO!A69=0,"",JULIO!A69)</f>
        <v>1130115</v>
      </c>
      <c r="B69" s="45" t="str">
        <f>+IF(JULIO!B69=0,"",JULIO!B69)</f>
        <v>ENTIDADES DE REGIMEN ESPECIAL (Magisterio, Fuerza Pca.)</v>
      </c>
      <c r="C69" s="53">
        <f t="shared" ref="C69:N69" si="66">SUM(C70:C71)</f>
        <v>111446544</v>
      </c>
      <c r="D69" s="53">
        <f t="shared" si="66"/>
        <v>0</v>
      </c>
      <c r="E69" s="53">
        <f t="shared" si="66"/>
        <v>0</v>
      </c>
      <c r="F69" s="54">
        <f t="shared" si="66"/>
        <v>111446544</v>
      </c>
      <c r="G69" s="52">
        <f t="shared" si="66"/>
        <v>77313915</v>
      </c>
      <c r="H69" s="828">
        <f t="shared" si="66"/>
        <v>6313645</v>
      </c>
      <c r="I69" s="829">
        <f t="shared" si="66"/>
        <v>83627560</v>
      </c>
      <c r="J69" s="830">
        <f t="shared" si="66"/>
        <v>57173719</v>
      </c>
      <c r="K69" s="828">
        <f t="shared" si="66"/>
        <v>6203193</v>
      </c>
      <c r="L69" s="54">
        <f t="shared" si="66"/>
        <v>63376912</v>
      </c>
      <c r="M69" s="52">
        <f t="shared" si="66"/>
        <v>27818984</v>
      </c>
      <c r="N69" s="54">
        <f t="shared" si="66"/>
        <v>48069632</v>
      </c>
      <c r="P69" s="52">
        <f>SUM(P70:P71)</f>
        <v>0</v>
      </c>
      <c r="Q69" s="54">
        <f>SUM(Q70:Q71)</f>
        <v>0</v>
      </c>
      <c r="R69" s="10"/>
      <c r="S69" s="155">
        <f>+IF(JULIO!S69=0,"",JULIO!S69)</f>
        <v>1020104</v>
      </c>
      <c r="T69" s="159" t="str">
        <f>+IF(JULIO!T69=0,"",JULIO!T69)</f>
        <v>Otros</v>
      </c>
      <c r="U69" s="29">
        <f t="shared" ref="U69:AJ69" si="67">SUM(U70:U80)</f>
        <v>130781064</v>
      </c>
      <c r="V69" s="17">
        <f t="shared" si="67"/>
        <v>0</v>
      </c>
      <c r="W69" s="17">
        <f t="shared" si="67"/>
        <v>0</v>
      </c>
      <c r="X69" s="20">
        <f t="shared" si="67"/>
        <v>130781064</v>
      </c>
      <c r="Y69" s="21">
        <f t="shared" si="67"/>
        <v>23984225</v>
      </c>
      <c r="Z69" s="169">
        <f t="shared" si="67"/>
        <v>12739930</v>
      </c>
      <c r="AA69" s="20">
        <f t="shared" si="67"/>
        <v>36724155</v>
      </c>
      <c r="AB69" s="21">
        <f t="shared" si="67"/>
        <v>23984225</v>
      </c>
      <c r="AC69" s="169">
        <f t="shared" si="67"/>
        <v>12739930</v>
      </c>
      <c r="AD69" s="20">
        <f t="shared" si="67"/>
        <v>36724155</v>
      </c>
      <c r="AE69" s="21">
        <f t="shared" si="67"/>
        <v>23871643</v>
      </c>
      <c r="AF69" s="169">
        <f t="shared" si="67"/>
        <v>1193465</v>
      </c>
      <c r="AG69" s="20">
        <f t="shared" si="67"/>
        <v>25065108</v>
      </c>
      <c r="AH69" s="21">
        <f t="shared" si="67"/>
        <v>94056909</v>
      </c>
      <c r="AI69" s="17">
        <f t="shared" si="67"/>
        <v>94056909</v>
      </c>
      <c r="AJ69" s="18">
        <f t="shared" si="67"/>
        <v>105715956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+IF(JULIO!A70=0,"",JULIO!A70)</f>
        <v>1130115-1</v>
      </c>
      <c r="B70" s="189" t="str">
        <f>+CONCATENATE("Vigencia ",INSTRUCCIONES!$F$3)</f>
        <v>Vigencia 2014</v>
      </c>
      <c r="C70" s="456">
        <f>+ENERO!C70</f>
        <v>75639118</v>
      </c>
      <c r="D70" s="456">
        <f>JULIO!D70+AGOSTO!P70</f>
        <v>0</v>
      </c>
      <c r="E70" s="456">
        <f>JULIO!E70+AGOSTO!Q70</f>
        <v>0</v>
      </c>
      <c r="F70" s="170">
        <f>SUM(C70:E70)</f>
        <v>75639118</v>
      </c>
      <c r="G70" s="283">
        <f>JULIO!I70</f>
        <v>26283933</v>
      </c>
      <c r="H70" s="853">
        <v>6313645</v>
      </c>
      <c r="I70" s="575">
        <f>SUM(G70:H70)</f>
        <v>32597578</v>
      </c>
      <c r="J70" s="576">
        <f>JULIO!L70</f>
        <v>6143737</v>
      </c>
      <c r="K70" s="853">
        <v>6203193</v>
      </c>
      <c r="L70" s="170">
        <f>SUM(J70:K70)</f>
        <v>12346930</v>
      </c>
      <c r="M70" s="283">
        <f>F70-I70</f>
        <v>43041540</v>
      </c>
      <c r="N70" s="170">
        <f>F70-L70</f>
        <v>63292188</v>
      </c>
      <c r="O70" s="467"/>
      <c r="P70" s="455">
        <v>0</v>
      </c>
      <c r="Q70" s="458">
        <v>0</v>
      </c>
      <c r="R70" s="10"/>
      <c r="S70" s="156" t="str">
        <f>+IF(JULIO!S70=0,"",JULIO!S70)</f>
        <v>1020104-1</v>
      </c>
      <c r="T70" s="55" t="str">
        <f>+IF(JULIO!T70=0,"",JULIO!T70)</f>
        <v xml:space="preserve">Prima de Navidad </v>
      </c>
      <c r="U70" s="29">
        <f>+ENERO!U70</f>
        <v>78694383</v>
      </c>
      <c r="V70" s="17">
        <f>JULIO!V70+AGOSTO!AL70</f>
        <v>0</v>
      </c>
      <c r="W70" s="17">
        <f>JULIO!W70+AGOSTO!AM70</f>
        <v>0</v>
      </c>
      <c r="X70" s="20">
        <f t="shared" ref="X70:X81" si="68">SUM(U70:W70)</f>
        <v>78694383</v>
      </c>
      <c r="Y70" s="21">
        <f>JULIO!AA70</f>
        <v>0</v>
      </c>
      <c r="Z70" s="457">
        <v>6426065</v>
      </c>
      <c r="AA70" s="20">
        <f t="shared" ref="AA70:AA81" si="69">SUM(Y70:Z70)</f>
        <v>6426065</v>
      </c>
      <c r="AB70" s="21">
        <f>JULIO!AD70</f>
        <v>0</v>
      </c>
      <c r="AC70" s="457">
        <v>6426065</v>
      </c>
      <c r="AD70" s="20">
        <f t="shared" ref="AD70:AD81" si="70">SUM(AB70:AC70)</f>
        <v>6426065</v>
      </c>
      <c r="AE70" s="21">
        <f>JULIO!AG70</f>
        <v>0</v>
      </c>
      <c r="AF70" s="457">
        <v>0</v>
      </c>
      <c r="AG70" s="20">
        <f t="shared" ref="AG70:AG81" si="71">SUM(AE70:AF70)</f>
        <v>0</v>
      </c>
      <c r="AH70" s="21">
        <f t="shared" ref="AH70:AH81" si="72">X70-AA70</f>
        <v>72268318</v>
      </c>
      <c r="AI70" s="17">
        <f t="shared" ref="AI70:AI81" si="73">X70-AD70</f>
        <v>72268318</v>
      </c>
      <c r="AJ70" s="18">
        <f t="shared" ref="AJ70:AJ81" si="74">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+IF(JULIO!A71=0,"",JULIO!A71)</f>
        <v>1130115-2</v>
      </c>
      <c r="B71" s="189" t="str">
        <f>+IF(JULIO!B71=0,"",JULIO!B71)</f>
        <v>Vigencias Anteriores</v>
      </c>
      <c r="C71" s="456">
        <f>+ENERO!C71</f>
        <v>35807426</v>
      </c>
      <c r="D71" s="456">
        <f>JULIO!D71+AGOSTO!P71</f>
        <v>0</v>
      </c>
      <c r="E71" s="456">
        <f>JULIO!E71+AGOSTO!Q71</f>
        <v>0</v>
      </c>
      <c r="F71" s="170">
        <f>SUM(C71:E71)</f>
        <v>35807426</v>
      </c>
      <c r="G71" s="283">
        <f>JULIO!I71</f>
        <v>51029982</v>
      </c>
      <c r="H71" s="815">
        <v>0</v>
      </c>
      <c r="I71" s="575">
        <f>SUM(G71:H71)</f>
        <v>51029982</v>
      </c>
      <c r="J71" s="576">
        <f>JULIO!L71</f>
        <v>51029982</v>
      </c>
      <c r="K71" s="815">
        <v>0</v>
      </c>
      <c r="L71" s="170">
        <f>SUM(J71:K71)</f>
        <v>51029982</v>
      </c>
      <c r="M71" s="283">
        <f>F71-I71</f>
        <v>-15222556</v>
      </c>
      <c r="N71" s="170">
        <f>F71-L71</f>
        <v>-15222556</v>
      </c>
      <c r="O71" s="467"/>
      <c r="P71" s="455">
        <v>0</v>
      </c>
      <c r="Q71" s="458">
        <v>0</v>
      </c>
      <c r="R71" s="10"/>
      <c r="S71" s="156" t="str">
        <f>+IF(JULIO!S71=0,"",JULIO!S71)</f>
        <v>1020104-2</v>
      </c>
      <c r="T71" s="55" t="str">
        <f>+IF(JULIO!T71=0,"",JULIO!T71)</f>
        <v>Prima Vida Cara</v>
      </c>
      <c r="U71" s="29">
        <f>+ENERO!U71</f>
        <v>0</v>
      </c>
      <c r="V71" s="17">
        <f>JULIO!V71+AGOSTO!AL71</f>
        <v>0</v>
      </c>
      <c r="W71" s="17">
        <f>JULIO!W71+AGOSTO!AM71</f>
        <v>0</v>
      </c>
      <c r="X71" s="20">
        <f t="shared" si="68"/>
        <v>0</v>
      </c>
      <c r="Y71" s="21">
        <f>JULIO!AA71</f>
        <v>0</v>
      </c>
      <c r="Z71" s="457">
        <v>0</v>
      </c>
      <c r="AA71" s="20">
        <f t="shared" si="69"/>
        <v>0</v>
      </c>
      <c r="AB71" s="21">
        <f>JULIO!AD71</f>
        <v>0</v>
      </c>
      <c r="AC71" s="457">
        <v>0</v>
      </c>
      <c r="AD71" s="20">
        <f t="shared" si="70"/>
        <v>0</v>
      </c>
      <c r="AE71" s="21">
        <f>JULIO!AG71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+IF(JULIO!A72=0,"",JULIO!A72)</f>
        <v>1130116</v>
      </c>
      <c r="B72" s="45" t="str">
        <f>+IF(JULIO!B72=0,"",JULIO!B72)</f>
        <v>ADMINISTRADORAS DE RIESGOS PROFESIONALES</v>
      </c>
      <c r="C72" s="53">
        <f t="shared" ref="C72:N72" si="75">SUM(C73:C74)</f>
        <v>17675457</v>
      </c>
      <c r="D72" s="53">
        <f t="shared" si="75"/>
        <v>0</v>
      </c>
      <c r="E72" s="53">
        <f t="shared" si="75"/>
        <v>0</v>
      </c>
      <c r="F72" s="54">
        <f t="shared" si="75"/>
        <v>17675457</v>
      </c>
      <c r="G72" s="52">
        <f t="shared" si="75"/>
        <v>16225118</v>
      </c>
      <c r="H72" s="828">
        <f t="shared" si="75"/>
        <v>1933144</v>
      </c>
      <c r="I72" s="829">
        <f t="shared" si="75"/>
        <v>18158262</v>
      </c>
      <c r="J72" s="830">
        <f t="shared" si="75"/>
        <v>8932699</v>
      </c>
      <c r="K72" s="828">
        <f t="shared" si="75"/>
        <v>2076292</v>
      </c>
      <c r="L72" s="54">
        <f t="shared" si="75"/>
        <v>11008991</v>
      </c>
      <c r="M72" s="52">
        <f t="shared" si="75"/>
        <v>-482805</v>
      </c>
      <c r="N72" s="54">
        <f t="shared" si="75"/>
        <v>6666466</v>
      </c>
      <c r="P72" s="52">
        <f>SUM(P73:P74)</f>
        <v>0</v>
      </c>
      <c r="Q72" s="54">
        <f>SUM(Q73:Q74)</f>
        <v>0</v>
      </c>
      <c r="R72" s="10"/>
      <c r="S72" s="156" t="str">
        <f>+IF(JULIO!S72=0,"",JULIO!S72)</f>
        <v>1020104-3</v>
      </c>
      <c r="T72" s="55" t="str">
        <f>+IF(JULIO!T72=0,"",JULIO!T72)</f>
        <v>Prima de Vacaciones</v>
      </c>
      <c r="U72" s="29">
        <f>+ENERO!U72</f>
        <v>37546299</v>
      </c>
      <c r="V72" s="17">
        <f>JULIO!V72+AGOSTO!AL72</f>
        <v>0</v>
      </c>
      <c r="W72" s="17">
        <f>JULIO!W72+AGOSTO!AM72</f>
        <v>0</v>
      </c>
      <c r="X72" s="20">
        <f t="shared" si="68"/>
        <v>37546299</v>
      </c>
      <c r="Y72" s="21">
        <f>JULIO!AA72</f>
        <v>14386443</v>
      </c>
      <c r="Z72" s="457">
        <v>5285756</v>
      </c>
      <c r="AA72" s="20">
        <f t="shared" si="69"/>
        <v>19672199</v>
      </c>
      <c r="AB72" s="21">
        <f>JULIO!AD72</f>
        <v>14386443</v>
      </c>
      <c r="AC72" s="457">
        <v>5285756</v>
      </c>
      <c r="AD72" s="20">
        <f t="shared" si="70"/>
        <v>19672199</v>
      </c>
      <c r="AE72" s="21">
        <f>JULIO!AG72</f>
        <v>14287106</v>
      </c>
      <c r="AF72" s="457">
        <v>767754</v>
      </c>
      <c r="AG72" s="20">
        <f t="shared" si="71"/>
        <v>15054860</v>
      </c>
      <c r="AH72" s="21">
        <f t="shared" si="72"/>
        <v>17874100</v>
      </c>
      <c r="AI72" s="17">
        <f t="shared" si="73"/>
        <v>17874100</v>
      </c>
      <c r="AJ72" s="18">
        <f t="shared" si="74"/>
        <v>22491439</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+IF(JULIO!A73=0,"",JULIO!A73)</f>
        <v>1130116-1</v>
      </c>
      <c r="B73" s="189" t="str">
        <f>+CONCATENATE("Vigencia ",INSTRUCCIONES!$F$3)</f>
        <v>Vigencia 2014</v>
      </c>
      <c r="C73" s="456">
        <f>+ENERO!C73</f>
        <v>13187137</v>
      </c>
      <c r="D73" s="456">
        <f>JULIO!D73+AGOSTO!P73</f>
        <v>0</v>
      </c>
      <c r="E73" s="456">
        <f>JULIO!E73+AGOSTO!Q73</f>
        <v>0</v>
      </c>
      <c r="F73" s="170">
        <f>SUM(C73:E73)</f>
        <v>13187137</v>
      </c>
      <c r="G73" s="283">
        <f>JULIO!I73</f>
        <v>13597087</v>
      </c>
      <c r="H73" s="853">
        <v>1933144</v>
      </c>
      <c r="I73" s="575">
        <f>SUM(G73:H73)</f>
        <v>15530231</v>
      </c>
      <c r="J73" s="576">
        <f>JULIO!L73</f>
        <v>6304668</v>
      </c>
      <c r="K73" s="853">
        <v>2076292</v>
      </c>
      <c r="L73" s="170">
        <f>SUM(J73:K73)</f>
        <v>8380960</v>
      </c>
      <c r="M73" s="283">
        <f>F73-I73</f>
        <v>-2343094</v>
      </c>
      <c r="N73" s="170">
        <f>F73-L73</f>
        <v>4806177</v>
      </c>
      <c r="O73" s="467"/>
      <c r="P73" s="455">
        <v>0</v>
      </c>
      <c r="Q73" s="458">
        <v>0</v>
      </c>
      <c r="R73" s="10"/>
      <c r="S73" s="156" t="str">
        <f>+IF(JULIO!S73=0,"",JULIO!S73)</f>
        <v>1020104-4</v>
      </c>
      <c r="T73" s="55" t="str">
        <f>+IF(JULIO!T73=0,"",JULIO!T73)</f>
        <v>Prima Clima</v>
      </c>
      <c r="U73" s="29">
        <f>+ENERO!U73</f>
        <v>0</v>
      </c>
      <c r="V73" s="17">
        <f>JULIO!V73+AGOSTO!AL73</f>
        <v>0</v>
      </c>
      <c r="W73" s="17">
        <f>JULIO!W73+AGOSTO!AM73</f>
        <v>0</v>
      </c>
      <c r="X73" s="20">
        <f t="shared" si="68"/>
        <v>0</v>
      </c>
      <c r="Y73" s="21">
        <f>JULIO!AA73</f>
        <v>0</v>
      </c>
      <c r="Z73" s="457">
        <v>0</v>
      </c>
      <c r="AA73" s="20">
        <f t="shared" si="69"/>
        <v>0</v>
      </c>
      <c r="AB73" s="21">
        <f>JULIO!AD73</f>
        <v>0</v>
      </c>
      <c r="AC73" s="457">
        <v>0</v>
      </c>
      <c r="AD73" s="20">
        <f t="shared" si="70"/>
        <v>0</v>
      </c>
      <c r="AE73" s="21">
        <f>JULIO!AG73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+IF(JULIO!A74=0,"",JULIO!A74)</f>
        <v>1130116-2</v>
      </c>
      <c r="B74" s="189" t="str">
        <f>+IF(JULIO!B74=0,"",JULIO!B74)</f>
        <v>Vigencias Anteriores</v>
      </c>
      <c r="C74" s="456">
        <f>+ENERO!C74</f>
        <v>4488320</v>
      </c>
      <c r="D74" s="456">
        <f>JULIO!D74+AGOSTO!P74</f>
        <v>0</v>
      </c>
      <c r="E74" s="456">
        <f>JULIO!E74+AGOSTO!Q74</f>
        <v>0</v>
      </c>
      <c r="F74" s="170">
        <f>SUM(C74:E74)</f>
        <v>4488320</v>
      </c>
      <c r="G74" s="283">
        <f>JULIO!I74</f>
        <v>2628031</v>
      </c>
      <c r="H74" s="815">
        <v>0</v>
      </c>
      <c r="I74" s="575">
        <f>SUM(G74:H74)</f>
        <v>2628031</v>
      </c>
      <c r="J74" s="576">
        <f>JULIO!L74</f>
        <v>2628031</v>
      </c>
      <c r="K74" s="815">
        <v>0</v>
      </c>
      <c r="L74" s="170">
        <f>SUM(J74:K74)</f>
        <v>2628031</v>
      </c>
      <c r="M74" s="283">
        <f>F74-I74</f>
        <v>1860289</v>
      </c>
      <c r="N74" s="170">
        <f>F74-L74</f>
        <v>1860289</v>
      </c>
      <c r="O74" s="467"/>
      <c r="P74" s="455">
        <v>0</v>
      </c>
      <c r="Q74" s="458">
        <v>0</v>
      </c>
      <c r="R74" s="10"/>
      <c r="S74" s="156" t="str">
        <f>+IF(JULIO!S74=0,"",JULIO!S74)</f>
        <v>1020104-5</v>
      </c>
      <c r="T74" s="55" t="str">
        <f>+IF(JULIO!T74=0,"",JULIO!T74)</f>
        <v>Prima de Servicios</v>
      </c>
      <c r="U74" s="29">
        <f>+ENERO!U74</f>
        <v>5675116</v>
      </c>
      <c r="V74" s="17">
        <f>JULIO!V74+AGOSTO!AL74</f>
        <v>0</v>
      </c>
      <c r="W74" s="17">
        <f>JULIO!W74+AGOSTO!AM74</f>
        <v>0</v>
      </c>
      <c r="X74" s="20">
        <f t="shared" si="68"/>
        <v>5675116</v>
      </c>
      <c r="Y74" s="21">
        <f>JULIO!AA74</f>
        <v>5675116</v>
      </c>
      <c r="Z74" s="457">
        <v>0</v>
      </c>
      <c r="AA74" s="20">
        <f t="shared" si="69"/>
        <v>5675116</v>
      </c>
      <c r="AB74" s="21">
        <f>JULIO!AD74</f>
        <v>5675116</v>
      </c>
      <c r="AC74" s="457">
        <v>0</v>
      </c>
      <c r="AD74" s="20">
        <f t="shared" si="70"/>
        <v>5675116</v>
      </c>
      <c r="AE74" s="21">
        <f>JULIO!AG74</f>
        <v>5675116</v>
      </c>
      <c r="AF74" s="457">
        <v>0</v>
      </c>
      <c r="AG74" s="20">
        <f t="shared" si="71"/>
        <v>5675116</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+IF(JULIO!A75=0,"",JULIO!A75)</f>
        <v>1130117</v>
      </c>
      <c r="B75" s="45" t="str">
        <f>+IF(JULIO!B75=0,"",JULIO!B75)</f>
        <v>CUOTAS DE RECUPERACION</v>
      </c>
      <c r="C75" s="53">
        <f t="shared" ref="C75:N75" si="76">SUM(C76:C77)</f>
        <v>1100000</v>
      </c>
      <c r="D75" s="53">
        <f t="shared" si="76"/>
        <v>0</v>
      </c>
      <c r="E75" s="53">
        <f t="shared" si="76"/>
        <v>0</v>
      </c>
      <c r="F75" s="54">
        <f t="shared" si="76"/>
        <v>1100000</v>
      </c>
      <c r="G75" s="52">
        <f t="shared" si="76"/>
        <v>32860005</v>
      </c>
      <c r="H75" s="828">
        <f t="shared" si="76"/>
        <v>0</v>
      </c>
      <c r="I75" s="829">
        <f t="shared" si="76"/>
        <v>32860005</v>
      </c>
      <c r="J75" s="830">
        <f t="shared" si="76"/>
        <v>32860005</v>
      </c>
      <c r="K75" s="828">
        <f t="shared" si="76"/>
        <v>0</v>
      </c>
      <c r="L75" s="54">
        <f t="shared" si="76"/>
        <v>32860005</v>
      </c>
      <c r="M75" s="52">
        <f t="shared" si="76"/>
        <v>-31760005</v>
      </c>
      <c r="N75" s="54">
        <f t="shared" si="76"/>
        <v>-31760005</v>
      </c>
      <c r="P75" s="52">
        <f>SUM(P76:P77)</f>
        <v>0</v>
      </c>
      <c r="Q75" s="54">
        <f>SUM(Q76:Q77)</f>
        <v>0</v>
      </c>
      <c r="R75" s="10"/>
      <c r="S75" s="156" t="str">
        <f>+IF(JULIO!S75=0,"",JULIO!S75)</f>
        <v>1020104-8</v>
      </c>
      <c r="T75" s="55" t="str">
        <f>+IF(JULIO!T75=0,"",JULIO!T75)</f>
        <v>Bonific. por Servicios Prestados (Convencional)</v>
      </c>
      <c r="U75" s="29">
        <f>+ENERO!U75</f>
        <v>0</v>
      </c>
      <c r="V75" s="17">
        <f>JULIO!V75+AGOSTO!AL75</f>
        <v>0</v>
      </c>
      <c r="W75" s="17">
        <f>JULIO!W75+AGOSTO!AM75</f>
        <v>0</v>
      </c>
      <c r="X75" s="20">
        <f t="shared" si="68"/>
        <v>0</v>
      </c>
      <c r="Y75" s="21">
        <f>JULIO!AA75</f>
        <v>0</v>
      </c>
      <c r="Z75" s="457">
        <v>0</v>
      </c>
      <c r="AA75" s="20">
        <f t="shared" si="69"/>
        <v>0</v>
      </c>
      <c r="AB75" s="21">
        <f>JULIO!AD75</f>
        <v>0</v>
      </c>
      <c r="AC75" s="457">
        <v>0</v>
      </c>
      <c r="AD75" s="20">
        <f t="shared" si="70"/>
        <v>0</v>
      </c>
      <c r="AE75" s="21">
        <f>JULIO!AG75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+IF(JULIO!A76=0,"",JULIO!A76)</f>
        <v>1130117-1</v>
      </c>
      <c r="B76" s="189" t="str">
        <f>+CONCATENATE("Vigencia ",INSTRUCCIONES!$F$3)</f>
        <v>Vigencia 2014</v>
      </c>
      <c r="C76" s="456">
        <f>+ENERO!C76</f>
        <v>1100000</v>
      </c>
      <c r="D76" s="456">
        <f>JULIO!D76+AGOSTO!P76</f>
        <v>0</v>
      </c>
      <c r="E76" s="456">
        <f>JULIO!E76+AGOSTO!Q76</f>
        <v>0</v>
      </c>
      <c r="F76" s="170">
        <f t="shared" ref="F76:F83" si="77">SUM(C76:E76)</f>
        <v>1100000</v>
      </c>
      <c r="G76" s="283">
        <f>JULIO!I76</f>
        <v>32860005</v>
      </c>
      <c r="H76" s="815">
        <v>0</v>
      </c>
      <c r="I76" s="575">
        <f t="shared" ref="I76:I83" si="78">SUM(G76:H76)</f>
        <v>32860005</v>
      </c>
      <c r="J76" s="576">
        <f>JULIO!L76</f>
        <v>32860005</v>
      </c>
      <c r="K76" s="815">
        <v>0</v>
      </c>
      <c r="L76" s="170">
        <f t="shared" ref="L76:L83" si="79">SUM(J76:K76)</f>
        <v>32860005</v>
      </c>
      <c r="M76" s="283">
        <f t="shared" ref="M76:M83" si="80">F76-I76</f>
        <v>-31760005</v>
      </c>
      <c r="N76" s="170">
        <f t="shared" ref="N76:N83" si="81">F76-L76</f>
        <v>-31760005</v>
      </c>
      <c r="O76" s="467"/>
      <c r="P76" s="455">
        <v>0</v>
      </c>
      <c r="Q76" s="458">
        <v>0</v>
      </c>
      <c r="R76" s="10"/>
      <c r="S76" s="156" t="str">
        <f>+IF(JULIO!S76=0,"",JULIO!S76)</f>
        <v>1020104-9</v>
      </c>
      <c r="T76" s="55" t="str">
        <f>+IF(JULIO!T76=0,"",JULIO!T76)</f>
        <v>Auxilio de Transporte</v>
      </c>
      <c r="U76" s="29">
        <f>+ENERO!U76</f>
        <v>0</v>
      </c>
      <c r="V76" s="17">
        <f>JULIO!V76+AGOSTO!AL76</f>
        <v>0</v>
      </c>
      <c r="W76" s="17">
        <f>JULIO!W76+AGOSTO!AM76</f>
        <v>0</v>
      </c>
      <c r="X76" s="20">
        <f t="shared" si="68"/>
        <v>0</v>
      </c>
      <c r="Y76" s="21">
        <f>JULIO!AA76</f>
        <v>0</v>
      </c>
      <c r="Z76" s="457">
        <v>0</v>
      </c>
      <c r="AA76" s="20">
        <f t="shared" si="69"/>
        <v>0</v>
      </c>
      <c r="AB76" s="21">
        <f>JULIO!AD76</f>
        <v>0</v>
      </c>
      <c r="AC76" s="457">
        <v>0</v>
      </c>
      <c r="AD76" s="20">
        <f t="shared" si="70"/>
        <v>0</v>
      </c>
      <c r="AE76" s="21">
        <f>JULIO!AG76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+IF(JULIO!A77=0,"",JULIO!A77)</f>
        <v>1130117-2</v>
      </c>
      <c r="B77" s="189" t="str">
        <f>+IF(JULIO!B77=0,"",JULIO!B77)</f>
        <v>Vigencias Anteriores</v>
      </c>
      <c r="C77" s="456">
        <f>+ENERO!C77</f>
        <v>0</v>
      </c>
      <c r="D77" s="456">
        <f>JULIO!D77+AGOSTO!P77</f>
        <v>0</v>
      </c>
      <c r="E77" s="456">
        <f>JULIO!E77+AGOSTO!Q77</f>
        <v>0</v>
      </c>
      <c r="F77" s="170">
        <f t="shared" si="77"/>
        <v>0</v>
      </c>
      <c r="G77" s="283">
        <f>JULIO!I77</f>
        <v>0</v>
      </c>
      <c r="H77" s="815">
        <v>0</v>
      </c>
      <c r="I77" s="575">
        <f t="shared" si="78"/>
        <v>0</v>
      </c>
      <c r="J77" s="576">
        <f>JULIO!L77</f>
        <v>0</v>
      </c>
      <c r="K77" s="815">
        <v>0</v>
      </c>
      <c r="L77" s="170">
        <f t="shared" si="79"/>
        <v>0</v>
      </c>
      <c r="M77" s="283">
        <f t="shared" si="80"/>
        <v>0</v>
      </c>
      <c r="N77" s="170">
        <f t="shared" si="81"/>
        <v>0</v>
      </c>
      <c r="O77" s="467"/>
      <c r="P77" s="455">
        <v>0</v>
      </c>
      <c r="Q77" s="458">
        <v>0</v>
      </c>
      <c r="R77" s="10"/>
      <c r="S77" s="156" t="str">
        <f>+IF(JULIO!S77=0,"",JULIO!S77)</f>
        <v>1020104-10</v>
      </c>
      <c r="T77" s="55" t="str">
        <f>+IF(JULIO!T77=0,"",JULIO!T77)</f>
        <v>Subsidio de Alimentación</v>
      </c>
      <c r="U77" s="29">
        <f>+ENERO!U77</f>
        <v>3859093</v>
      </c>
      <c r="V77" s="17">
        <f>JULIO!V77+AGOSTO!AL77</f>
        <v>0</v>
      </c>
      <c r="W77" s="17">
        <f>JULIO!W77+AGOSTO!AM77</f>
        <v>0</v>
      </c>
      <c r="X77" s="20">
        <f t="shared" si="68"/>
        <v>3859093</v>
      </c>
      <c r="Y77" s="21">
        <f>JULIO!AA77</f>
        <v>2009352</v>
      </c>
      <c r="Z77" s="457">
        <v>323344</v>
      </c>
      <c r="AA77" s="20">
        <f t="shared" si="69"/>
        <v>2332696</v>
      </c>
      <c r="AB77" s="21">
        <f>JULIO!AD77</f>
        <v>2009352</v>
      </c>
      <c r="AC77" s="457">
        <v>323344</v>
      </c>
      <c r="AD77" s="20">
        <f t="shared" si="70"/>
        <v>2332696</v>
      </c>
      <c r="AE77" s="21">
        <f>JULIO!AG77</f>
        <v>2009352</v>
      </c>
      <c r="AF77" s="457">
        <v>323344</v>
      </c>
      <c r="AG77" s="20">
        <f t="shared" si="71"/>
        <v>2332696</v>
      </c>
      <c r="AH77" s="21">
        <f t="shared" si="72"/>
        <v>1526397</v>
      </c>
      <c r="AI77" s="17">
        <f t="shared" si="73"/>
        <v>1526397</v>
      </c>
      <c r="AJ77" s="18">
        <f t="shared" si="74"/>
        <v>1526397</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+IF(JULIO!A78=0,"",JULIO!A78)</f>
        <v>1130118</v>
      </c>
      <c r="B78" s="45" t="str">
        <f>+IF(JULIO!B78=0,"",JULIO!B78)</f>
        <v>PARTICULARES   (Venta de Contado)</v>
      </c>
      <c r="C78" s="53">
        <f>SUM(C79:C80)</f>
        <v>81679743</v>
      </c>
      <c r="D78" s="53">
        <f>SUM(D79:D80)</f>
        <v>0</v>
      </c>
      <c r="E78" s="53">
        <f>SUM(E79:E80)</f>
        <v>0</v>
      </c>
      <c r="F78" s="54">
        <f t="shared" si="77"/>
        <v>81679743</v>
      </c>
      <c r="G78" s="52">
        <f>SUM(G79:G80)</f>
        <v>20485385</v>
      </c>
      <c r="H78" s="828">
        <f>SUM(H79:H80)</f>
        <v>4891108</v>
      </c>
      <c r="I78" s="829">
        <f t="shared" si="78"/>
        <v>25376493</v>
      </c>
      <c r="J78" s="830">
        <f>SUM(J79:J80)</f>
        <v>20015279</v>
      </c>
      <c r="K78" s="828">
        <f>SUM(K79:K80)</f>
        <v>4760720</v>
      </c>
      <c r="L78" s="54">
        <f t="shared" si="79"/>
        <v>24775999</v>
      </c>
      <c r="M78" s="52">
        <f t="shared" si="80"/>
        <v>56303250</v>
      </c>
      <c r="N78" s="54">
        <f t="shared" si="81"/>
        <v>56903744</v>
      </c>
      <c r="O78" s="467"/>
      <c r="P78" s="52">
        <f>SUM(P79:P80)</f>
        <v>0</v>
      </c>
      <c r="Q78" s="54">
        <f>SUM(Q79:Q80)</f>
        <v>0</v>
      </c>
      <c r="R78" s="10"/>
      <c r="S78" s="156" t="str">
        <f>+IF(JULIO!S78=0,"",JULIO!S78)</f>
        <v>1020104-12</v>
      </c>
      <c r="T78" s="55" t="str">
        <f>+IF(JULIO!T78=0,"",JULIO!T78)</f>
        <v>Indemnizaciones por Vacaciones o Supresión de Cargos por Reestructuración</v>
      </c>
      <c r="U78" s="29">
        <f>+ENERO!U78</f>
        <v>0</v>
      </c>
      <c r="V78" s="17">
        <f>JULIO!V78+AGOSTO!AL78</f>
        <v>0</v>
      </c>
      <c r="W78" s="17">
        <f>JULIO!W78+AGOSTO!AM78</f>
        <v>0</v>
      </c>
      <c r="X78" s="20">
        <f t="shared" si="68"/>
        <v>0</v>
      </c>
      <c r="Y78" s="21">
        <f>JULIO!AA78</f>
        <v>0</v>
      </c>
      <c r="Z78" s="457">
        <v>0</v>
      </c>
      <c r="AA78" s="20">
        <f t="shared" si="69"/>
        <v>0</v>
      </c>
      <c r="AB78" s="21">
        <f>JULIO!AD78</f>
        <v>0</v>
      </c>
      <c r="AC78" s="457">
        <v>0</v>
      </c>
      <c r="AD78" s="20">
        <f t="shared" si="70"/>
        <v>0</v>
      </c>
      <c r="AE78" s="21">
        <f>JULIO!AG78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+IF(JULIO!A79=0,"",JULIO!A79)</f>
        <v>1130118-1</v>
      </c>
      <c r="B79" s="189" t="str">
        <f>+CONCATENATE("Vigencia ",INSTRUCCIONES!$F$3)</f>
        <v>Vigencia 2014</v>
      </c>
      <c r="C79" s="456">
        <f>+ENERO!C79</f>
        <v>81679743</v>
      </c>
      <c r="D79" s="456">
        <f>JULIO!D79+AGOSTO!P79</f>
        <v>0</v>
      </c>
      <c r="E79" s="456">
        <f>JULIO!E79+AGOSTO!Q79</f>
        <v>0</v>
      </c>
      <c r="F79" s="170">
        <f t="shared" si="77"/>
        <v>81679743</v>
      </c>
      <c r="G79" s="283">
        <f>JULIO!I79</f>
        <v>20485385</v>
      </c>
      <c r="H79" s="853">
        <v>4891108</v>
      </c>
      <c r="I79" s="575">
        <f t="shared" si="78"/>
        <v>25376493</v>
      </c>
      <c r="J79" s="576">
        <f>JULIO!L79</f>
        <v>20015279</v>
      </c>
      <c r="K79" s="853">
        <v>4760720</v>
      </c>
      <c r="L79" s="170">
        <f t="shared" si="79"/>
        <v>24775999</v>
      </c>
      <c r="M79" s="283">
        <f t="shared" si="80"/>
        <v>56303250</v>
      </c>
      <c r="N79" s="170">
        <f t="shared" si="81"/>
        <v>56903744</v>
      </c>
      <c r="P79" s="455">
        <v>0</v>
      </c>
      <c r="Q79" s="458">
        <v>0</v>
      </c>
      <c r="R79" s="10"/>
      <c r="S79" s="156" t="str">
        <f>+IF(JULIO!S79=0,"",JULIO!S79)</f>
        <v>1020104-13</v>
      </c>
      <c r="T79" s="55" t="str">
        <f>+IF(JULIO!T79=0,"",JULIO!T79)</f>
        <v>Bonificación Especial por Recreación</v>
      </c>
      <c r="U79" s="29">
        <f>+ENERO!U79</f>
        <v>5006173</v>
      </c>
      <c r="V79" s="17">
        <f>JULIO!V79+AGOSTO!AL79</f>
        <v>0</v>
      </c>
      <c r="W79" s="17">
        <f>JULIO!W79+AGOSTO!AM79</f>
        <v>0</v>
      </c>
      <c r="X79" s="20">
        <f t="shared" si="68"/>
        <v>5006173</v>
      </c>
      <c r="Y79" s="21">
        <f>JULIO!AA79</f>
        <v>1913314</v>
      </c>
      <c r="Z79" s="457">
        <v>704765</v>
      </c>
      <c r="AA79" s="20">
        <f t="shared" si="69"/>
        <v>2618079</v>
      </c>
      <c r="AB79" s="21">
        <f>JULIO!AD79</f>
        <v>1913314</v>
      </c>
      <c r="AC79" s="457">
        <v>704765</v>
      </c>
      <c r="AD79" s="20">
        <f t="shared" si="70"/>
        <v>2618079</v>
      </c>
      <c r="AE79" s="21">
        <f>JULIO!AG79</f>
        <v>1900069</v>
      </c>
      <c r="AF79" s="457">
        <v>102367</v>
      </c>
      <c r="AG79" s="20">
        <f t="shared" si="71"/>
        <v>2002436</v>
      </c>
      <c r="AH79" s="21">
        <f t="shared" si="72"/>
        <v>2388094</v>
      </c>
      <c r="AI79" s="17">
        <f t="shared" si="73"/>
        <v>2388094</v>
      </c>
      <c r="AJ79" s="18">
        <f t="shared" si="74"/>
        <v>3003737</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+IF(JULIO!A80=0,"",JULIO!A80)</f>
        <v>1130118-2</v>
      </c>
      <c r="B80" s="189" t="str">
        <f>+IF(JULIO!B80=0,"",JULIO!B80)</f>
        <v>Vigencias Anteriores</v>
      </c>
      <c r="C80" s="456">
        <f>+ENERO!C80</f>
        <v>0</v>
      </c>
      <c r="D80" s="456">
        <f>JULIO!D80+AGOSTO!P80</f>
        <v>0</v>
      </c>
      <c r="E80" s="456">
        <f>JULIO!E80+AGOSTO!Q80</f>
        <v>0</v>
      </c>
      <c r="F80" s="170">
        <f t="shared" si="77"/>
        <v>0</v>
      </c>
      <c r="G80" s="283">
        <f>JULIO!I80</f>
        <v>0</v>
      </c>
      <c r="H80" s="815">
        <v>0</v>
      </c>
      <c r="I80" s="575">
        <f t="shared" si="78"/>
        <v>0</v>
      </c>
      <c r="J80" s="576">
        <f>JULIO!L80</f>
        <v>0</v>
      </c>
      <c r="K80" s="815">
        <v>0</v>
      </c>
      <c r="L80" s="170">
        <f t="shared" si="79"/>
        <v>0</v>
      </c>
      <c r="M80" s="283">
        <f t="shared" si="80"/>
        <v>0</v>
      </c>
      <c r="N80" s="170">
        <f t="shared" si="81"/>
        <v>0</v>
      </c>
      <c r="O80" s="467"/>
      <c r="P80" s="455">
        <v>0</v>
      </c>
      <c r="Q80" s="458">
        <v>0</v>
      </c>
      <c r="S80" s="156" t="str">
        <f>+IF(JULIO!S80=0,"",JULIO!S80)</f>
        <v>1020104-14</v>
      </c>
      <c r="T80" s="55" t="str">
        <f>+IF(JULIO!T80=0,"",JULIO!T80)</f>
        <v/>
      </c>
      <c r="U80" s="29">
        <f>+ENERO!U80</f>
        <v>0</v>
      </c>
      <c r="V80" s="17">
        <f>JULIO!V80+AGOSTO!AL80</f>
        <v>0</v>
      </c>
      <c r="W80" s="17">
        <f>JULIO!W80+AGOSTO!AM80</f>
        <v>0</v>
      </c>
      <c r="X80" s="20">
        <f t="shared" si="68"/>
        <v>0</v>
      </c>
      <c r="Y80" s="21">
        <f>JULIO!AA80</f>
        <v>0</v>
      </c>
      <c r="Z80" s="457">
        <v>0</v>
      </c>
      <c r="AA80" s="20">
        <f t="shared" si="69"/>
        <v>0</v>
      </c>
      <c r="AB80" s="21">
        <f>JULIO!AD80</f>
        <v>0</v>
      </c>
      <c r="AC80" s="457">
        <v>0</v>
      </c>
      <c r="AD80" s="20">
        <f t="shared" si="70"/>
        <v>0</v>
      </c>
      <c r="AE80" s="21">
        <f>JULIO!AG80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+IF(JULIO!A81=0,"",JULIO!A81)</f>
        <v>1130119</v>
      </c>
      <c r="B81" s="45" t="str">
        <f>+IF(JULIO!B81=0,"",JULIO!B81)</f>
        <v>Digitar nombre de Nuevo Rubro. Si lo Requiere</v>
      </c>
      <c r="C81" s="53">
        <f>ENERO!C81</f>
        <v>0</v>
      </c>
      <c r="D81" s="53">
        <f t="shared" ref="D81:Q81" si="82">SUM(D82:D83)</f>
        <v>0</v>
      </c>
      <c r="E81" s="53">
        <f t="shared" si="82"/>
        <v>0</v>
      </c>
      <c r="F81" s="54">
        <f t="shared" si="82"/>
        <v>0</v>
      </c>
      <c r="G81" s="52">
        <f t="shared" si="82"/>
        <v>0</v>
      </c>
      <c r="H81" s="828">
        <f t="shared" si="82"/>
        <v>0</v>
      </c>
      <c r="I81" s="829">
        <f t="shared" si="82"/>
        <v>0</v>
      </c>
      <c r="J81" s="830">
        <f t="shared" si="82"/>
        <v>0</v>
      </c>
      <c r="K81" s="828">
        <f t="shared" si="82"/>
        <v>0</v>
      </c>
      <c r="L81" s="54">
        <f t="shared" si="82"/>
        <v>0</v>
      </c>
      <c r="M81" s="52">
        <f t="shared" si="82"/>
        <v>0</v>
      </c>
      <c r="N81" s="54">
        <f t="shared" si="82"/>
        <v>0</v>
      </c>
      <c r="P81" s="52">
        <f t="shared" si="82"/>
        <v>0</v>
      </c>
      <c r="Q81" s="54">
        <f t="shared" si="82"/>
        <v>0</v>
      </c>
      <c r="R81" s="10"/>
      <c r="S81" s="155">
        <f>+IF(JULIO!S81=0,"",JULIO!S81)</f>
        <v>1020199</v>
      </c>
      <c r="T81" s="159" t="str">
        <f>+IF(JULIO!T81=0,"",JULIO!T81)</f>
        <v>Vigencias Anteriores</v>
      </c>
      <c r="U81" s="29">
        <f>+ENERO!U81</f>
        <v>8738114</v>
      </c>
      <c r="V81" s="17">
        <f>JULIO!V81+AGOSTO!AL81</f>
        <v>5657703</v>
      </c>
      <c r="W81" s="17">
        <f>JULIO!W81+AGOSTO!AM81</f>
        <v>8749212</v>
      </c>
      <c r="X81" s="20">
        <f t="shared" si="68"/>
        <v>23145029</v>
      </c>
      <c r="Y81" s="21">
        <f>JULIO!AA81</f>
        <v>22680029</v>
      </c>
      <c r="Z81" s="457">
        <v>0</v>
      </c>
      <c r="AA81" s="20">
        <f t="shared" si="69"/>
        <v>22680029</v>
      </c>
      <c r="AB81" s="21">
        <f>JULIO!AD81</f>
        <v>22680029</v>
      </c>
      <c r="AC81" s="457">
        <v>0</v>
      </c>
      <c r="AD81" s="20">
        <f t="shared" si="70"/>
        <v>22680029</v>
      </c>
      <c r="AE81" s="21">
        <f>JULIO!AG81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+IF(JULIO!A82=0,"",JULIO!A82)</f>
        <v>1130119-1</v>
      </c>
      <c r="B82" s="189" t="str">
        <f>+CONCATENATE("Vigencia ",INSTRUCCIONES!$F$3)</f>
        <v>Vigencia 2014</v>
      </c>
      <c r="C82" s="456">
        <f>+ENERO!C82</f>
        <v>0</v>
      </c>
      <c r="D82" s="456">
        <f>JULIO!D82+AGOSTO!P82</f>
        <v>0</v>
      </c>
      <c r="E82" s="456">
        <f>JULIO!E82+AGOSTO!Q82</f>
        <v>0</v>
      </c>
      <c r="F82" s="170">
        <f t="shared" si="77"/>
        <v>0</v>
      </c>
      <c r="G82" s="283">
        <f>JULIO!I82</f>
        <v>0</v>
      </c>
      <c r="H82" s="815">
        <v>0</v>
      </c>
      <c r="I82" s="575">
        <f t="shared" si="78"/>
        <v>0</v>
      </c>
      <c r="J82" s="576">
        <f>JULIO!L82</f>
        <v>0</v>
      </c>
      <c r="K82" s="815">
        <v>0</v>
      </c>
      <c r="L82" s="170">
        <f t="shared" si="79"/>
        <v>0</v>
      </c>
      <c r="M82" s="283">
        <f t="shared" si="80"/>
        <v>0</v>
      </c>
      <c r="N82" s="170">
        <f t="shared" si="81"/>
        <v>0</v>
      </c>
      <c r="P82" s="455">
        <v>0</v>
      </c>
      <c r="Q82" s="458">
        <v>0</v>
      </c>
      <c r="R82" s="10"/>
      <c r="S82" s="448" t="str">
        <f>+IF(JULIO!S82=0,"",JULIO!S82)</f>
        <v/>
      </c>
      <c r="T82" s="649" t="str">
        <f>+IF(JULIO!T82=0,"",JULIO!T82)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+IF(JULIO!A83=0,"",JULIO!A83)</f>
        <v>1130119-2</v>
      </c>
      <c r="B83" s="189" t="str">
        <f>+IF(JULIO!B83=0,"",JULIO!B83)</f>
        <v>Vigencias Anteriores</v>
      </c>
      <c r="C83" s="456">
        <f>+ENERO!C83</f>
        <v>0</v>
      </c>
      <c r="D83" s="456">
        <f>JULIO!D83+AGOSTO!P83</f>
        <v>0</v>
      </c>
      <c r="E83" s="456">
        <f>JULIO!E83+AGOSTO!Q83</f>
        <v>0</v>
      </c>
      <c r="F83" s="170">
        <f t="shared" si="77"/>
        <v>0</v>
      </c>
      <c r="G83" s="283">
        <f>JULIO!I83</f>
        <v>0</v>
      </c>
      <c r="H83" s="815">
        <v>0</v>
      </c>
      <c r="I83" s="575">
        <f t="shared" si="78"/>
        <v>0</v>
      </c>
      <c r="J83" s="576">
        <f>JULIO!L83</f>
        <v>0</v>
      </c>
      <c r="K83" s="815">
        <v>0</v>
      </c>
      <c r="L83" s="170">
        <f t="shared" si="79"/>
        <v>0</v>
      </c>
      <c r="M83" s="283">
        <f t="shared" si="80"/>
        <v>0</v>
      </c>
      <c r="N83" s="170">
        <f t="shared" si="81"/>
        <v>0</v>
      </c>
      <c r="P83" s="455">
        <v>0</v>
      </c>
      <c r="Q83" s="458">
        <v>0</v>
      </c>
      <c r="R83" s="10"/>
      <c r="S83" s="34">
        <f>+IF(JULIO!S83=0,"",JULIO!S83)</f>
        <v>1020200</v>
      </c>
      <c r="T83" s="158" t="str">
        <f>+IF(JULIO!T83=0,"",JULIO!T83)</f>
        <v>Servicios Personales Indirectos</v>
      </c>
      <c r="U83" s="157">
        <f t="shared" ref="U83:AJ83" si="83">SUM(U84:U88)</f>
        <v>71000000</v>
      </c>
      <c r="V83" s="144">
        <f t="shared" si="83"/>
        <v>0</v>
      </c>
      <c r="W83" s="144">
        <f t="shared" si="83"/>
        <v>4687311</v>
      </c>
      <c r="X83" s="152">
        <f t="shared" si="83"/>
        <v>75687311</v>
      </c>
      <c r="Y83" s="151">
        <f t="shared" si="83"/>
        <v>30448328</v>
      </c>
      <c r="Z83" s="144">
        <f t="shared" si="83"/>
        <v>3234060</v>
      </c>
      <c r="AA83" s="152">
        <f t="shared" si="83"/>
        <v>33682388</v>
      </c>
      <c r="AB83" s="151">
        <f t="shared" si="83"/>
        <v>30448328</v>
      </c>
      <c r="AC83" s="144">
        <f t="shared" si="83"/>
        <v>3234060</v>
      </c>
      <c r="AD83" s="152">
        <f t="shared" si="83"/>
        <v>33682388</v>
      </c>
      <c r="AE83" s="151">
        <f t="shared" si="83"/>
        <v>28292228</v>
      </c>
      <c r="AF83" s="144">
        <f t="shared" si="83"/>
        <v>1503300</v>
      </c>
      <c r="AG83" s="152">
        <f t="shared" si="83"/>
        <v>29795528</v>
      </c>
      <c r="AH83" s="151">
        <f t="shared" si="83"/>
        <v>42004923</v>
      </c>
      <c r="AI83" s="144">
        <f t="shared" si="83"/>
        <v>42004923</v>
      </c>
      <c r="AJ83" s="153">
        <f t="shared" si="83"/>
        <v>45891783</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+IF(JULIO!A84=0,"",JULIO!A84)</f>
        <v/>
      </c>
      <c r="B84" s="557" t="str">
        <f>+IF(JULIO!B84=0,"",JULIO!B84)</f>
        <v/>
      </c>
      <c r="C84" s="495"/>
      <c r="D84" s="495"/>
      <c r="E84" s="495"/>
      <c r="F84" s="495"/>
      <c r="G84" s="495"/>
      <c r="H84" s="827"/>
      <c r="I84" s="827"/>
      <c r="J84" s="827"/>
      <c r="K84" s="827"/>
      <c r="L84" s="495"/>
      <c r="M84" s="495"/>
      <c r="N84" s="496"/>
      <c r="P84" s="497"/>
      <c r="Q84" s="496"/>
      <c r="R84" s="10"/>
      <c r="S84" s="155" t="str">
        <f>+IF(JULIO!S84=0,"",JULIO!S84)</f>
        <v>1020200-1</v>
      </c>
      <c r="T84" s="159" t="str">
        <f>+IF(JULIO!T84=0,"",JULIO!T84)</f>
        <v>Remuneración y Honorarios por Servicios Técnicos y Profesionales</v>
      </c>
      <c r="U84" s="29">
        <f>+ENERO!U84</f>
        <v>20000000</v>
      </c>
      <c r="V84" s="17">
        <f>JULIO!V84+AGOSTO!AL84</f>
        <v>0</v>
      </c>
      <c r="W84" s="17">
        <f>JULIO!W84+AGOSTO!AM84</f>
        <v>0</v>
      </c>
      <c r="X84" s="20">
        <f>SUM(U84:W84)</f>
        <v>20000000</v>
      </c>
      <c r="Y84" s="21">
        <f>JULIO!AA84</f>
        <v>10513828</v>
      </c>
      <c r="Z84" s="457">
        <v>1621960</v>
      </c>
      <c r="AA84" s="20">
        <f>SUM(Y84:Z84)</f>
        <v>12135788</v>
      </c>
      <c r="AB84" s="21">
        <f>JULIO!AD84</f>
        <v>10513828</v>
      </c>
      <c r="AC84" s="457">
        <v>1621960</v>
      </c>
      <c r="AD84" s="20">
        <f>SUM(AB84:AC84)</f>
        <v>12135788</v>
      </c>
      <c r="AE84" s="21">
        <f>JULIO!AG84</f>
        <v>10513828</v>
      </c>
      <c r="AF84" s="457">
        <v>0</v>
      </c>
      <c r="AG84" s="20">
        <f>SUM(AE84:AF84)</f>
        <v>10513828</v>
      </c>
      <c r="AH84" s="21">
        <f>X84-AA84</f>
        <v>7864212</v>
      </c>
      <c r="AI84" s="17">
        <f>X84-AD84</f>
        <v>7864212</v>
      </c>
      <c r="AJ84" s="18">
        <f>X84-AG84</f>
        <v>9486172</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+IF(JULIO!A85=0,"",JULIO!A85)</f>
        <v>11302</v>
      </c>
      <c r="B85" s="460" t="str">
        <f>+IF(JULIO!B85=0,"",JULIO!B85)</f>
        <v>Venta de Otros Bienes y Servicios</v>
      </c>
      <c r="C85" s="559">
        <f t="shared" ref="C85:N85" si="84">SUM(C86:C93)</f>
        <v>115179029</v>
      </c>
      <c r="D85" s="559">
        <f t="shared" si="84"/>
        <v>0</v>
      </c>
      <c r="E85" s="559">
        <f t="shared" si="84"/>
        <v>0</v>
      </c>
      <c r="F85" s="560">
        <f t="shared" si="84"/>
        <v>115179029</v>
      </c>
      <c r="G85" s="558">
        <f t="shared" si="84"/>
        <v>94809912</v>
      </c>
      <c r="H85" s="837">
        <f t="shared" si="84"/>
        <v>15629885</v>
      </c>
      <c r="I85" s="838">
        <f t="shared" si="84"/>
        <v>110439797</v>
      </c>
      <c r="J85" s="839">
        <f t="shared" si="84"/>
        <v>94809912</v>
      </c>
      <c r="K85" s="837">
        <f t="shared" si="84"/>
        <v>15629885</v>
      </c>
      <c r="L85" s="560">
        <f t="shared" si="84"/>
        <v>110439797</v>
      </c>
      <c r="M85" s="558">
        <f t="shared" si="84"/>
        <v>4739232</v>
      </c>
      <c r="N85" s="560">
        <f t="shared" si="84"/>
        <v>4739232</v>
      </c>
      <c r="P85" s="52">
        <f>SUM(P86:P93)</f>
        <v>0</v>
      </c>
      <c r="Q85" s="54">
        <f>SUM(Q86:Q93)</f>
        <v>0</v>
      </c>
      <c r="R85" s="10"/>
      <c r="S85" s="155" t="str">
        <f>+IF(JULIO!S85=0,"",JULIO!S85)</f>
        <v>1020200-2</v>
      </c>
      <c r="T85" s="159" t="str">
        <f>+IF(JULIO!T85=0,"",JULIO!T85)</f>
        <v>Personal Supernumerario</v>
      </c>
      <c r="U85" s="29">
        <f>+ENERO!U85</f>
        <v>22000000</v>
      </c>
      <c r="V85" s="17">
        <f>JULIO!V85+AGOSTO!AL85</f>
        <v>0</v>
      </c>
      <c r="W85" s="17">
        <f>JULIO!W85+AGOSTO!AM85</f>
        <v>0</v>
      </c>
      <c r="X85" s="20">
        <f>SUM(U85:W85)</f>
        <v>22000000</v>
      </c>
      <c r="Y85" s="21">
        <f>JULIO!AA85</f>
        <v>4512589</v>
      </c>
      <c r="Z85" s="457">
        <v>0</v>
      </c>
      <c r="AA85" s="20">
        <f>SUM(Y85:Z85)</f>
        <v>4512589</v>
      </c>
      <c r="AB85" s="21">
        <f>JULIO!AD85</f>
        <v>4512589</v>
      </c>
      <c r="AC85" s="457">
        <v>0</v>
      </c>
      <c r="AD85" s="20">
        <f>SUM(AB85:AC85)</f>
        <v>4512589</v>
      </c>
      <c r="AE85" s="21">
        <f>JULIO!AG85</f>
        <v>3904589</v>
      </c>
      <c r="AF85" s="457">
        <v>0</v>
      </c>
      <c r="AG85" s="20">
        <f>SUM(AE85:AF85)</f>
        <v>3904589</v>
      </c>
      <c r="AH85" s="21">
        <f>X85-AA85</f>
        <v>17487411</v>
      </c>
      <c r="AI85" s="17">
        <f>X85-AD85</f>
        <v>17487411</v>
      </c>
      <c r="AJ85" s="18">
        <f>X85-AG85</f>
        <v>18095411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+IF(JULIO!A86=0,"",JULIO!A86)</f>
        <v>1130201</v>
      </c>
      <c r="B86" s="55" t="str">
        <f>+IF(JULIO!B86=0,"",JULIO!B86)</f>
        <v>ARRENDAMIENTO Y ALQUILER DE BIENES MUEBLES E INMUEBLES</v>
      </c>
      <c r="C86" s="456">
        <f>+ENERO!C86</f>
        <v>3552425</v>
      </c>
      <c r="D86" s="456">
        <f>JULIO!D86+AGOSTO!P86</f>
        <v>0</v>
      </c>
      <c r="E86" s="456">
        <f>JULIO!E86+AGOSTO!Q86</f>
        <v>0</v>
      </c>
      <c r="F86" s="170">
        <f t="shared" ref="F86:F92" si="85">SUM(C86:E86)</f>
        <v>3552425</v>
      </c>
      <c r="G86" s="283">
        <f>JULIO!I86</f>
        <v>5016061</v>
      </c>
      <c r="H86" s="853">
        <v>909515</v>
      </c>
      <c r="I86" s="575">
        <f t="shared" ref="I86:I92" si="86">SUM(G86:H86)</f>
        <v>5925576</v>
      </c>
      <c r="J86" s="576">
        <f>JULIO!L86</f>
        <v>5016061</v>
      </c>
      <c r="K86" s="853">
        <v>909515</v>
      </c>
      <c r="L86" s="170">
        <f t="shared" ref="L86:L92" si="87">SUM(J86:K86)</f>
        <v>5925576</v>
      </c>
      <c r="M86" s="283">
        <f t="shared" ref="M86:M92" si="88">F86-I86</f>
        <v>-2373151</v>
      </c>
      <c r="N86" s="170">
        <f t="shared" ref="N86:N92" si="89">F86-L86</f>
        <v>-2373151</v>
      </c>
      <c r="O86" s="467"/>
      <c r="P86" s="455">
        <v>0</v>
      </c>
      <c r="Q86" s="458">
        <v>0</v>
      </c>
      <c r="S86" s="155" t="str">
        <f>+IF(JULIO!S86=0,"",JULIO!S86)</f>
        <v>1020200-4</v>
      </c>
      <c r="T86" s="159" t="str">
        <f>+IF(JULIO!T86=0,"",JULIO!T86)</f>
        <v>Otros Honorarios (Servicios de Cooperativa)</v>
      </c>
      <c r="U86" s="29">
        <f>+ENERO!U86</f>
        <v>25000000</v>
      </c>
      <c r="V86" s="17">
        <f>JULIO!V86+AGOSTO!AL86</f>
        <v>0</v>
      </c>
      <c r="W86" s="17">
        <f>JULIO!W86+AGOSTO!AM86</f>
        <v>0</v>
      </c>
      <c r="X86" s="20">
        <f>SUM(U86:W86)</f>
        <v>25000000</v>
      </c>
      <c r="Y86" s="21">
        <f>JULIO!AA86</f>
        <v>6734600</v>
      </c>
      <c r="Z86" s="457">
        <v>1612100</v>
      </c>
      <c r="AA86" s="20">
        <f>SUM(Y86:Z86)</f>
        <v>8346700</v>
      </c>
      <c r="AB86" s="21">
        <f>JULIO!AD86</f>
        <v>6734600</v>
      </c>
      <c r="AC86" s="457">
        <v>1612100</v>
      </c>
      <c r="AD86" s="20">
        <f>SUM(AB86:AC86)</f>
        <v>8346700</v>
      </c>
      <c r="AE86" s="21">
        <f>JULIO!AG86</f>
        <v>5233800</v>
      </c>
      <c r="AF86" s="457">
        <v>1503300</v>
      </c>
      <c r="AG86" s="20">
        <f>SUM(AE86:AF86)</f>
        <v>6737100</v>
      </c>
      <c r="AH86" s="21">
        <f>X86-AA86</f>
        <v>16653300</v>
      </c>
      <c r="AI86" s="17">
        <f>X86-AD86</f>
        <v>16653300</v>
      </c>
      <c r="AJ86" s="18">
        <f>X86-AG86</f>
        <v>18262900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+IF(JULIO!A87=0,"",JULIO!A87)</f>
        <v>1130202</v>
      </c>
      <c r="B87" s="55" t="str">
        <f>+IF(JULIO!B87=0,"",JULIO!B87)</f>
        <v>COMERCIALIZACIÓN DE MERCANCÍAS</v>
      </c>
      <c r="C87" s="456">
        <f>+ENERO!C87</f>
        <v>0</v>
      </c>
      <c r="D87" s="456">
        <f>JULIO!D87+AGOSTO!P87</f>
        <v>0</v>
      </c>
      <c r="E87" s="456">
        <f>JULIO!E87+AGOSTO!Q87</f>
        <v>0</v>
      </c>
      <c r="F87" s="170">
        <f t="shared" si="85"/>
        <v>0</v>
      </c>
      <c r="G87" s="283">
        <f>JULIO!I87</f>
        <v>7506420</v>
      </c>
      <c r="H87" s="853">
        <v>2150736</v>
      </c>
      <c r="I87" s="575">
        <f t="shared" si="86"/>
        <v>9657156</v>
      </c>
      <c r="J87" s="576">
        <f>JULIO!L87</f>
        <v>7506420</v>
      </c>
      <c r="K87" s="853">
        <v>2150736</v>
      </c>
      <c r="L87" s="170">
        <f t="shared" si="87"/>
        <v>9657156</v>
      </c>
      <c r="M87" s="283">
        <f t="shared" si="88"/>
        <v>-9657156</v>
      </c>
      <c r="N87" s="170">
        <f t="shared" si="89"/>
        <v>-9657156</v>
      </c>
      <c r="P87" s="455">
        <v>0</v>
      </c>
      <c r="Q87" s="458">
        <v>0</v>
      </c>
      <c r="R87" s="10"/>
      <c r="S87" s="155" t="str">
        <f>+IF(JULIO!S87=0,"",JULIO!S87)</f>
        <v/>
      </c>
      <c r="T87" s="159" t="str">
        <f>+IF(JULIO!T87=0,"",JULIO!T87)</f>
        <v/>
      </c>
      <c r="U87" s="29">
        <f>+ENERO!U87</f>
        <v>0</v>
      </c>
      <c r="V87" s="17">
        <f>JULIO!V87+AGOSTO!AL87</f>
        <v>0</v>
      </c>
      <c r="W87" s="17">
        <f>JULIO!W87+AGOSTO!AM87</f>
        <v>0</v>
      </c>
      <c r="X87" s="20">
        <f>SUM(U87:W87)</f>
        <v>0</v>
      </c>
      <c r="Y87" s="21">
        <f>JULIO!AA87</f>
        <v>0</v>
      </c>
      <c r="Z87" s="457">
        <v>0</v>
      </c>
      <c r="AA87" s="20">
        <f>SUM(Y87:Z87)</f>
        <v>0</v>
      </c>
      <c r="AB87" s="21">
        <f>JULIO!AD87</f>
        <v>0</v>
      </c>
      <c r="AC87" s="457">
        <v>0</v>
      </c>
      <c r="AD87" s="20">
        <f>SUM(AB87:AC87)</f>
        <v>0</v>
      </c>
      <c r="AE87" s="21">
        <f>JULIO!AG87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+IF(JULIO!A88=0,"",JULIO!A88)</f>
        <v>1130203</v>
      </c>
      <c r="B88" s="55" t="str">
        <f>+IF(JULIO!B88=0,"",JULIO!B88)</f>
        <v>CONVENIOS CON LA NACION LIGADOS A LA VTA DE SERVICIOS</v>
      </c>
      <c r="C88" s="456">
        <f>+ENERO!C88</f>
        <v>0</v>
      </c>
      <c r="D88" s="456">
        <f>JULIO!D88+AGOSTO!P88</f>
        <v>0</v>
      </c>
      <c r="E88" s="456">
        <f>JULIO!E88+AGOSTO!Q88</f>
        <v>0</v>
      </c>
      <c r="F88" s="170">
        <f t="shared" si="85"/>
        <v>0</v>
      </c>
      <c r="G88" s="283">
        <f>JULIO!I88</f>
        <v>0</v>
      </c>
      <c r="H88" s="815">
        <v>0</v>
      </c>
      <c r="I88" s="575">
        <f t="shared" si="86"/>
        <v>0</v>
      </c>
      <c r="J88" s="576">
        <f>JULIO!L88</f>
        <v>0</v>
      </c>
      <c r="K88" s="815">
        <v>0</v>
      </c>
      <c r="L88" s="170">
        <f t="shared" si="87"/>
        <v>0</v>
      </c>
      <c r="M88" s="283">
        <f t="shared" si="88"/>
        <v>0</v>
      </c>
      <c r="N88" s="170">
        <f t="shared" si="89"/>
        <v>0</v>
      </c>
      <c r="P88" s="455">
        <v>0</v>
      </c>
      <c r="Q88" s="458">
        <v>0</v>
      </c>
      <c r="R88" s="10"/>
      <c r="S88" s="155">
        <f>+IF(JULIO!S88=0,"",JULIO!S88)</f>
        <v>1020299</v>
      </c>
      <c r="T88" s="159" t="str">
        <f>+IF(JULIO!T88=0,"",JULIO!T88)</f>
        <v>Vigencias Anteriores</v>
      </c>
      <c r="U88" s="29">
        <f>+ENERO!U88</f>
        <v>4000000</v>
      </c>
      <c r="V88" s="17">
        <f>JULIO!V88+AGOSTO!AL88</f>
        <v>0</v>
      </c>
      <c r="W88" s="17">
        <f>JULIO!W88+AGOSTO!AM88</f>
        <v>4687311</v>
      </c>
      <c r="X88" s="20">
        <f>SUM(U88:W88)</f>
        <v>8687311</v>
      </c>
      <c r="Y88" s="21">
        <f>JULIO!AA88</f>
        <v>8687311</v>
      </c>
      <c r="Z88" s="457">
        <v>0</v>
      </c>
      <c r="AA88" s="20">
        <f>SUM(Y88:Z88)</f>
        <v>8687311</v>
      </c>
      <c r="AB88" s="21">
        <f>JULIO!AD88</f>
        <v>8687311</v>
      </c>
      <c r="AC88" s="457">
        <v>0</v>
      </c>
      <c r="AD88" s="20">
        <f>SUM(AB88:AC88)</f>
        <v>8687311</v>
      </c>
      <c r="AE88" s="21">
        <f>JULIO!AG88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+IF(JULIO!A89=0,"",JULIO!A89)</f>
        <v>1130204</v>
      </c>
      <c r="B89" s="55" t="str">
        <f>+IF(JULIO!B89=0,"",JULIO!B89)</f>
        <v>CONVENIOS CON EL DEPARTAMENTO LIGADOS A LA VTA SERVICIOS</v>
      </c>
      <c r="C89" s="456">
        <f>+ENERO!C89</f>
        <v>0</v>
      </c>
      <c r="D89" s="456">
        <f>JULIO!D89+AGOSTO!P89</f>
        <v>0</v>
      </c>
      <c r="E89" s="456">
        <f>JULIO!E89+AGOSTO!Q89</f>
        <v>0</v>
      </c>
      <c r="F89" s="170">
        <f t="shared" si="85"/>
        <v>0</v>
      </c>
      <c r="G89" s="283">
        <f>JULIO!I89</f>
        <v>0</v>
      </c>
      <c r="H89" s="815">
        <v>0</v>
      </c>
      <c r="I89" s="575">
        <f t="shared" si="86"/>
        <v>0</v>
      </c>
      <c r="J89" s="576">
        <f>JULIO!L89</f>
        <v>0</v>
      </c>
      <c r="K89" s="815">
        <v>0</v>
      </c>
      <c r="L89" s="170">
        <f t="shared" si="87"/>
        <v>0</v>
      </c>
      <c r="M89" s="283">
        <f t="shared" si="88"/>
        <v>0</v>
      </c>
      <c r="N89" s="170">
        <f t="shared" si="89"/>
        <v>0</v>
      </c>
      <c r="P89" s="455">
        <v>0</v>
      </c>
      <c r="Q89" s="458">
        <v>0</v>
      </c>
      <c r="R89" s="10"/>
      <c r="S89" s="448" t="str">
        <f>+IF(JULIO!S89=0,"",JULIO!S89)</f>
        <v/>
      </c>
      <c r="T89" s="649" t="str">
        <f>+IF(JULIO!T89=0,"",JULIO!T89)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+IF(JULIO!A90=0,"",JULIO!A90)</f>
        <v>1130205</v>
      </c>
      <c r="B90" s="55" t="str">
        <f>+IF(JULIO!B90=0,"",JULIO!B90)</f>
        <v>CONVENIOS CON EL MUNICIPIO LIGADOS A LA VTA DE SERVICIOS</v>
      </c>
      <c r="C90" s="456">
        <f>+ENERO!C90</f>
        <v>0</v>
      </c>
      <c r="D90" s="456">
        <f>JULIO!D90+AGOSTO!P90</f>
        <v>0</v>
      </c>
      <c r="E90" s="456">
        <f>JULIO!E90+AGOSTO!Q90</f>
        <v>0</v>
      </c>
      <c r="F90" s="170">
        <f t="shared" si="85"/>
        <v>0</v>
      </c>
      <c r="G90" s="283">
        <f>JULIO!I90</f>
        <v>0</v>
      </c>
      <c r="H90" s="815">
        <v>0</v>
      </c>
      <c r="I90" s="575">
        <f t="shared" si="86"/>
        <v>0</v>
      </c>
      <c r="J90" s="576">
        <f>JULIO!L90</f>
        <v>0</v>
      </c>
      <c r="K90" s="815">
        <v>0</v>
      </c>
      <c r="L90" s="170">
        <f t="shared" si="87"/>
        <v>0</v>
      </c>
      <c r="M90" s="283">
        <f t="shared" si="88"/>
        <v>0</v>
      </c>
      <c r="N90" s="170">
        <f t="shared" si="89"/>
        <v>0</v>
      </c>
      <c r="O90" s="467"/>
      <c r="P90" s="455">
        <v>0</v>
      </c>
      <c r="Q90" s="458">
        <v>0</v>
      </c>
      <c r="R90" s="32"/>
      <c r="S90" s="34">
        <f>+IF(JULIO!S90=0,"",JULIO!S90)</f>
        <v>1020300</v>
      </c>
      <c r="T90" s="158" t="str">
        <f>+IF(JULIO!T90=0,"",JULIO!T90)</f>
        <v>Contribuciones Inherentes nómina al Sector Privado</v>
      </c>
      <c r="U90" s="157">
        <f t="shared" ref="U90:AJ90" si="90">U91+U96+U102</f>
        <v>371241003</v>
      </c>
      <c r="V90" s="144">
        <f t="shared" si="90"/>
        <v>0</v>
      </c>
      <c r="W90" s="144">
        <f t="shared" si="90"/>
        <v>5352587</v>
      </c>
      <c r="X90" s="152">
        <f t="shared" si="90"/>
        <v>376593590</v>
      </c>
      <c r="Y90" s="151">
        <f t="shared" si="90"/>
        <v>213003677</v>
      </c>
      <c r="Z90" s="144">
        <f t="shared" si="90"/>
        <v>22540684</v>
      </c>
      <c r="AA90" s="152">
        <f t="shared" si="90"/>
        <v>235544361</v>
      </c>
      <c r="AB90" s="151">
        <f t="shared" si="90"/>
        <v>213003677</v>
      </c>
      <c r="AC90" s="144">
        <f t="shared" si="90"/>
        <v>22540684</v>
      </c>
      <c r="AD90" s="152">
        <f t="shared" si="90"/>
        <v>235544361</v>
      </c>
      <c r="AE90" s="151">
        <f t="shared" si="90"/>
        <v>200759277</v>
      </c>
      <c r="AF90" s="144">
        <f t="shared" si="90"/>
        <v>14528715</v>
      </c>
      <c r="AG90" s="152">
        <f t="shared" si="90"/>
        <v>215287992</v>
      </c>
      <c r="AH90" s="151">
        <f t="shared" si="90"/>
        <v>141049229</v>
      </c>
      <c r="AI90" s="144">
        <f t="shared" si="90"/>
        <v>141049229</v>
      </c>
      <c r="AJ90" s="153">
        <f t="shared" si="90"/>
        <v>161305598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+IF(JULIO!A91=0,"",JULIO!A91)</f>
        <v>1130206</v>
      </c>
      <c r="B91" s="55" t="str">
        <f>+IF(JULIO!B91=0,"",JULIO!B91)</f>
        <v>OTROS CONVENIOS LIGADOS A LA VTA DE SERVICIOS</v>
      </c>
      <c r="C91" s="456">
        <f>+ENERO!C91</f>
        <v>0</v>
      </c>
      <c r="D91" s="456">
        <f>JULIO!D91+AGOSTO!P91</f>
        <v>0</v>
      </c>
      <c r="E91" s="456">
        <f>JULIO!E91+AGOSTO!Q91</f>
        <v>0</v>
      </c>
      <c r="F91" s="170">
        <f t="shared" si="85"/>
        <v>0</v>
      </c>
      <c r="G91" s="283">
        <f>JULIO!I91</f>
        <v>0</v>
      </c>
      <c r="H91" s="815">
        <v>0</v>
      </c>
      <c r="I91" s="575">
        <f t="shared" si="86"/>
        <v>0</v>
      </c>
      <c r="J91" s="576">
        <f>JULIO!L91</f>
        <v>0</v>
      </c>
      <c r="K91" s="815">
        <v>0</v>
      </c>
      <c r="L91" s="170">
        <f t="shared" si="87"/>
        <v>0</v>
      </c>
      <c r="M91" s="283">
        <f t="shared" si="88"/>
        <v>0</v>
      </c>
      <c r="N91" s="170">
        <f t="shared" si="89"/>
        <v>0</v>
      </c>
      <c r="O91" s="467"/>
      <c r="P91" s="455">
        <v>0</v>
      </c>
      <c r="Q91" s="458">
        <v>0</v>
      </c>
      <c r="R91" s="32"/>
      <c r="S91" s="155">
        <f>+IF(JULIO!S91=0,"",JULIO!S91)</f>
        <v>1020301</v>
      </c>
      <c r="T91" s="159" t="str">
        <f>+IF(JULIO!T91=0,"",JULIO!T91)</f>
        <v>Contribuciones - Sin Situación de Fondos</v>
      </c>
      <c r="U91" s="29">
        <f t="shared" ref="U91:AJ91" si="91">SUM(U92:U95)</f>
        <v>165265755</v>
      </c>
      <c r="V91" s="17">
        <f t="shared" si="91"/>
        <v>0</v>
      </c>
      <c r="W91" s="17">
        <f t="shared" si="91"/>
        <v>0</v>
      </c>
      <c r="X91" s="20">
        <f t="shared" si="91"/>
        <v>165265755</v>
      </c>
      <c r="Y91" s="21">
        <f t="shared" si="91"/>
        <v>59691345</v>
      </c>
      <c r="Z91" s="169">
        <f t="shared" si="91"/>
        <v>9050342</v>
      </c>
      <c r="AA91" s="20">
        <f t="shared" si="91"/>
        <v>68741687</v>
      </c>
      <c r="AB91" s="21">
        <f t="shared" si="91"/>
        <v>59691345</v>
      </c>
      <c r="AC91" s="169">
        <f t="shared" si="91"/>
        <v>9050342</v>
      </c>
      <c r="AD91" s="20">
        <f t="shared" si="91"/>
        <v>68741687</v>
      </c>
      <c r="AE91" s="21">
        <f t="shared" si="91"/>
        <v>59691345</v>
      </c>
      <c r="AF91" s="169">
        <f t="shared" si="91"/>
        <v>2284315</v>
      </c>
      <c r="AG91" s="20">
        <f t="shared" si="91"/>
        <v>61975660</v>
      </c>
      <c r="AH91" s="21">
        <f t="shared" si="91"/>
        <v>96524068</v>
      </c>
      <c r="AI91" s="17">
        <f t="shared" si="91"/>
        <v>96524068</v>
      </c>
      <c r="AJ91" s="18">
        <f t="shared" si="91"/>
        <v>103290095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+IF(JULIO!A92=0,"",JULIO!A92)</f>
        <v>1130207</v>
      </c>
      <c r="B92" s="563" t="s">
        <v>482</v>
      </c>
      <c r="C92" s="456">
        <f>+ENERO!C92</f>
        <v>0</v>
      </c>
      <c r="D92" s="456">
        <f>JULIO!D92+AGOSTO!P92</f>
        <v>0</v>
      </c>
      <c r="E92" s="456">
        <f>JULIO!E92+AGOSTO!Q92</f>
        <v>0</v>
      </c>
      <c r="F92" s="170">
        <f t="shared" si="85"/>
        <v>0</v>
      </c>
      <c r="G92" s="283">
        <f>JULIO!I92</f>
        <v>0</v>
      </c>
      <c r="H92" s="815">
        <v>0</v>
      </c>
      <c r="I92" s="575">
        <f t="shared" si="86"/>
        <v>0</v>
      </c>
      <c r="J92" s="576">
        <f>JULIO!L92</f>
        <v>0</v>
      </c>
      <c r="K92" s="815">
        <v>0</v>
      </c>
      <c r="L92" s="170">
        <f t="shared" si="87"/>
        <v>0</v>
      </c>
      <c r="M92" s="283">
        <f t="shared" si="88"/>
        <v>0</v>
      </c>
      <c r="N92" s="170">
        <f t="shared" si="89"/>
        <v>0</v>
      </c>
      <c r="O92" s="467"/>
      <c r="P92" s="455">
        <v>0</v>
      </c>
      <c r="Q92" s="458">
        <v>0</v>
      </c>
      <c r="R92" s="32"/>
      <c r="S92" s="156" t="str">
        <f>+IF(JULIO!S92=0,"",JULIO!S92)</f>
        <v>1020301-1</v>
      </c>
      <c r="T92" s="55" t="str">
        <f>+IF(JULIO!T92=0,"",JULIO!T92)</f>
        <v>Aportes a E.P.S.- Sin sit. Fondos</v>
      </c>
      <c r="U92" s="29">
        <f>+ENERO!U92</f>
        <v>72234575</v>
      </c>
      <c r="V92" s="17">
        <f>JULIO!V92+AGOSTO!AL92</f>
        <v>0</v>
      </c>
      <c r="W92" s="17">
        <f>JULIO!W92+AGOSTO!AM92</f>
        <v>0</v>
      </c>
      <c r="X92" s="20">
        <f>SUM(U92:W92)</f>
        <v>72234575</v>
      </c>
      <c r="Y92" s="21">
        <f>JULIO!AA92</f>
        <v>28888465</v>
      </c>
      <c r="Z92" s="457">
        <v>2698412</v>
      </c>
      <c r="AA92" s="20">
        <f>SUM(Y92:Z92)</f>
        <v>31586877</v>
      </c>
      <c r="AB92" s="21">
        <f>JULIO!AD92</f>
        <v>28888465</v>
      </c>
      <c r="AC92" s="457">
        <v>2698412</v>
      </c>
      <c r="AD92" s="20">
        <f>SUM(AB92:AC92)</f>
        <v>31586877</v>
      </c>
      <c r="AE92" s="21">
        <f>JULIO!AG92</f>
        <v>28888465</v>
      </c>
      <c r="AF92" s="457">
        <v>2284315</v>
      </c>
      <c r="AG92" s="20">
        <f>SUM(AE92:AF92)</f>
        <v>31172780</v>
      </c>
      <c r="AH92" s="21">
        <f>X92-AA92</f>
        <v>40647698</v>
      </c>
      <c r="AI92" s="17">
        <f>X92-AD92</f>
        <v>40647698</v>
      </c>
      <c r="AJ92" s="18">
        <f>X92-AG92</f>
        <v>41061795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+IF(JULIO!A93=0,"",JULIO!A93)</f>
        <v>1130209</v>
      </c>
      <c r="B93" s="170" t="str">
        <f>+IF(JULIO!B93=0,"",JULIO!B93)</f>
        <v>OTROS</v>
      </c>
      <c r="C93" s="172">
        <f t="shared" ref="C93:N93" si="92">SUM(C94:C97)</f>
        <v>111626604</v>
      </c>
      <c r="D93" s="172">
        <f t="shared" si="92"/>
        <v>0</v>
      </c>
      <c r="E93" s="172">
        <f t="shared" si="92"/>
        <v>0</v>
      </c>
      <c r="F93" s="173">
        <f t="shared" si="92"/>
        <v>111626604</v>
      </c>
      <c r="G93" s="171">
        <f t="shared" si="92"/>
        <v>82287431</v>
      </c>
      <c r="H93" s="840">
        <f t="shared" si="92"/>
        <v>12569634</v>
      </c>
      <c r="I93" s="841">
        <f t="shared" si="92"/>
        <v>94857065</v>
      </c>
      <c r="J93" s="842">
        <f t="shared" si="92"/>
        <v>82287431</v>
      </c>
      <c r="K93" s="840">
        <f t="shared" si="92"/>
        <v>12569634</v>
      </c>
      <c r="L93" s="173">
        <f t="shared" si="92"/>
        <v>94857065</v>
      </c>
      <c r="M93" s="171">
        <f t="shared" si="92"/>
        <v>16769539</v>
      </c>
      <c r="N93" s="173">
        <f t="shared" si="92"/>
        <v>16769539</v>
      </c>
      <c r="O93" s="467"/>
      <c r="P93" s="171">
        <f>SUM(P94:P97)</f>
        <v>0</v>
      </c>
      <c r="Q93" s="173">
        <f>SUM(Q94:Q97)</f>
        <v>0</v>
      </c>
      <c r="R93" s="32"/>
      <c r="S93" s="156" t="str">
        <f>+IF(JULIO!S93=0,"",JULIO!S93)</f>
        <v>1020301-2</v>
      </c>
      <c r="T93" s="55" t="str">
        <f>+IF(JULIO!T93=0,"",JULIO!T93)</f>
        <v>Aportes Fondos Pensionales - Sin Sit. Fondos</v>
      </c>
      <c r="U93" s="29">
        <f>+ENERO!U93</f>
        <v>78026691</v>
      </c>
      <c r="V93" s="17">
        <f>JULIO!V93+AGOSTO!AL93</f>
        <v>0</v>
      </c>
      <c r="W93" s="17">
        <f>JULIO!W93+AGOSTO!AM93</f>
        <v>0</v>
      </c>
      <c r="X93" s="20">
        <f>SUM(U93:W93)</f>
        <v>78026691</v>
      </c>
      <c r="Y93" s="21">
        <f>JULIO!AA93</f>
        <v>30802880</v>
      </c>
      <c r="Z93" s="457">
        <v>0</v>
      </c>
      <c r="AA93" s="20">
        <f>SUM(Y93:Z93)</f>
        <v>30802880</v>
      </c>
      <c r="AB93" s="21">
        <f>JULIO!AD93</f>
        <v>30802880</v>
      </c>
      <c r="AC93" s="457">
        <v>0</v>
      </c>
      <c r="AD93" s="20">
        <f>SUM(AB93:AC93)</f>
        <v>30802880</v>
      </c>
      <c r="AE93" s="21">
        <f>JULIO!AG93</f>
        <v>30802880</v>
      </c>
      <c r="AF93" s="457">
        <v>0</v>
      </c>
      <c r="AG93" s="20">
        <f>SUM(AE93:AF93)</f>
        <v>30802880</v>
      </c>
      <c r="AH93" s="21">
        <f>X93-AA93</f>
        <v>47223811</v>
      </c>
      <c r="AI93" s="17">
        <f>X93-AD93</f>
        <v>47223811</v>
      </c>
      <c r="AJ93" s="18">
        <f>X93-AG93</f>
        <v>47223811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+IF(JULIO!A94=0,"",JULIO!A94)</f>
        <v>1130209 - 1</v>
      </c>
      <c r="B94" s="58" t="str">
        <f>+IF(JULIO!B94=0,"",JULIO!B94)</f>
        <v>Bienestar Social</v>
      </c>
      <c r="C94" s="456">
        <f>+ENERO!C94</f>
        <v>6347410</v>
      </c>
      <c r="D94" s="456">
        <f>JULIO!D94+AGOSTO!P94</f>
        <v>0</v>
      </c>
      <c r="E94" s="456">
        <f>JULIO!E94+AGOSTO!Q94</f>
        <v>0</v>
      </c>
      <c r="F94" s="170">
        <f>SUM(C94:E94)</f>
        <v>6347410</v>
      </c>
      <c r="G94" s="283">
        <f>JULIO!I94</f>
        <v>0</v>
      </c>
      <c r="H94" s="815">
        <v>0</v>
      </c>
      <c r="I94" s="575">
        <f>SUM(G94:H94)</f>
        <v>0</v>
      </c>
      <c r="J94" s="576">
        <f>JULIO!L94</f>
        <v>0</v>
      </c>
      <c r="K94" s="815">
        <v>0</v>
      </c>
      <c r="L94" s="170">
        <f>SUM(J94:K94)</f>
        <v>0</v>
      </c>
      <c r="M94" s="283">
        <f>F94-I94</f>
        <v>6347410</v>
      </c>
      <c r="N94" s="170">
        <f>F94-L94</f>
        <v>6347410</v>
      </c>
      <c r="O94" s="467"/>
      <c r="P94" s="455">
        <v>0</v>
      </c>
      <c r="Q94" s="458">
        <v>0</v>
      </c>
      <c r="R94" s="32"/>
      <c r="S94" s="156" t="str">
        <f>+IF(JULIO!S94=0,"",JULIO!S94)</f>
        <v>1020301-3</v>
      </c>
      <c r="T94" s="55" t="str">
        <f>+IF(JULIO!T94=0,"",JULIO!T94)</f>
        <v xml:space="preserve">Aportes a Fondos de Cesantia - Sin Sit. de Fondos </v>
      </c>
      <c r="U94" s="29">
        <f>+ENERO!U94</f>
        <v>15004488</v>
      </c>
      <c r="V94" s="17">
        <f>JULIO!V94+AGOSTO!AL94</f>
        <v>0</v>
      </c>
      <c r="W94" s="17">
        <f>JULIO!W94+AGOSTO!AM94</f>
        <v>0</v>
      </c>
      <c r="X94" s="20">
        <f>SUM(U94:W94)</f>
        <v>15004488</v>
      </c>
      <c r="Y94" s="21">
        <f>JULIO!AA94</f>
        <v>0</v>
      </c>
      <c r="Z94" s="457">
        <v>6351930</v>
      </c>
      <c r="AA94" s="20">
        <f>SUM(Y94:Z94)</f>
        <v>6351930</v>
      </c>
      <c r="AB94" s="21">
        <f>JULIO!AD94</f>
        <v>0</v>
      </c>
      <c r="AC94" s="457">
        <v>6351930</v>
      </c>
      <c r="AD94" s="20">
        <f>SUM(AB94:AC94)</f>
        <v>6351930</v>
      </c>
      <c r="AE94" s="21">
        <f>JULIO!AG94</f>
        <v>0</v>
      </c>
      <c r="AF94" s="457">
        <v>0</v>
      </c>
      <c r="AG94" s="20">
        <f>SUM(AE94:AF94)</f>
        <v>0</v>
      </c>
      <c r="AH94" s="21">
        <f>X94-AA94</f>
        <v>8652558</v>
      </c>
      <c r="AI94" s="17">
        <f>X94-AD94</f>
        <v>8652558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+IF(JULIO!A95=0,"",JULIO!A95)</f>
        <v>1130209 - 2</v>
      </c>
      <c r="B95" s="58" t="str">
        <f>+IF(JULIO!B95=0,"",JULIO!B95)</f>
        <v>Fondo de la Vivienda</v>
      </c>
      <c r="C95" s="456">
        <f>+ENERO!C95</f>
        <v>0</v>
      </c>
      <c r="D95" s="456">
        <f>JULIO!D95+AGOSTO!P95</f>
        <v>0</v>
      </c>
      <c r="E95" s="456">
        <f>JULIO!E95+AGOSTO!Q95</f>
        <v>0</v>
      </c>
      <c r="F95" s="170">
        <f>SUM(C95:E95)</f>
        <v>0</v>
      </c>
      <c r="G95" s="283">
        <f>JULIO!I95</f>
        <v>0</v>
      </c>
      <c r="H95" s="815">
        <v>0</v>
      </c>
      <c r="I95" s="575">
        <f>SUM(G95:H95)</f>
        <v>0</v>
      </c>
      <c r="J95" s="576">
        <f>JULIO!L95</f>
        <v>0</v>
      </c>
      <c r="K95" s="815">
        <v>0</v>
      </c>
      <c r="L95" s="170">
        <f>SUM(J95:K95)</f>
        <v>0</v>
      </c>
      <c r="M95" s="283">
        <f>F95-I95</f>
        <v>0</v>
      </c>
      <c r="N95" s="170">
        <f>F95-L95</f>
        <v>0</v>
      </c>
      <c r="O95" s="467"/>
      <c r="P95" s="455">
        <v>0</v>
      </c>
      <c r="Q95" s="458">
        <v>0</v>
      </c>
      <c r="R95" s="32"/>
      <c r="S95" s="156" t="str">
        <f>+IF(JULIO!S95=0,"",JULIO!S95)</f>
        <v>1020301-4</v>
      </c>
      <c r="T95" s="55" t="str">
        <f>+IF(JULIO!T95=0,"",JULIO!T95)</f>
        <v>Aporte a ARL. - Sin Sit. de Fondos</v>
      </c>
      <c r="U95" s="29">
        <f>+ENERO!U95</f>
        <v>1</v>
      </c>
      <c r="V95" s="17">
        <f>JULIO!V95+AGOSTO!AL95</f>
        <v>0</v>
      </c>
      <c r="W95" s="17">
        <f>JULIO!W95+AGOSTO!AM95</f>
        <v>0</v>
      </c>
      <c r="X95" s="20">
        <f>SUM(U95:W95)</f>
        <v>1</v>
      </c>
      <c r="Y95" s="21">
        <f>JULIO!AA95</f>
        <v>0</v>
      </c>
      <c r="Z95" s="457">
        <v>0</v>
      </c>
      <c r="AA95" s="20">
        <f>SUM(Y95:Z95)</f>
        <v>0</v>
      </c>
      <c r="AB95" s="21">
        <f>JULIO!AD95</f>
        <v>0</v>
      </c>
      <c r="AC95" s="457">
        <v>0</v>
      </c>
      <c r="AD95" s="20">
        <f>SUM(AB95:AC95)</f>
        <v>0</v>
      </c>
      <c r="AE95" s="21">
        <f>JULIO!AG95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+IF(JULIO!A96=0,"",JULIO!A96)</f>
        <v>1130209 - 3</v>
      </c>
      <c r="B96" s="58" t="str">
        <f>+IF(JULIO!B96=0,"",JULIO!B96)</f>
        <v xml:space="preserve">Aprovechamientos </v>
      </c>
      <c r="C96" s="456">
        <f>+ENERO!C96</f>
        <v>105279194</v>
      </c>
      <c r="D96" s="456">
        <f>JULIO!D96+AGOSTO!P96</f>
        <v>0</v>
      </c>
      <c r="E96" s="456">
        <f>JULIO!E96+AGOSTO!Q96</f>
        <v>0</v>
      </c>
      <c r="F96" s="170">
        <f>SUM(C96:E96)</f>
        <v>105279194</v>
      </c>
      <c r="G96" s="283">
        <f>JULIO!I96</f>
        <v>82287431</v>
      </c>
      <c r="H96" s="853">
        <v>12569634</v>
      </c>
      <c r="I96" s="575">
        <f>SUM(G96:H96)</f>
        <v>94857065</v>
      </c>
      <c r="J96" s="576">
        <f>JULIO!L96</f>
        <v>82287431</v>
      </c>
      <c r="K96" s="853">
        <v>12569634</v>
      </c>
      <c r="L96" s="170">
        <f>SUM(J96:K96)</f>
        <v>94857065</v>
      </c>
      <c r="M96" s="283">
        <f>F96-I96</f>
        <v>10422129</v>
      </c>
      <c r="N96" s="170">
        <f>F96-L96</f>
        <v>10422129</v>
      </c>
      <c r="O96" s="467"/>
      <c r="P96" s="455">
        <v>0</v>
      </c>
      <c r="Q96" s="458">
        <v>0</v>
      </c>
      <c r="S96" s="155">
        <f>+IF(JULIO!S96=0,"",JULIO!S96)</f>
        <v>1020302</v>
      </c>
      <c r="T96" s="159" t="str">
        <f>+IF(JULIO!T96=0,"",JULIO!T96)</f>
        <v>Contribuciones - Otros</v>
      </c>
      <c r="U96" s="29">
        <f t="shared" ref="U96:AJ96" si="93">SUM(U97:U101)</f>
        <v>205975248</v>
      </c>
      <c r="V96" s="17">
        <f t="shared" si="93"/>
        <v>0</v>
      </c>
      <c r="W96" s="17">
        <f t="shared" si="93"/>
        <v>0</v>
      </c>
      <c r="X96" s="20">
        <f t="shared" si="93"/>
        <v>205975248</v>
      </c>
      <c r="Y96" s="21">
        <f t="shared" si="93"/>
        <v>147959745</v>
      </c>
      <c r="Z96" s="169">
        <f t="shared" si="93"/>
        <v>13490342</v>
      </c>
      <c r="AA96" s="20">
        <f t="shared" si="93"/>
        <v>161450087</v>
      </c>
      <c r="AB96" s="21">
        <f t="shared" si="93"/>
        <v>147959745</v>
      </c>
      <c r="AC96" s="169">
        <f t="shared" si="93"/>
        <v>13490342</v>
      </c>
      <c r="AD96" s="20">
        <f t="shared" si="93"/>
        <v>161450087</v>
      </c>
      <c r="AE96" s="21">
        <f t="shared" si="93"/>
        <v>135715345</v>
      </c>
      <c r="AF96" s="169">
        <f t="shared" si="93"/>
        <v>12244400</v>
      </c>
      <c r="AG96" s="20">
        <f t="shared" si="93"/>
        <v>147959745</v>
      </c>
      <c r="AH96" s="21">
        <f t="shared" si="93"/>
        <v>44525161</v>
      </c>
      <c r="AI96" s="17">
        <f t="shared" si="93"/>
        <v>44525161</v>
      </c>
      <c r="AJ96" s="18">
        <f t="shared" si="93"/>
        <v>58015503</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+IF(JULIO!A97=0,"",JULIO!A97)</f>
        <v>1130209 - 4</v>
      </c>
      <c r="B97" s="219" t="str">
        <f>+IF(JULIO!B97=0,"",JULIO!B97)</f>
        <v>Otros</v>
      </c>
      <c r="C97" s="564">
        <f>+ENERO!C97</f>
        <v>0</v>
      </c>
      <c r="D97" s="564">
        <f>JULIO!D97+AGOSTO!P97</f>
        <v>0</v>
      </c>
      <c r="E97" s="564">
        <f>JULIO!E97+AGOSTO!Q97</f>
        <v>0</v>
      </c>
      <c r="F97" s="565">
        <f>SUM(C97:E97)</f>
        <v>0</v>
      </c>
      <c r="G97" s="566">
        <f>JULIO!I97</f>
        <v>0</v>
      </c>
      <c r="H97" s="843">
        <v>0</v>
      </c>
      <c r="I97" s="565">
        <f>SUM(G97:H97)</f>
        <v>0</v>
      </c>
      <c r="J97" s="566">
        <f>JULIO!L97</f>
        <v>0</v>
      </c>
      <c r="K97" s="843">
        <v>0</v>
      </c>
      <c r="L97" s="565">
        <f>SUM(J97:K97)</f>
        <v>0</v>
      </c>
      <c r="M97" s="566">
        <f>F97-I97</f>
        <v>0</v>
      </c>
      <c r="N97" s="565">
        <f>F97-L97</f>
        <v>0</v>
      </c>
      <c r="O97" s="467"/>
      <c r="P97" s="471">
        <v>0</v>
      </c>
      <c r="Q97" s="476">
        <v>0</v>
      </c>
      <c r="R97" s="32"/>
      <c r="S97" s="156" t="str">
        <f>+IF(JULIO!S97=0,"",JULIO!S97)</f>
        <v>1020302-1</v>
      </c>
      <c r="T97" s="55" t="str">
        <f>+IF(JULIO!T97=0,"",JULIO!T97)</f>
        <v>Aportes a E.P.S.- Con sit. Fondos</v>
      </c>
      <c r="U97" s="29">
        <f>+ENERO!U97</f>
        <v>13794433</v>
      </c>
      <c r="V97" s="17">
        <f>JULIO!V97+AGOSTO!AL97</f>
        <v>0</v>
      </c>
      <c r="W97" s="17">
        <f>JULIO!W97+AGOSTO!AM97</f>
        <v>0</v>
      </c>
      <c r="X97" s="20">
        <f t="shared" ref="X97:X102" si="94">SUM(U97:W97)</f>
        <v>13794433</v>
      </c>
      <c r="Y97" s="21">
        <f>JULIO!AA97</f>
        <v>12193060</v>
      </c>
      <c r="Z97" s="457">
        <v>0</v>
      </c>
      <c r="AA97" s="20">
        <f t="shared" ref="AA97:AA102" si="95">SUM(Y97:Z97)</f>
        <v>12193060</v>
      </c>
      <c r="AB97" s="21">
        <f>JULIO!AD97</f>
        <v>12193060</v>
      </c>
      <c r="AC97" s="457">
        <v>0</v>
      </c>
      <c r="AD97" s="20">
        <f t="shared" ref="AD97:AD102" si="96">SUM(AB97:AC97)</f>
        <v>12193060</v>
      </c>
      <c r="AE97" s="21">
        <f>JULIO!AG97</f>
        <v>12193060</v>
      </c>
      <c r="AF97" s="457">
        <v>0</v>
      </c>
      <c r="AG97" s="20">
        <f t="shared" ref="AG97:AG102" si="97">SUM(AE97:AF97)</f>
        <v>12193060</v>
      </c>
      <c r="AH97" s="21">
        <f t="shared" ref="AH97:AH102" si="98">X97-AA97</f>
        <v>1601373</v>
      </c>
      <c r="AI97" s="17">
        <f t="shared" ref="AI97:AI102" si="99">X97-AD97</f>
        <v>1601373</v>
      </c>
      <c r="AJ97" s="18">
        <f t="shared" ref="AJ97:AJ102" si="100">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561"/>
      <c r="I98" s="561"/>
      <c r="J98" s="561"/>
      <c r="K98" s="561"/>
      <c r="L98" s="365"/>
      <c r="M98" s="365"/>
      <c r="N98" s="567"/>
      <c r="O98" s="467"/>
      <c r="P98" s="568"/>
      <c r="Q98" s="567"/>
      <c r="R98" s="32"/>
      <c r="S98" s="156" t="str">
        <f>+IF(JULIO!S98=0,"",JULIO!S98)</f>
        <v>1020302-2</v>
      </c>
      <c r="T98" s="55" t="str">
        <f>+IF(JULIO!T98=0,"",JULIO!T98)</f>
        <v>Aportes Fondos Pensionales - Con Sit. Fondos</v>
      </c>
      <c r="U98" s="29">
        <f>+ENERO!U98</f>
        <v>43426005</v>
      </c>
      <c r="V98" s="17">
        <f>JULIO!V98+AGOSTO!AL98</f>
        <v>0</v>
      </c>
      <c r="W98" s="17">
        <f>JULIO!W98+AGOSTO!AM98</f>
        <v>0</v>
      </c>
      <c r="X98" s="20">
        <f t="shared" si="94"/>
        <v>43426005</v>
      </c>
      <c r="Y98" s="21">
        <f>JULIO!AA98</f>
        <v>23624041</v>
      </c>
      <c r="Z98" s="457">
        <v>7326165</v>
      </c>
      <c r="AA98" s="20">
        <f t="shared" si="95"/>
        <v>30950206</v>
      </c>
      <c r="AB98" s="21">
        <f>JULIO!AD98</f>
        <v>23624041</v>
      </c>
      <c r="AC98" s="457">
        <v>7326165</v>
      </c>
      <c r="AD98" s="20">
        <f t="shared" si="96"/>
        <v>30950206</v>
      </c>
      <c r="AE98" s="21">
        <f>JULIO!AG98</f>
        <v>16677041</v>
      </c>
      <c r="AF98" s="457">
        <v>6947000</v>
      </c>
      <c r="AG98" s="20">
        <f t="shared" si="97"/>
        <v>23624041</v>
      </c>
      <c r="AH98" s="21">
        <f t="shared" si="98"/>
        <v>12475799</v>
      </c>
      <c r="AI98" s="17">
        <f t="shared" si="99"/>
        <v>12475799</v>
      </c>
      <c r="AJ98" s="18">
        <f t="shared" si="100"/>
        <v>19801964</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+IF(JULIO!A99=0,"",JULIO!A99)</f>
        <v>11303</v>
      </c>
      <c r="B99" s="570" t="str">
        <f>+IF(JULIO!B99=0,"",JULIO!B99)</f>
        <v>Aportes no ligados a venta servicios de salud</v>
      </c>
      <c r="C99" s="572">
        <f t="shared" ref="C99:N99" si="101">SUM(C100:C106)</f>
        <v>0</v>
      </c>
      <c r="D99" s="572">
        <f t="shared" si="101"/>
        <v>227076373</v>
      </c>
      <c r="E99" s="572">
        <f t="shared" si="101"/>
        <v>25449068</v>
      </c>
      <c r="F99" s="573">
        <f t="shared" si="101"/>
        <v>252525441</v>
      </c>
      <c r="G99" s="571">
        <f t="shared" si="101"/>
        <v>147306490</v>
      </c>
      <c r="H99" s="572">
        <f t="shared" si="101"/>
        <v>21043769</v>
      </c>
      <c r="I99" s="573">
        <f t="shared" si="101"/>
        <v>168350259</v>
      </c>
      <c r="J99" s="571">
        <f t="shared" si="101"/>
        <v>147306490</v>
      </c>
      <c r="K99" s="572">
        <f t="shared" si="101"/>
        <v>21043769</v>
      </c>
      <c r="L99" s="573">
        <f t="shared" si="101"/>
        <v>168350259</v>
      </c>
      <c r="M99" s="571">
        <f t="shared" si="101"/>
        <v>84175182</v>
      </c>
      <c r="N99" s="573">
        <f t="shared" si="101"/>
        <v>84175182</v>
      </c>
      <c r="P99" s="215">
        <f>SUM(P100:P106)</f>
        <v>0</v>
      </c>
      <c r="Q99" s="216">
        <f>SUM(Q100:Q106)</f>
        <v>0</v>
      </c>
      <c r="R99" s="32"/>
      <c r="S99" s="156" t="str">
        <f>+IF(JULIO!S99=0,"",JULIO!S99)</f>
        <v>1020302-3</v>
      </c>
      <c r="T99" s="55" t="str">
        <f>+IF(JULIO!T99=0,"",JULIO!T99)</f>
        <v xml:space="preserve">Aportes a Fondos de Cesantia - Con Sit. de Fondos </v>
      </c>
      <c r="U99" s="29">
        <f>+ENERO!U99</f>
        <v>78984976</v>
      </c>
      <c r="V99" s="17">
        <f>JULIO!V99+AGOSTO!AL99</f>
        <v>0</v>
      </c>
      <c r="W99" s="17">
        <f>JULIO!W99+AGOSTO!AM99</f>
        <v>0</v>
      </c>
      <c r="X99" s="20">
        <f t="shared" si="94"/>
        <v>78984976</v>
      </c>
      <c r="Y99" s="21">
        <f>JULIO!AA99</f>
        <v>77054244</v>
      </c>
      <c r="Z99" s="457">
        <v>605175</v>
      </c>
      <c r="AA99" s="20">
        <f t="shared" si="95"/>
        <v>77659419</v>
      </c>
      <c r="AB99" s="21">
        <f>JULIO!AD99</f>
        <v>77054244</v>
      </c>
      <c r="AC99" s="457">
        <v>605175</v>
      </c>
      <c r="AD99" s="20">
        <f t="shared" si="96"/>
        <v>77659419</v>
      </c>
      <c r="AE99" s="21">
        <f>JULIO!AG99</f>
        <v>77007244</v>
      </c>
      <c r="AF99" s="457">
        <v>47000</v>
      </c>
      <c r="AG99" s="20">
        <f t="shared" si="97"/>
        <v>77054244</v>
      </c>
      <c r="AH99" s="21">
        <f t="shared" si="98"/>
        <v>1325557</v>
      </c>
      <c r="AI99" s="17">
        <f t="shared" si="99"/>
        <v>1325557</v>
      </c>
      <c r="AJ99" s="18">
        <f t="shared" si="100"/>
        <v>1930732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+IF(JULIO!A100=0,"",JULIO!A100)</f>
        <v>11303-1</v>
      </c>
      <c r="B100" s="59" t="str">
        <f>+IF(JULIO!B100=0,"",JULIO!B100)</f>
        <v xml:space="preserve">NACION </v>
      </c>
      <c r="C100" s="574">
        <f>+ENERO!C100</f>
        <v>0</v>
      </c>
      <c r="D100" s="574">
        <f>JULIO!D100+AGOSTO!P100</f>
        <v>0</v>
      </c>
      <c r="E100" s="574">
        <f>JULIO!E100+AGOSTO!Q100</f>
        <v>0</v>
      </c>
      <c r="F100" s="575">
        <f t="shared" ref="F100:F106" si="102">SUM(C100:E100)</f>
        <v>0</v>
      </c>
      <c r="G100" s="576">
        <f>JULIO!I100</f>
        <v>0</v>
      </c>
      <c r="H100" s="815">
        <v>0</v>
      </c>
      <c r="I100" s="575">
        <f t="shared" ref="I100:I106" si="103">SUM(G100:H100)</f>
        <v>0</v>
      </c>
      <c r="J100" s="576">
        <f>JULIO!L100</f>
        <v>0</v>
      </c>
      <c r="K100" s="815">
        <v>0</v>
      </c>
      <c r="L100" s="575">
        <f t="shared" ref="L100:L106" si="104">SUM(J100:K100)</f>
        <v>0</v>
      </c>
      <c r="M100" s="576">
        <f t="shared" ref="M100:M106" si="105">F100-I100</f>
        <v>0</v>
      </c>
      <c r="N100" s="575">
        <f t="shared" ref="N100:N106" si="106">F100-L100</f>
        <v>0</v>
      </c>
      <c r="O100" s="562"/>
      <c r="P100" s="455">
        <v>0</v>
      </c>
      <c r="Q100" s="458">
        <v>0</v>
      </c>
      <c r="R100" s="10"/>
      <c r="S100" s="156" t="str">
        <f>+IF(JULIO!S100=0,"",JULIO!S100)</f>
        <v>1020302-4</v>
      </c>
      <c r="T100" s="55" t="str">
        <f>+IF(JULIO!T100=0,"",JULIO!T100)</f>
        <v>Aporte a ARL. - Con Sit. de Fondos</v>
      </c>
      <c r="U100" s="29">
        <f>+ENERO!U100</f>
        <v>24654894</v>
      </c>
      <c r="V100" s="17">
        <f>JULIO!V100+AGOSTO!AL100</f>
        <v>0</v>
      </c>
      <c r="W100" s="17">
        <f>JULIO!W100+AGOSTO!AM100</f>
        <v>0</v>
      </c>
      <c r="X100" s="20">
        <f t="shared" si="94"/>
        <v>24654894</v>
      </c>
      <c r="Y100" s="21">
        <f>JULIO!AA100</f>
        <v>13345300</v>
      </c>
      <c r="Z100" s="457">
        <v>2382900</v>
      </c>
      <c r="AA100" s="20">
        <f t="shared" si="95"/>
        <v>15728200</v>
      </c>
      <c r="AB100" s="21">
        <f>JULIO!AD100</f>
        <v>13345300</v>
      </c>
      <c r="AC100" s="457">
        <v>2382900</v>
      </c>
      <c r="AD100" s="20">
        <f t="shared" si="96"/>
        <v>15728200</v>
      </c>
      <c r="AE100" s="21">
        <f>JULIO!AG100</f>
        <v>11146700</v>
      </c>
      <c r="AF100" s="457">
        <v>2198600</v>
      </c>
      <c r="AG100" s="20">
        <f t="shared" si="97"/>
        <v>13345300</v>
      </c>
      <c r="AH100" s="21">
        <f t="shared" si="98"/>
        <v>8926694</v>
      </c>
      <c r="AI100" s="17">
        <f t="shared" si="99"/>
        <v>8926694</v>
      </c>
      <c r="AJ100" s="18">
        <f t="shared" si="100"/>
        <v>11309594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+IF(JULIO!A101=0,"",JULIO!A101)</f>
        <v>11303-2</v>
      </c>
      <c r="B101" s="59" t="str">
        <f>+IF(JULIO!B101=0,"",JULIO!B101)</f>
        <v>DEPARTAMENTO</v>
      </c>
      <c r="C101" s="574">
        <f>+ENERO!C101</f>
        <v>0</v>
      </c>
      <c r="D101" s="574">
        <f>JULIO!D101+AGOSTO!P101</f>
        <v>0</v>
      </c>
      <c r="E101" s="574">
        <f>JULIO!E101+AGOSTO!Q101</f>
        <v>0</v>
      </c>
      <c r="F101" s="575">
        <f t="shared" si="102"/>
        <v>0</v>
      </c>
      <c r="G101" s="576">
        <f>JULIO!I101</f>
        <v>0</v>
      </c>
      <c r="H101" s="815">
        <v>0</v>
      </c>
      <c r="I101" s="575">
        <f t="shared" si="103"/>
        <v>0</v>
      </c>
      <c r="J101" s="576">
        <f>JULIO!L101</f>
        <v>0</v>
      </c>
      <c r="K101" s="815">
        <v>0</v>
      </c>
      <c r="L101" s="575">
        <f t="shared" si="104"/>
        <v>0</v>
      </c>
      <c r="M101" s="576">
        <f t="shared" si="105"/>
        <v>0</v>
      </c>
      <c r="N101" s="575">
        <f t="shared" si="106"/>
        <v>0</v>
      </c>
      <c r="O101" s="562"/>
      <c r="P101" s="455">
        <v>0</v>
      </c>
      <c r="Q101" s="458">
        <v>0</v>
      </c>
      <c r="R101" s="10"/>
      <c r="S101" s="156" t="str">
        <f>+IF(JULIO!S101=0,"",JULIO!S101)</f>
        <v>1020302-5</v>
      </c>
      <c r="T101" s="55" t="str">
        <f>+IF(JULIO!T101=0,"",JULIO!T101)</f>
        <v>Aporte a Caja Compensación Familiar</v>
      </c>
      <c r="U101" s="29">
        <f>+ENERO!U101</f>
        <v>45114940</v>
      </c>
      <c r="V101" s="17">
        <f>JULIO!V101+AGOSTO!AL101</f>
        <v>0</v>
      </c>
      <c r="W101" s="17">
        <f>JULIO!W101+AGOSTO!AM101</f>
        <v>0</v>
      </c>
      <c r="X101" s="20">
        <f t="shared" si="94"/>
        <v>45114940</v>
      </c>
      <c r="Y101" s="21">
        <f>JULIO!AA101</f>
        <v>21743100</v>
      </c>
      <c r="Z101" s="457">
        <v>3176102</v>
      </c>
      <c r="AA101" s="20">
        <f t="shared" si="95"/>
        <v>24919202</v>
      </c>
      <c r="AB101" s="21">
        <f>JULIO!AD101</f>
        <v>21743100</v>
      </c>
      <c r="AC101" s="457">
        <v>3176102</v>
      </c>
      <c r="AD101" s="20">
        <f t="shared" si="96"/>
        <v>24919202</v>
      </c>
      <c r="AE101" s="21">
        <f>JULIO!AG101</f>
        <v>18691300</v>
      </c>
      <c r="AF101" s="457">
        <v>3051800</v>
      </c>
      <c r="AG101" s="20">
        <f t="shared" si="97"/>
        <v>21743100</v>
      </c>
      <c r="AH101" s="21">
        <f t="shared" si="98"/>
        <v>20195738</v>
      </c>
      <c r="AI101" s="17">
        <f t="shared" si="99"/>
        <v>20195738</v>
      </c>
      <c r="AJ101" s="18">
        <f t="shared" si="100"/>
        <v>23371840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+IF(JULIO!A102=0,"",JULIO!A102)</f>
        <v>11303-3</v>
      </c>
      <c r="B102" s="59" t="str">
        <f>+IF(JULIO!B102=0,"",JULIO!B102)</f>
        <v>MUNICIPIO</v>
      </c>
      <c r="C102" s="574">
        <f>+ENERO!C102</f>
        <v>0</v>
      </c>
      <c r="D102" s="574">
        <f>JULIO!D102+AGOSTO!P102</f>
        <v>0</v>
      </c>
      <c r="E102" s="574">
        <f>JULIO!E102+AGOSTO!Q102</f>
        <v>0</v>
      </c>
      <c r="F102" s="575">
        <f t="shared" si="102"/>
        <v>0</v>
      </c>
      <c r="G102" s="576">
        <f>JULIO!I102</f>
        <v>0</v>
      </c>
      <c r="H102" s="815">
        <v>0</v>
      </c>
      <c r="I102" s="575">
        <f t="shared" si="103"/>
        <v>0</v>
      </c>
      <c r="J102" s="576">
        <f>JULIO!L102</f>
        <v>0</v>
      </c>
      <c r="K102" s="815">
        <v>0</v>
      </c>
      <c r="L102" s="575">
        <f t="shared" si="104"/>
        <v>0</v>
      </c>
      <c r="M102" s="576">
        <f t="shared" si="105"/>
        <v>0</v>
      </c>
      <c r="N102" s="575">
        <f t="shared" si="106"/>
        <v>0</v>
      </c>
      <c r="O102" s="562"/>
      <c r="P102" s="455">
        <v>0</v>
      </c>
      <c r="Q102" s="458">
        <v>0</v>
      </c>
      <c r="R102" s="10"/>
      <c r="S102" s="155">
        <f>+IF(JULIO!S102=0,"",JULIO!S102)</f>
        <v>1020399</v>
      </c>
      <c r="T102" s="159" t="str">
        <f>+IF(JULIO!T102=0,"",JULIO!T102)</f>
        <v>Vigencias Anteriores</v>
      </c>
      <c r="U102" s="29">
        <f>+ENERO!U102</f>
        <v>0</v>
      </c>
      <c r="V102" s="17">
        <f>JULIO!V102+AGOSTO!AL102</f>
        <v>0</v>
      </c>
      <c r="W102" s="17">
        <f>JULIO!W102+AGOSTO!AM102</f>
        <v>5352587</v>
      </c>
      <c r="X102" s="20">
        <f t="shared" si="94"/>
        <v>5352587</v>
      </c>
      <c r="Y102" s="21">
        <f>JULIO!AA102</f>
        <v>5352587</v>
      </c>
      <c r="Z102" s="457">
        <v>0</v>
      </c>
      <c r="AA102" s="20">
        <f t="shared" si="95"/>
        <v>5352587</v>
      </c>
      <c r="AB102" s="21">
        <f>JULIO!AD102</f>
        <v>5352587</v>
      </c>
      <c r="AC102" s="457">
        <v>0</v>
      </c>
      <c r="AD102" s="20">
        <f t="shared" si="96"/>
        <v>5352587</v>
      </c>
      <c r="AE102" s="21">
        <f>JULIO!AG102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+IF(JULIO!A103=0,"",JULIO!A103)</f>
        <v>11303-4</v>
      </c>
      <c r="B103" s="59" t="str">
        <f>+IF(JULIO!B103=0,"",JULIO!B103)</f>
        <v>CONVENIOS (EMPRESTITO)</v>
      </c>
      <c r="C103" s="574">
        <f>+ENERO!C103</f>
        <v>0</v>
      </c>
      <c r="D103" s="574">
        <f>JULIO!D103+AGOSTO!P103</f>
        <v>0</v>
      </c>
      <c r="E103" s="574">
        <f>JULIO!E103+AGOSTO!Q103</f>
        <v>0</v>
      </c>
      <c r="F103" s="575">
        <f t="shared" si="102"/>
        <v>0</v>
      </c>
      <c r="G103" s="576">
        <f>JULIO!I103</f>
        <v>0</v>
      </c>
      <c r="H103" s="815">
        <v>0</v>
      </c>
      <c r="I103" s="575">
        <f t="shared" si="103"/>
        <v>0</v>
      </c>
      <c r="J103" s="576">
        <f>JULIO!L103</f>
        <v>0</v>
      </c>
      <c r="K103" s="815">
        <v>0</v>
      </c>
      <c r="L103" s="575">
        <f t="shared" si="104"/>
        <v>0</v>
      </c>
      <c r="M103" s="576">
        <f t="shared" si="105"/>
        <v>0</v>
      </c>
      <c r="N103" s="575">
        <f t="shared" si="106"/>
        <v>0</v>
      </c>
      <c r="O103" s="562"/>
      <c r="P103" s="455">
        <v>0</v>
      </c>
      <c r="Q103" s="458">
        <v>0</v>
      </c>
      <c r="R103" s="10"/>
      <c r="S103" s="448" t="str">
        <f>+IF(JULIO!S103=0,"",JULIO!S103)</f>
        <v/>
      </c>
      <c r="T103" s="649" t="str">
        <f>+IF(JULIO!T103=0,"",JULIO!T103)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+IF(JULIO!A104=0,"",JULIO!A104)</f>
        <v>11303-5</v>
      </c>
      <c r="B104" s="59" t="str">
        <f>+IF(JULIO!B104=0,"",JULIO!B104)</f>
        <v>OTROS CONVENIOS</v>
      </c>
      <c r="C104" s="574">
        <f>+ENERO!C104</f>
        <v>0</v>
      </c>
      <c r="D104" s="574">
        <f>JULIO!D104+AGOSTO!P104</f>
        <v>0</v>
      </c>
      <c r="E104" s="574">
        <f>JULIO!E104+AGOSTO!Q104</f>
        <v>0</v>
      </c>
      <c r="F104" s="575">
        <f t="shared" si="102"/>
        <v>0</v>
      </c>
      <c r="G104" s="576">
        <f>JULIO!I104</f>
        <v>0</v>
      </c>
      <c r="H104" s="815">
        <v>0</v>
      </c>
      <c r="I104" s="575">
        <f t="shared" si="103"/>
        <v>0</v>
      </c>
      <c r="J104" s="576">
        <f>JULIO!L104</f>
        <v>0</v>
      </c>
      <c r="K104" s="815">
        <v>0</v>
      </c>
      <c r="L104" s="575">
        <f t="shared" si="104"/>
        <v>0</v>
      </c>
      <c r="M104" s="576">
        <f t="shared" si="105"/>
        <v>0</v>
      </c>
      <c r="N104" s="575">
        <f t="shared" si="106"/>
        <v>0</v>
      </c>
      <c r="O104" s="562"/>
      <c r="P104" s="455">
        <v>0</v>
      </c>
      <c r="Q104" s="458">
        <v>0</v>
      </c>
      <c r="R104" s="10"/>
      <c r="S104" s="34">
        <f>+IF(JULIO!S104=0,"",JULIO!S104)</f>
        <v>1020400</v>
      </c>
      <c r="T104" s="158" t="str">
        <f>+IF(JULIO!T104=0,"",JULIO!T104)</f>
        <v>Contribuciones Inherentes nómina del Sector Publico</v>
      </c>
      <c r="U104" s="157">
        <f t="shared" ref="U104:AJ104" si="107">U105+U108</f>
        <v>56393675</v>
      </c>
      <c r="V104" s="144">
        <f t="shared" si="107"/>
        <v>0</v>
      </c>
      <c r="W104" s="144">
        <f t="shared" si="107"/>
        <v>0</v>
      </c>
      <c r="X104" s="152">
        <f t="shared" si="107"/>
        <v>56393675</v>
      </c>
      <c r="Y104" s="151">
        <f t="shared" si="107"/>
        <v>27594400</v>
      </c>
      <c r="Z104" s="144">
        <f t="shared" si="107"/>
        <v>4116414</v>
      </c>
      <c r="AA104" s="152">
        <f t="shared" si="107"/>
        <v>31710814</v>
      </c>
      <c r="AB104" s="151">
        <f t="shared" si="107"/>
        <v>27594400</v>
      </c>
      <c r="AC104" s="144">
        <f t="shared" si="107"/>
        <v>4116414</v>
      </c>
      <c r="AD104" s="152">
        <f t="shared" si="107"/>
        <v>31710814</v>
      </c>
      <c r="AE104" s="151">
        <f t="shared" si="107"/>
        <v>23520300</v>
      </c>
      <c r="AF104" s="144">
        <f t="shared" si="107"/>
        <v>4074100</v>
      </c>
      <c r="AG104" s="152">
        <f t="shared" si="107"/>
        <v>27594400</v>
      </c>
      <c r="AH104" s="151">
        <f t="shared" si="107"/>
        <v>24682861</v>
      </c>
      <c r="AI104" s="144">
        <f t="shared" si="107"/>
        <v>24682861</v>
      </c>
      <c r="AJ104" s="153">
        <f t="shared" si="107"/>
        <v>28799275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+IF(JULIO!A105=0,"",JULIO!A105)</f>
        <v>11303-6</v>
      </c>
      <c r="B105" s="59" t="str">
        <f>+IF(JULIO!B105=0,"",JULIO!B105)</f>
        <v>APORTES PATRONALES MUNICIPIO / DEPARTAMENTO</v>
      </c>
      <c r="C105" s="574">
        <f>+ENERO!C105</f>
        <v>0</v>
      </c>
      <c r="D105" s="574">
        <f>JULIO!D105+AGOSTO!P105</f>
        <v>227076373</v>
      </c>
      <c r="E105" s="574">
        <f>JULIO!E105+AGOSTO!Q105</f>
        <v>25449068</v>
      </c>
      <c r="F105" s="575">
        <f t="shared" si="102"/>
        <v>252525441</v>
      </c>
      <c r="G105" s="576">
        <f>JULIO!I105</f>
        <v>147306490</v>
      </c>
      <c r="H105" s="853">
        <v>21043769</v>
      </c>
      <c r="I105" s="575">
        <f t="shared" si="103"/>
        <v>168350259</v>
      </c>
      <c r="J105" s="576">
        <f>JULIO!L105</f>
        <v>147306490</v>
      </c>
      <c r="K105" s="853">
        <v>21043769</v>
      </c>
      <c r="L105" s="575">
        <f t="shared" si="104"/>
        <v>168350259</v>
      </c>
      <c r="M105" s="576">
        <f t="shared" si="105"/>
        <v>84175182</v>
      </c>
      <c r="N105" s="575">
        <f t="shared" si="106"/>
        <v>84175182</v>
      </c>
      <c r="O105" s="562"/>
      <c r="P105" s="455">
        <v>0</v>
      </c>
      <c r="Q105" s="458">
        <v>0</v>
      </c>
      <c r="R105" s="10"/>
      <c r="S105" s="155">
        <f>+IF(JULIO!S105=0,"",JULIO!S105)</f>
        <v>1020402</v>
      </c>
      <c r="T105" s="159" t="str">
        <f>+IF(JULIO!T105=0,"",JULIO!T105)</f>
        <v>Contribuciones - Otros</v>
      </c>
      <c r="U105" s="29">
        <f t="shared" ref="U105:AJ105" si="108">SUM(U106:U107)</f>
        <v>56393675</v>
      </c>
      <c r="V105" s="17">
        <f t="shared" si="108"/>
        <v>0</v>
      </c>
      <c r="W105" s="17">
        <f t="shared" si="108"/>
        <v>0</v>
      </c>
      <c r="X105" s="20">
        <f t="shared" si="108"/>
        <v>56393675</v>
      </c>
      <c r="Y105" s="21">
        <f t="shared" si="108"/>
        <v>27594400</v>
      </c>
      <c r="Z105" s="169">
        <f t="shared" si="108"/>
        <v>4116414</v>
      </c>
      <c r="AA105" s="20">
        <f t="shared" si="108"/>
        <v>31710814</v>
      </c>
      <c r="AB105" s="21">
        <f t="shared" si="108"/>
        <v>27594400</v>
      </c>
      <c r="AC105" s="169">
        <f t="shared" si="108"/>
        <v>4116414</v>
      </c>
      <c r="AD105" s="20">
        <f t="shared" si="108"/>
        <v>31710814</v>
      </c>
      <c r="AE105" s="21">
        <f t="shared" si="108"/>
        <v>23520300</v>
      </c>
      <c r="AF105" s="169">
        <f t="shared" si="108"/>
        <v>4074100</v>
      </c>
      <c r="AG105" s="20">
        <f t="shared" si="108"/>
        <v>27594400</v>
      </c>
      <c r="AH105" s="21">
        <f t="shared" si="108"/>
        <v>24682861</v>
      </c>
      <c r="AI105" s="17">
        <f t="shared" si="108"/>
        <v>24682861</v>
      </c>
      <c r="AJ105" s="18">
        <f t="shared" si="108"/>
        <v>28799275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+IF(JULIO!A106=0,"",JULIO!A106)</f>
        <v>11303-5</v>
      </c>
      <c r="B106" s="578" t="str">
        <f>+IF(JULIO!B106=0,"",JULIO!B106)</f>
        <v>Vigencias Anteriores</v>
      </c>
      <c r="C106" s="564">
        <f>+ENERO!C106</f>
        <v>0</v>
      </c>
      <c r="D106" s="564">
        <f>JULIO!D106+AGOSTO!P106</f>
        <v>0</v>
      </c>
      <c r="E106" s="564">
        <f>JULIO!E106+AGOSTO!Q106</f>
        <v>0</v>
      </c>
      <c r="F106" s="565">
        <f t="shared" si="102"/>
        <v>0</v>
      </c>
      <c r="G106" s="566">
        <f>JULIO!I106</f>
        <v>0</v>
      </c>
      <c r="H106" s="843">
        <v>0</v>
      </c>
      <c r="I106" s="565">
        <f t="shared" si="103"/>
        <v>0</v>
      </c>
      <c r="J106" s="566">
        <f>JULIO!L106</f>
        <v>0</v>
      </c>
      <c r="K106" s="843">
        <v>0</v>
      </c>
      <c r="L106" s="565">
        <f t="shared" si="104"/>
        <v>0</v>
      </c>
      <c r="M106" s="566">
        <f t="shared" si="105"/>
        <v>0</v>
      </c>
      <c r="N106" s="565">
        <f t="shared" si="106"/>
        <v>0</v>
      </c>
      <c r="O106" s="562"/>
      <c r="P106" s="471">
        <v>0</v>
      </c>
      <c r="Q106" s="476">
        <v>0</v>
      </c>
      <c r="R106" s="10"/>
      <c r="S106" s="156" t="str">
        <f>+IF(JULIO!S106=0,"",JULIO!S106)</f>
        <v>1020402-1</v>
      </c>
      <c r="T106" s="159" t="str">
        <f>+IF(JULIO!T106=0,"",JULIO!T106)</f>
        <v>S.E.N.A.</v>
      </c>
      <c r="U106" s="29">
        <f>+ENERO!U106</f>
        <v>22557470</v>
      </c>
      <c r="V106" s="17">
        <f>JULIO!V106+AGOSTO!AL106</f>
        <v>0</v>
      </c>
      <c r="W106" s="17">
        <f>JULIO!W106+AGOSTO!AM106</f>
        <v>0</v>
      </c>
      <c r="X106" s="20">
        <f>SUM(U106:W106)</f>
        <v>22557470</v>
      </c>
      <c r="Y106" s="21">
        <f>JULIO!AA106</f>
        <v>11079100</v>
      </c>
      <c r="Z106" s="457">
        <v>1651083</v>
      </c>
      <c r="AA106" s="20">
        <f>SUM(Y106:Z106)</f>
        <v>12730183</v>
      </c>
      <c r="AB106" s="21">
        <f>JULIO!AD106</f>
        <v>11079100</v>
      </c>
      <c r="AC106" s="457">
        <v>1651083</v>
      </c>
      <c r="AD106" s="20">
        <f>SUM(AB106:AC106)</f>
        <v>12730183</v>
      </c>
      <c r="AE106" s="21">
        <f>JULIO!AG106</f>
        <v>9449500</v>
      </c>
      <c r="AF106" s="457">
        <v>1629600</v>
      </c>
      <c r="AG106" s="20">
        <f>SUM(AE106:AF106)</f>
        <v>11079100</v>
      </c>
      <c r="AH106" s="21">
        <f>X106-AA106</f>
        <v>9827287</v>
      </c>
      <c r="AI106" s="17">
        <f>X106-AD106</f>
        <v>9827287</v>
      </c>
      <c r="AJ106" s="18">
        <f>X106-AG106</f>
        <v>11478370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561"/>
      <c r="I107" s="561"/>
      <c r="J107" s="561"/>
      <c r="K107" s="561"/>
      <c r="L107" s="365"/>
      <c r="M107" s="365"/>
      <c r="N107" s="567"/>
      <c r="O107" s="562"/>
      <c r="P107" s="579"/>
      <c r="Q107" s="479"/>
      <c r="R107" s="10"/>
      <c r="S107" s="156" t="str">
        <f>+IF(JULIO!S107=0,"",JULIO!S107)</f>
        <v>1020402-2</v>
      </c>
      <c r="T107" s="159" t="str">
        <f>+IF(JULIO!T107=0,"",JULIO!T107)</f>
        <v>I.C.B.F.</v>
      </c>
      <c r="U107" s="29">
        <f>+ENERO!U107</f>
        <v>33836205</v>
      </c>
      <c r="V107" s="17">
        <f>JULIO!V107+AGOSTO!AL107</f>
        <v>0</v>
      </c>
      <c r="W107" s="17">
        <f>JULIO!W107+AGOSTO!AM107</f>
        <v>0</v>
      </c>
      <c r="X107" s="20">
        <f>SUM(U107:W107)</f>
        <v>33836205</v>
      </c>
      <c r="Y107" s="21">
        <f>JULIO!AA107</f>
        <v>16515300</v>
      </c>
      <c r="Z107" s="457">
        <v>2465331</v>
      </c>
      <c r="AA107" s="20">
        <f>SUM(Y107:Z107)</f>
        <v>18980631</v>
      </c>
      <c r="AB107" s="21">
        <f>JULIO!AD107</f>
        <v>16515300</v>
      </c>
      <c r="AC107" s="457">
        <v>2465331</v>
      </c>
      <c r="AD107" s="20">
        <f>SUM(AB107:AC107)</f>
        <v>18980631</v>
      </c>
      <c r="AE107" s="21">
        <f>JULIO!AG107</f>
        <v>14070800</v>
      </c>
      <c r="AF107" s="457">
        <v>2444500</v>
      </c>
      <c r="AG107" s="20">
        <f>SUM(AE107:AF107)</f>
        <v>16515300</v>
      </c>
      <c r="AH107" s="21">
        <f>X107-AA107</f>
        <v>14855574</v>
      </c>
      <c r="AI107" s="17">
        <f>X107-AD107</f>
        <v>14855574</v>
      </c>
      <c r="AJ107" s="18">
        <f>X107-AG107</f>
        <v>17320905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+IF(JULIO!A108=0,"",JULIO!A108)</f>
        <v>2000</v>
      </c>
      <c r="B108" s="439" t="str">
        <f>+IF(JULIO!B108=0,"",JULIO!B108)</f>
        <v>INGRESOS DE CAPITAL</v>
      </c>
      <c r="C108" s="215">
        <f t="shared" ref="C108:N108" si="109">SUM(C109:C117)</f>
        <v>1452387</v>
      </c>
      <c r="D108" s="435">
        <f t="shared" si="109"/>
        <v>0</v>
      </c>
      <c r="E108" s="435">
        <f t="shared" si="109"/>
        <v>149110140</v>
      </c>
      <c r="F108" s="216">
        <f t="shared" si="109"/>
        <v>150562527</v>
      </c>
      <c r="G108" s="215">
        <f t="shared" si="109"/>
        <v>2306623</v>
      </c>
      <c r="H108" s="581">
        <f t="shared" si="109"/>
        <v>432086</v>
      </c>
      <c r="I108" s="844">
        <f t="shared" si="109"/>
        <v>2738709</v>
      </c>
      <c r="J108" s="580">
        <f t="shared" si="109"/>
        <v>2306623</v>
      </c>
      <c r="K108" s="581">
        <f t="shared" si="109"/>
        <v>432086</v>
      </c>
      <c r="L108" s="216">
        <f t="shared" si="109"/>
        <v>2738709</v>
      </c>
      <c r="M108" s="215">
        <f t="shared" si="109"/>
        <v>147823818</v>
      </c>
      <c r="N108" s="216">
        <f t="shared" si="109"/>
        <v>147823818</v>
      </c>
      <c r="O108" s="562"/>
      <c r="P108" s="215">
        <f>SUM(P109:P117)</f>
        <v>0</v>
      </c>
      <c r="Q108" s="216">
        <f>SUM(Q109:Q117)</f>
        <v>0</v>
      </c>
      <c r="R108" s="10"/>
      <c r="S108" s="155">
        <f>+IF(JULIO!S108=0,"",JULIO!S108)</f>
        <v>1020499</v>
      </c>
      <c r="T108" s="159" t="str">
        <f>+IF(JULIO!T108=0,"",JULIO!T108)</f>
        <v>Vigencias Anteriores</v>
      </c>
      <c r="U108" s="29">
        <f>+ENERO!U108</f>
        <v>0</v>
      </c>
      <c r="V108" s="17">
        <f>JULIO!V108+AGOSTO!AL108</f>
        <v>0</v>
      </c>
      <c r="W108" s="17">
        <f>JULIO!W108+AGOSTO!AM108</f>
        <v>0</v>
      </c>
      <c r="X108" s="20">
        <f>SUM(U108:W108)</f>
        <v>0</v>
      </c>
      <c r="Y108" s="21">
        <f>JULIO!AA108</f>
        <v>0</v>
      </c>
      <c r="Z108" s="457">
        <v>0</v>
      </c>
      <c r="AA108" s="20">
        <f>SUM(Y108:Z108)</f>
        <v>0</v>
      </c>
      <c r="AB108" s="21">
        <f>JULIO!AD108</f>
        <v>0</v>
      </c>
      <c r="AC108" s="457">
        <v>0</v>
      </c>
      <c r="AD108" s="20">
        <f>SUM(AB108:AC108)</f>
        <v>0</v>
      </c>
      <c r="AE108" s="21">
        <f>JULIO!AG108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+IF(JULIO!A109=0,"",JULIO!A109)</f>
        <v>2100</v>
      </c>
      <c r="B109" s="56" t="str">
        <f>+IF(JULIO!B109=0,"",JULIO!B109)</f>
        <v>CREDITO INTERNO</v>
      </c>
      <c r="C109" s="576">
        <f>+ENERO!C109</f>
        <v>0</v>
      </c>
      <c r="D109" s="574">
        <f>JULIO!D109+AGOSTO!P109</f>
        <v>0</v>
      </c>
      <c r="E109" s="574">
        <f>JULIO!E109+AGOSTO!Q109</f>
        <v>0</v>
      </c>
      <c r="F109" s="575">
        <f t="shared" ref="F109:F116" si="110">SUM(C109:E109)</f>
        <v>0</v>
      </c>
      <c r="G109" s="576">
        <f>JULIO!I109</f>
        <v>0</v>
      </c>
      <c r="H109" s="815">
        <v>0</v>
      </c>
      <c r="I109" s="575">
        <f t="shared" ref="I109:I116" si="111">SUM(G109:H109)</f>
        <v>0</v>
      </c>
      <c r="J109" s="576">
        <f>JULIO!L109</f>
        <v>0</v>
      </c>
      <c r="K109" s="815">
        <v>0</v>
      </c>
      <c r="L109" s="575">
        <f t="shared" ref="L109:L116" si="112">SUM(J109:K109)</f>
        <v>0</v>
      </c>
      <c r="M109" s="576">
        <f t="shared" ref="M109:M116" si="113">F109-I109</f>
        <v>0</v>
      </c>
      <c r="N109" s="575">
        <f t="shared" ref="N109:N116" si="114">F109-L109</f>
        <v>0</v>
      </c>
      <c r="O109" s="562"/>
      <c r="P109" s="455">
        <v>0</v>
      </c>
      <c r="Q109" s="458">
        <v>0</v>
      </c>
      <c r="R109" s="10"/>
      <c r="S109" s="448" t="str">
        <f>+IF(JULIO!S109=0,"",JULIO!S109)</f>
        <v/>
      </c>
      <c r="T109" s="649" t="str">
        <f>+IF(JULIO!T109=0,"",JULIO!T109)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+IF(JULIO!A110=0,"",JULIO!A110)</f>
        <v>2100-1</v>
      </c>
      <c r="B110" s="563" t="s">
        <v>482</v>
      </c>
      <c r="C110" s="576">
        <f>+ENERO!C110</f>
        <v>0</v>
      </c>
      <c r="D110" s="574">
        <f>JULIO!D110+AGOSTO!P110</f>
        <v>0</v>
      </c>
      <c r="E110" s="574">
        <f>JULIO!E110+AGOSTO!Q110</f>
        <v>0</v>
      </c>
      <c r="F110" s="575">
        <f t="shared" si="110"/>
        <v>0</v>
      </c>
      <c r="G110" s="576">
        <f>JULIO!I110</f>
        <v>0</v>
      </c>
      <c r="H110" s="815">
        <v>0</v>
      </c>
      <c r="I110" s="575">
        <f t="shared" si="111"/>
        <v>0</v>
      </c>
      <c r="J110" s="576">
        <f>JULIO!L110</f>
        <v>0</v>
      </c>
      <c r="K110" s="815">
        <v>0</v>
      </c>
      <c r="L110" s="575">
        <f t="shared" si="112"/>
        <v>0</v>
      </c>
      <c r="M110" s="576">
        <f t="shared" si="113"/>
        <v>0</v>
      </c>
      <c r="N110" s="575">
        <f t="shared" si="114"/>
        <v>0</v>
      </c>
      <c r="O110" s="562"/>
      <c r="P110" s="455">
        <v>0</v>
      </c>
      <c r="Q110" s="458">
        <v>0</v>
      </c>
      <c r="R110" s="10"/>
      <c r="S110" s="469">
        <f>+IF(JULIO!S110=0,"",JULIO!S110)</f>
        <v>2000000</v>
      </c>
      <c r="T110" s="588" t="str">
        <f>+IF(JULIO!T110=0,"",JULIO!T110)</f>
        <v>GASTOS GENERALES</v>
      </c>
      <c r="U110" s="589">
        <f t="shared" ref="U110:AJ110" si="115">U112+U145</f>
        <v>576550123</v>
      </c>
      <c r="V110" s="590">
        <f t="shared" si="115"/>
        <v>-746499</v>
      </c>
      <c r="W110" s="590">
        <f t="shared" si="115"/>
        <v>84451005</v>
      </c>
      <c r="X110" s="591">
        <f t="shared" si="115"/>
        <v>660254629</v>
      </c>
      <c r="Y110" s="464">
        <f t="shared" si="115"/>
        <v>412044207</v>
      </c>
      <c r="Z110" s="590">
        <f t="shared" si="115"/>
        <v>47754713</v>
      </c>
      <c r="AA110" s="591">
        <f t="shared" si="115"/>
        <v>459798920</v>
      </c>
      <c r="AB110" s="464">
        <f t="shared" si="115"/>
        <v>412044205</v>
      </c>
      <c r="AC110" s="590">
        <f t="shared" si="115"/>
        <v>47754713</v>
      </c>
      <c r="AD110" s="591">
        <f t="shared" si="115"/>
        <v>459798918</v>
      </c>
      <c r="AE110" s="464">
        <f t="shared" si="115"/>
        <v>330365571</v>
      </c>
      <c r="AF110" s="590">
        <f t="shared" si="115"/>
        <v>58237039</v>
      </c>
      <c r="AG110" s="591">
        <f t="shared" si="115"/>
        <v>388602610</v>
      </c>
      <c r="AH110" s="464">
        <f t="shared" si="115"/>
        <v>200455709</v>
      </c>
      <c r="AI110" s="590">
        <f t="shared" si="115"/>
        <v>200455711</v>
      </c>
      <c r="AJ110" s="465">
        <f t="shared" si="115"/>
        <v>271652019</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+IF(JULIO!A111=0,"",JULIO!A111)</f>
        <v>2200</v>
      </c>
      <c r="B111" s="56" t="str">
        <f>+IF(JULIO!B111=0,"",JULIO!B111)</f>
        <v>CREDITO EXTERNO</v>
      </c>
      <c r="C111" s="576">
        <f>+ENERO!C111</f>
        <v>0</v>
      </c>
      <c r="D111" s="574">
        <f>JULIO!D111+AGOSTO!P111</f>
        <v>0</v>
      </c>
      <c r="E111" s="574">
        <f>JULIO!E111+AGOSTO!Q111</f>
        <v>0</v>
      </c>
      <c r="F111" s="575">
        <f t="shared" si="110"/>
        <v>0</v>
      </c>
      <c r="G111" s="576">
        <f>JULIO!I111</f>
        <v>0</v>
      </c>
      <c r="H111" s="815">
        <v>0</v>
      </c>
      <c r="I111" s="575">
        <f t="shared" si="111"/>
        <v>0</v>
      </c>
      <c r="J111" s="576">
        <f>JULIO!L111</f>
        <v>0</v>
      </c>
      <c r="K111" s="815">
        <v>0</v>
      </c>
      <c r="L111" s="575">
        <f t="shared" si="112"/>
        <v>0</v>
      </c>
      <c r="M111" s="576">
        <f t="shared" si="113"/>
        <v>0</v>
      </c>
      <c r="N111" s="575">
        <f t="shared" si="114"/>
        <v>0</v>
      </c>
      <c r="O111" s="562"/>
      <c r="P111" s="455">
        <v>0</v>
      </c>
      <c r="Q111" s="458">
        <v>0</v>
      </c>
      <c r="R111" s="10"/>
      <c r="S111" s="448" t="str">
        <f>+IF(JULIO!S111=0,"",JULIO!S111)</f>
        <v/>
      </c>
      <c r="T111" s="649" t="str">
        <f>+IF(JULIO!T111=0,"",JULIO!T111)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+IF(JULIO!A112=0,"",JULIO!A112)</f>
        <v>2200-1</v>
      </c>
      <c r="B112" s="563" t="s">
        <v>482</v>
      </c>
      <c r="C112" s="576">
        <f>+ENERO!C112</f>
        <v>0</v>
      </c>
      <c r="D112" s="574">
        <f>JULIO!D112+AGOSTO!P112</f>
        <v>0</v>
      </c>
      <c r="E112" s="574">
        <f>JULIO!E112+AGOSTO!Q112</f>
        <v>0</v>
      </c>
      <c r="F112" s="575">
        <f t="shared" si="110"/>
        <v>0</v>
      </c>
      <c r="G112" s="576">
        <f>JULIO!I112</f>
        <v>0</v>
      </c>
      <c r="H112" s="815">
        <v>0</v>
      </c>
      <c r="I112" s="575">
        <f t="shared" si="111"/>
        <v>0</v>
      </c>
      <c r="J112" s="576">
        <f>JULIO!L112</f>
        <v>0</v>
      </c>
      <c r="K112" s="815">
        <v>0</v>
      </c>
      <c r="L112" s="575">
        <f t="shared" si="112"/>
        <v>0</v>
      </c>
      <c r="M112" s="576">
        <f t="shared" si="113"/>
        <v>0</v>
      </c>
      <c r="N112" s="575">
        <f t="shared" si="114"/>
        <v>0</v>
      </c>
      <c r="O112" s="562"/>
      <c r="P112" s="455">
        <v>0</v>
      </c>
      <c r="Q112" s="458">
        <v>0</v>
      </c>
      <c r="R112" s="10"/>
      <c r="S112" s="469">
        <f>+IF(JULIO!S112=0,"",JULIO!S112)</f>
        <v>2010000</v>
      </c>
      <c r="T112" s="470" t="str">
        <f>+IF(JULIO!T112=0,"",JULIO!T112)</f>
        <v>Gastos de Administración</v>
      </c>
      <c r="U112" s="157">
        <f t="shared" ref="U112:AJ112" si="116">U114+U123+U141</f>
        <v>198386660</v>
      </c>
      <c r="V112" s="144">
        <f t="shared" si="116"/>
        <v>0</v>
      </c>
      <c r="W112" s="144">
        <f t="shared" si="116"/>
        <v>6463473</v>
      </c>
      <c r="X112" s="152">
        <f t="shared" si="116"/>
        <v>204850133</v>
      </c>
      <c r="Y112" s="151">
        <f t="shared" si="116"/>
        <v>150777535</v>
      </c>
      <c r="Z112" s="144">
        <f t="shared" si="116"/>
        <v>7141892</v>
      </c>
      <c r="AA112" s="152">
        <f t="shared" si="116"/>
        <v>157919427</v>
      </c>
      <c r="AB112" s="151">
        <f t="shared" si="116"/>
        <v>150777533</v>
      </c>
      <c r="AC112" s="144">
        <f t="shared" si="116"/>
        <v>7141892</v>
      </c>
      <c r="AD112" s="152">
        <f t="shared" si="116"/>
        <v>157919425</v>
      </c>
      <c r="AE112" s="151">
        <f t="shared" si="116"/>
        <v>141349564</v>
      </c>
      <c r="AF112" s="144">
        <f t="shared" si="116"/>
        <v>11691961</v>
      </c>
      <c r="AG112" s="152">
        <f t="shared" si="116"/>
        <v>153041525</v>
      </c>
      <c r="AH112" s="151">
        <f t="shared" si="116"/>
        <v>46930706</v>
      </c>
      <c r="AI112" s="144">
        <f t="shared" si="116"/>
        <v>46930708</v>
      </c>
      <c r="AJ112" s="153">
        <f t="shared" si="116"/>
        <v>51808608</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+IF(JULIO!A113=0,"",JULIO!A113)</f>
        <v>2300</v>
      </c>
      <c r="B113" s="56" t="str">
        <f>+IF(JULIO!B113=0,"",JULIO!B113)</f>
        <v>RENDIMIENTOS FINANCIEROS</v>
      </c>
      <c r="C113" s="576">
        <f>+ENERO!C113</f>
        <v>305317</v>
      </c>
      <c r="D113" s="574">
        <f>JULIO!D113+AGOSTO!P113</f>
        <v>0</v>
      </c>
      <c r="E113" s="574">
        <f>JULIO!E113+AGOSTO!Q113</f>
        <v>0</v>
      </c>
      <c r="F113" s="575">
        <f t="shared" si="110"/>
        <v>305317</v>
      </c>
      <c r="G113" s="576">
        <f>JULIO!I113</f>
        <v>232717</v>
      </c>
      <c r="H113" s="853">
        <v>412086</v>
      </c>
      <c r="I113" s="575">
        <f t="shared" si="111"/>
        <v>644803</v>
      </c>
      <c r="J113" s="576">
        <f>JULIO!L113</f>
        <v>232717</v>
      </c>
      <c r="K113" s="853">
        <v>412086</v>
      </c>
      <c r="L113" s="575">
        <f t="shared" si="112"/>
        <v>644803</v>
      </c>
      <c r="M113" s="576">
        <f t="shared" si="113"/>
        <v>-339486</v>
      </c>
      <c r="N113" s="575">
        <f t="shared" si="114"/>
        <v>-339486</v>
      </c>
      <c r="O113" s="562"/>
      <c r="P113" s="455">
        <v>0</v>
      </c>
      <c r="Q113" s="458">
        <v>0</v>
      </c>
      <c r="R113" s="10"/>
      <c r="S113" s="448" t="str">
        <f>+IF(JULIO!S113=0,"",JULIO!S113)</f>
        <v/>
      </c>
      <c r="T113" s="649" t="str">
        <f>+IF(JULIO!T113=0,"",JULIO!T113)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+IF(JULIO!A114=0,"",JULIO!A114)</f>
        <v>2400</v>
      </c>
      <c r="B114" s="55" t="str">
        <f>+IF(JULIO!B114=0,"",JULIO!B114)</f>
        <v>VENTA DE ACTIVOS</v>
      </c>
      <c r="C114" s="283">
        <f>+ENERO!C114</f>
        <v>0</v>
      </c>
      <c r="D114" s="456">
        <f>JULIO!D114+AGOSTO!P114</f>
        <v>0</v>
      </c>
      <c r="E114" s="456">
        <f>JULIO!E114+AGOSTO!Q114</f>
        <v>0</v>
      </c>
      <c r="F114" s="170">
        <f t="shared" si="110"/>
        <v>0</v>
      </c>
      <c r="G114" s="283">
        <f>JULIO!I114</f>
        <v>0</v>
      </c>
      <c r="H114" s="815">
        <v>0</v>
      </c>
      <c r="I114" s="575">
        <f t="shared" si="111"/>
        <v>0</v>
      </c>
      <c r="J114" s="576">
        <f>JULIO!L114</f>
        <v>0</v>
      </c>
      <c r="K114" s="815">
        <v>0</v>
      </c>
      <c r="L114" s="170">
        <f t="shared" si="112"/>
        <v>0</v>
      </c>
      <c r="M114" s="283">
        <f t="shared" si="113"/>
        <v>0</v>
      </c>
      <c r="N114" s="170">
        <f t="shared" si="114"/>
        <v>0</v>
      </c>
      <c r="O114" s="562"/>
      <c r="P114" s="455">
        <v>0</v>
      </c>
      <c r="Q114" s="458">
        <v>0</v>
      </c>
      <c r="R114" s="10"/>
      <c r="S114" s="34">
        <f>+IF(JULIO!S114=0,"",JULIO!S114)</f>
        <v>2010100</v>
      </c>
      <c r="T114" s="158" t="str">
        <f>+IF(JULIO!T114=0,"",JULIO!T114)</f>
        <v>Adquisición de bienes</v>
      </c>
      <c r="U114" s="157">
        <f t="shared" ref="U114:AJ114" si="117">SUM(U115:U121)</f>
        <v>67419307</v>
      </c>
      <c r="V114" s="144">
        <f t="shared" si="117"/>
        <v>0</v>
      </c>
      <c r="W114" s="144">
        <f t="shared" si="117"/>
        <v>1397432</v>
      </c>
      <c r="X114" s="152">
        <f t="shared" si="117"/>
        <v>68816739</v>
      </c>
      <c r="Y114" s="151">
        <f t="shared" si="117"/>
        <v>66413917</v>
      </c>
      <c r="Z114" s="144">
        <f t="shared" si="117"/>
        <v>684000</v>
      </c>
      <c r="AA114" s="152">
        <f t="shared" si="117"/>
        <v>67097917</v>
      </c>
      <c r="AB114" s="151">
        <f t="shared" si="117"/>
        <v>66413915</v>
      </c>
      <c r="AC114" s="144">
        <f t="shared" si="117"/>
        <v>684000</v>
      </c>
      <c r="AD114" s="152">
        <f t="shared" si="117"/>
        <v>67097915</v>
      </c>
      <c r="AE114" s="151">
        <f t="shared" si="117"/>
        <v>61639512</v>
      </c>
      <c r="AF114" s="144">
        <f t="shared" si="117"/>
        <v>2188802</v>
      </c>
      <c r="AG114" s="152">
        <f t="shared" si="117"/>
        <v>63828314</v>
      </c>
      <c r="AH114" s="151">
        <f t="shared" si="117"/>
        <v>1718822</v>
      </c>
      <c r="AI114" s="144">
        <f t="shared" si="117"/>
        <v>1718824</v>
      </c>
      <c r="AJ114" s="153">
        <f t="shared" si="117"/>
        <v>4988425</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+IF(JULIO!A115=0,"",JULIO!A115)</f>
        <v>2500</v>
      </c>
      <c r="B115" s="55" t="str">
        <f>+IF(JULIO!B115=0,"",JULIO!B115)</f>
        <v>DONACIONES</v>
      </c>
      <c r="C115" s="283">
        <f>+ENERO!C115</f>
        <v>0</v>
      </c>
      <c r="D115" s="456">
        <f>JULIO!D115+AGOSTO!P115</f>
        <v>0</v>
      </c>
      <c r="E115" s="456">
        <f>JULIO!E115+AGOSTO!Q115</f>
        <v>0</v>
      </c>
      <c r="F115" s="170">
        <f t="shared" si="110"/>
        <v>0</v>
      </c>
      <c r="G115" s="283">
        <f>JULIO!I115</f>
        <v>0</v>
      </c>
      <c r="H115" s="815">
        <v>0</v>
      </c>
      <c r="I115" s="575">
        <f t="shared" si="111"/>
        <v>0</v>
      </c>
      <c r="J115" s="576">
        <f>JULIO!L115</f>
        <v>0</v>
      </c>
      <c r="K115" s="815">
        <v>0</v>
      </c>
      <c r="L115" s="170">
        <f t="shared" si="112"/>
        <v>0</v>
      </c>
      <c r="M115" s="283">
        <f t="shared" si="113"/>
        <v>0</v>
      </c>
      <c r="N115" s="170">
        <f t="shared" si="114"/>
        <v>0</v>
      </c>
      <c r="P115" s="455">
        <v>0</v>
      </c>
      <c r="Q115" s="458">
        <v>0</v>
      </c>
      <c r="R115" s="10"/>
      <c r="S115" s="155" t="str">
        <f>+IF(JULIO!S115=0,"",JULIO!S115)</f>
        <v>2010100-1</v>
      </c>
      <c r="T115" s="159" t="str">
        <f>+IF(JULIO!T115=0,"",JULIO!T115)</f>
        <v>Compra de Equipos</v>
      </c>
      <c r="U115" s="29">
        <f>+ENERO!U115</f>
        <v>42018487</v>
      </c>
      <c r="V115" s="17">
        <f>JULIO!V115+AGOSTO!AL115</f>
        <v>0</v>
      </c>
      <c r="W115" s="17">
        <f>JULIO!W115+AGOSTO!AM115</f>
        <v>0</v>
      </c>
      <c r="X115" s="20">
        <f t="shared" ref="X115:X121" si="118">SUM(U115:W115)</f>
        <v>42018487</v>
      </c>
      <c r="Y115" s="21">
        <f>JULIO!AA115</f>
        <v>41250742</v>
      </c>
      <c r="Z115" s="457">
        <v>0</v>
      </c>
      <c r="AA115" s="20">
        <f t="shared" ref="AA115:AA121" si="119">SUM(Y115:Z115)</f>
        <v>41250742</v>
      </c>
      <c r="AB115" s="21">
        <f>JULIO!AD115</f>
        <v>41250742</v>
      </c>
      <c r="AC115" s="457">
        <v>0</v>
      </c>
      <c r="AD115" s="20">
        <f t="shared" ref="AD115:AD121" si="120">SUM(AB115:AC115)</f>
        <v>41250742</v>
      </c>
      <c r="AE115" s="21">
        <f>JULIO!AG115</f>
        <v>41250742</v>
      </c>
      <c r="AF115" s="457">
        <v>0</v>
      </c>
      <c r="AG115" s="20">
        <f t="shared" ref="AG115:AG121" si="121">SUM(AE115:AF115)</f>
        <v>41250742</v>
      </c>
      <c r="AH115" s="21">
        <f t="shared" ref="AH115:AH121" si="122">X115-AA115</f>
        <v>767745</v>
      </c>
      <c r="AI115" s="17">
        <f t="shared" ref="AI115:AI121" si="123">X115-AD115</f>
        <v>767745</v>
      </c>
      <c r="AJ115" s="18">
        <f t="shared" ref="AJ115:AJ121" si="124">X115-AG115</f>
        <v>767745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+IF(JULIO!A116=0,"",JULIO!A116)</f>
        <v>2600</v>
      </c>
      <c r="B116" s="55" t="str">
        <f>+IF(JULIO!B116=0,"",JULIO!B116)</f>
        <v>RECUPERACIÓN DE CARTERA (AÑO 2012 Y ANTERIORES)</v>
      </c>
      <c r="C116" s="283">
        <f>+ENERO!C116</f>
        <v>1147070</v>
      </c>
      <c r="D116" s="456">
        <f>JULIO!D116+AGOSTO!P116</f>
        <v>0</v>
      </c>
      <c r="E116" s="456">
        <f>JULIO!E116+AGOSTO!Q116</f>
        <v>0</v>
      </c>
      <c r="F116" s="170">
        <f t="shared" si="110"/>
        <v>1147070</v>
      </c>
      <c r="G116" s="283">
        <f>JULIO!I116</f>
        <v>2073906</v>
      </c>
      <c r="H116" s="853">
        <v>20000</v>
      </c>
      <c r="I116" s="575">
        <f t="shared" si="111"/>
        <v>2093906</v>
      </c>
      <c r="J116" s="576">
        <f>JULIO!L116</f>
        <v>2073906</v>
      </c>
      <c r="K116" s="853">
        <v>20000</v>
      </c>
      <c r="L116" s="170">
        <f t="shared" si="112"/>
        <v>2093906</v>
      </c>
      <c r="M116" s="283">
        <f t="shared" si="113"/>
        <v>-946836</v>
      </c>
      <c r="N116" s="170">
        <f t="shared" si="114"/>
        <v>-946836</v>
      </c>
      <c r="P116" s="455">
        <v>0</v>
      </c>
      <c r="Q116" s="458">
        <v>0</v>
      </c>
      <c r="R116" s="10"/>
      <c r="S116" s="155" t="str">
        <f>+IF(JULIO!S116=0,"",JULIO!S116)</f>
        <v>2010100-2</v>
      </c>
      <c r="T116" s="159" t="str">
        <f>+IF(JULIO!T116=0,"",JULIO!T116)</f>
        <v>Materiales</v>
      </c>
      <c r="U116" s="29">
        <f>+ENERO!U116</f>
        <v>23400820</v>
      </c>
      <c r="V116" s="17">
        <f>JULIO!V116+AGOSTO!AL116</f>
        <v>0</v>
      </c>
      <c r="W116" s="17">
        <f>JULIO!W116+AGOSTO!AM116</f>
        <v>0</v>
      </c>
      <c r="X116" s="20">
        <f t="shared" si="118"/>
        <v>23400820</v>
      </c>
      <c r="Y116" s="21">
        <f>JULIO!AA116</f>
        <v>21766743</v>
      </c>
      <c r="Z116" s="457">
        <v>684000</v>
      </c>
      <c r="AA116" s="20">
        <f t="shared" si="119"/>
        <v>22450743</v>
      </c>
      <c r="AB116" s="21">
        <f>JULIO!AD116</f>
        <v>21766741</v>
      </c>
      <c r="AC116" s="457">
        <v>684000</v>
      </c>
      <c r="AD116" s="20">
        <f t="shared" si="120"/>
        <v>22450741</v>
      </c>
      <c r="AE116" s="21">
        <f>JULIO!AG116</f>
        <v>16992338</v>
      </c>
      <c r="AF116" s="457">
        <v>2188802</v>
      </c>
      <c r="AG116" s="20">
        <f t="shared" si="121"/>
        <v>19181140</v>
      </c>
      <c r="AH116" s="21">
        <f t="shared" si="122"/>
        <v>950077</v>
      </c>
      <c r="AI116" s="17">
        <f t="shared" si="123"/>
        <v>950079</v>
      </c>
      <c r="AJ116" s="18">
        <f t="shared" si="124"/>
        <v>4219680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+IF(JULIO!A117=0,"",JULIO!A117)</f>
        <v>2700</v>
      </c>
      <c r="B117" s="55" t="str">
        <f>+IF(JULIO!B117=0,"",JULIO!B117)</f>
        <v>OTROS INGRESOS DE CAPITAL</v>
      </c>
      <c r="C117" s="283">
        <f>SUM(C118:C119)</f>
        <v>0</v>
      </c>
      <c r="D117" s="456">
        <f t="shared" ref="D117:N117" si="125">SUM(D118:D119)</f>
        <v>0</v>
      </c>
      <c r="E117" s="456">
        <f t="shared" si="125"/>
        <v>149110140</v>
      </c>
      <c r="F117" s="170">
        <f t="shared" si="125"/>
        <v>149110140</v>
      </c>
      <c r="G117" s="283">
        <f t="shared" si="125"/>
        <v>0</v>
      </c>
      <c r="H117" s="169">
        <f t="shared" si="125"/>
        <v>0</v>
      </c>
      <c r="I117" s="575">
        <f t="shared" si="125"/>
        <v>0</v>
      </c>
      <c r="J117" s="576">
        <f t="shared" si="125"/>
        <v>0</v>
      </c>
      <c r="K117" s="169">
        <f t="shared" si="125"/>
        <v>0</v>
      </c>
      <c r="L117" s="170">
        <f t="shared" si="125"/>
        <v>0</v>
      </c>
      <c r="M117" s="283">
        <f t="shared" si="125"/>
        <v>149110140</v>
      </c>
      <c r="N117" s="170">
        <f t="shared" si="125"/>
        <v>149110140</v>
      </c>
      <c r="P117" s="36">
        <f>SUM(P118:P119)</f>
        <v>0</v>
      </c>
      <c r="Q117" s="37">
        <f>SUM(Q118:Q119)</f>
        <v>0</v>
      </c>
      <c r="R117" s="10"/>
      <c r="S117" s="155" t="str">
        <f>+IF(JULIO!S117=0,"",JULIO!S117)</f>
        <v>2010100-3</v>
      </c>
      <c r="T117" s="159" t="str">
        <f>+IF(JULIO!T117=0,"",JULIO!T117)</f>
        <v>Salud Ocupacional</v>
      </c>
      <c r="U117" s="29">
        <f>+ENERO!U117</f>
        <v>0</v>
      </c>
      <c r="V117" s="17">
        <f>JULIO!V117+AGOSTO!AL117</f>
        <v>0</v>
      </c>
      <c r="W117" s="17">
        <f>JULIO!W117+AGOSTO!AM117</f>
        <v>0</v>
      </c>
      <c r="X117" s="20">
        <f t="shared" si="118"/>
        <v>0</v>
      </c>
      <c r="Y117" s="21">
        <f>JULIO!AA117</f>
        <v>0</v>
      </c>
      <c r="Z117" s="457">
        <v>0</v>
      </c>
      <c r="AA117" s="20">
        <f t="shared" si="119"/>
        <v>0</v>
      </c>
      <c r="AB117" s="21">
        <f>JULIO!AD117</f>
        <v>0</v>
      </c>
      <c r="AC117" s="457">
        <v>0</v>
      </c>
      <c r="AD117" s="20">
        <f t="shared" si="120"/>
        <v>0</v>
      </c>
      <c r="AE117" s="21">
        <f>JULIO!AG117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+IF(JULIO!A118=0,"",JULIO!A118)</f>
        <v>2700-1</v>
      </c>
      <c r="B118" s="58" t="str">
        <f>+IF(JULIO!B118=0,"",JULIO!B118)</f>
        <v>Descuentos por pronto pago</v>
      </c>
      <c r="C118" s="283">
        <f>+ENERO!C118</f>
        <v>0</v>
      </c>
      <c r="D118" s="456">
        <f>JULIO!D118+AGOSTO!P118</f>
        <v>0</v>
      </c>
      <c r="E118" s="456">
        <f>JULIO!E118+AGOSTO!Q118</f>
        <v>149110140</v>
      </c>
      <c r="F118" s="170">
        <f>SUM(C118:E118)</f>
        <v>149110140</v>
      </c>
      <c r="G118" s="283">
        <f>JULIO!I118</f>
        <v>0</v>
      </c>
      <c r="H118" s="815">
        <v>0</v>
      </c>
      <c r="I118" s="575">
        <f>SUM(G118:H118)</f>
        <v>0</v>
      </c>
      <c r="J118" s="576">
        <f>JULIO!L118</f>
        <v>0</v>
      </c>
      <c r="K118" s="815">
        <v>0</v>
      </c>
      <c r="L118" s="170">
        <f>SUM(J118:K118)</f>
        <v>0</v>
      </c>
      <c r="M118" s="283">
        <f>F118-I118</f>
        <v>149110140</v>
      </c>
      <c r="N118" s="170">
        <f>F118-L118</f>
        <v>149110140</v>
      </c>
      <c r="P118" s="455">
        <v>0</v>
      </c>
      <c r="Q118" s="458">
        <v>0</v>
      </c>
      <c r="R118" s="10"/>
      <c r="S118" s="155" t="str">
        <f>+IF(JULIO!S118=0,"",JULIO!S118)</f>
        <v>2010100-4</v>
      </c>
      <c r="T118" s="159" t="str">
        <f>+IF(JULIO!T118=0,"",JULIO!T118)</f>
        <v/>
      </c>
      <c r="U118" s="29">
        <f>+ENERO!U118</f>
        <v>0</v>
      </c>
      <c r="V118" s="17">
        <f>JULIO!V118+AGOSTO!AL118</f>
        <v>0</v>
      </c>
      <c r="W118" s="17">
        <f>JULIO!W118+AGOSTO!AM118</f>
        <v>0</v>
      </c>
      <c r="X118" s="20">
        <f t="shared" si="118"/>
        <v>0</v>
      </c>
      <c r="Y118" s="21">
        <f>JULIO!AA118</f>
        <v>0</v>
      </c>
      <c r="Z118" s="457">
        <v>0</v>
      </c>
      <c r="AA118" s="20">
        <f t="shared" si="119"/>
        <v>0</v>
      </c>
      <c r="AB118" s="21">
        <f>JULIO!AD118</f>
        <v>0</v>
      </c>
      <c r="AC118" s="457">
        <v>0</v>
      </c>
      <c r="AD118" s="20">
        <f t="shared" si="120"/>
        <v>0</v>
      </c>
      <c r="AE118" s="21">
        <f>JULIO!AG118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+IF(JULIO!A119=0,"",JULIO!A119)</f>
        <v>2700-2</v>
      </c>
      <c r="B119" s="219" t="str">
        <f>+IF(JULIO!B119=0,"",JULIO!B119)</f>
        <v>Otros</v>
      </c>
      <c r="C119" s="474">
        <f>+ENERO!C119</f>
        <v>0</v>
      </c>
      <c r="D119" s="472">
        <f>JULIO!D119+AGOSTO!P119</f>
        <v>0</v>
      </c>
      <c r="E119" s="472">
        <f>JULIO!E119+AGOSTO!Q119</f>
        <v>0</v>
      </c>
      <c r="F119" s="473">
        <f>SUM(C119:E119)</f>
        <v>0</v>
      </c>
      <c r="G119" s="474">
        <f>JULIO!I119</f>
        <v>0</v>
      </c>
      <c r="H119" s="843">
        <v>0</v>
      </c>
      <c r="I119" s="565">
        <f>SUM(G119:H119)</f>
        <v>0</v>
      </c>
      <c r="J119" s="566">
        <f>JULIO!L119</f>
        <v>0</v>
      </c>
      <c r="K119" s="843">
        <v>0</v>
      </c>
      <c r="L119" s="473">
        <f>SUM(J119:K119)</f>
        <v>0</v>
      </c>
      <c r="M119" s="474">
        <f>F119-I119</f>
        <v>0</v>
      </c>
      <c r="N119" s="473">
        <f>F119-L119</f>
        <v>0</v>
      </c>
      <c r="P119" s="471">
        <v>0</v>
      </c>
      <c r="Q119" s="476">
        <v>0</v>
      </c>
      <c r="R119" s="10"/>
      <c r="S119" s="155" t="str">
        <f>+IF(JULIO!S119=0,"",JULIO!S119)</f>
        <v>2010100-5</v>
      </c>
      <c r="T119" s="159" t="str">
        <f>+IF(JULIO!T119=0,"",JULIO!T119)</f>
        <v/>
      </c>
      <c r="U119" s="29">
        <f>+ENERO!U119</f>
        <v>0</v>
      </c>
      <c r="V119" s="17">
        <f>JULIO!V119+AGOSTO!AL119</f>
        <v>0</v>
      </c>
      <c r="W119" s="17">
        <f>JULIO!W119+AGOSTO!AM119</f>
        <v>0</v>
      </c>
      <c r="X119" s="20">
        <f t="shared" si="118"/>
        <v>0</v>
      </c>
      <c r="Y119" s="21">
        <f>JULIO!AA119</f>
        <v>0</v>
      </c>
      <c r="Z119" s="457">
        <v>0</v>
      </c>
      <c r="AA119" s="20">
        <f t="shared" si="119"/>
        <v>0</v>
      </c>
      <c r="AB119" s="21">
        <f>JULIO!AD119</f>
        <v>0</v>
      </c>
      <c r="AC119" s="457">
        <v>0</v>
      </c>
      <c r="AD119" s="20">
        <f t="shared" si="120"/>
        <v>0</v>
      </c>
      <c r="AE119" s="21">
        <f>JULIO!AG119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845"/>
      <c r="I120" s="845"/>
      <c r="J120" s="845"/>
      <c r="K120" s="845"/>
      <c r="L120" s="363"/>
      <c r="M120" s="363"/>
      <c r="N120" s="599"/>
      <c r="P120" s="547"/>
      <c r="Q120" s="599"/>
      <c r="R120" s="10"/>
      <c r="S120" s="155" t="str">
        <f>+IF(JULIO!S120=0,"",JULIO!S120)</f>
        <v>2010100-6</v>
      </c>
      <c r="T120" s="159" t="str">
        <f>+IF(JULIO!T120=0,"",JULIO!T120)</f>
        <v/>
      </c>
      <c r="U120" s="29">
        <f>+ENERO!U120</f>
        <v>0</v>
      </c>
      <c r="V120" s="17">
        <f>JULIO!V120+AGOSTO!AL120</f>
        <v>0</v>
      </c>
      <c r="W120" s="17">
        <f>JULIO!W120+AGOSTO!AM120</f>
        <v>0</v>
      </c>
      <c r="X120" s="20">
        <f t="shared" si="118"/>
        <v>0</v>
      </c>
      <c r="Y120" s="21">
        <f>JULIO!AA120</f>
        <v>0</v>
      </c>
      <c r="Z120" s="457">
        <v>0</v>
      </c>
      <c r="AA120" s="20">
        <f t="shared" si="119"/>
        <v>0</v>
      </c>
      <c r="AB120" s="21">
        <f>JULIO!AD120</f>
        <v>0</v>
      </c>
      <c r="AC120" s="457">
        <v>0</v>
      </c>
      <c r="AD120" s="20">
        <f t="shared" si="120"/>
        <v>0</v>
      </c>
      <c r="AE120" s="21">
        <f>JULIO!AG120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+IF(JULIO!A121=0,"",JULIO!A121)</f>
        <v>TOTAL INGRESOS DIFERENTES A CUENTAS POR COBRAR</v>
      </c>
      <c r="B121" s="682"/>
      <c r="C121" s="605">
        <f t="shared" ref="C121:N121" si="126">C8-C123</f>
        <v>3465783837</v>
      </c>
      <c r="D121" s="603">
        <f t="shared" si="126"/>
        <v>0</v>
      </c>
      <c r="E121" s="603">
        <f t="shared" si="126"/>
        <v>207633323</v>
      </c>
      <c r="F121" s="604">
        <f t="shared" si="126"/>
        <v>3673417160</v>
      </c>
      <c r="G121" s="602">
        <f t="shared" si="126"/>
        <v>2134690830</v>
      </c>
      <c r="H121" s="846">
        <f t="shared" si="126"/>
        <v>284318483</v>
      </c>
      <c r="I121" s="847">
        <f t="shared" si="126"/>
        <v>2419009313</v>
      </c>
      <c r="J121" s="848">
        <f t="shared" si="126"/>
        <v>1722347802</v>
      </c>
      <c r="K121" s="846">
        <f t="shared" si="126"/>
        <v>290143581</v>
      </c>
      <c r="L121" s="604">
        <f t="shared" si="126"/>
        <v>2012491383</v>
      </c>
      <c r="M121" s="602">
        <f t="shared" si="126"/>
        <v>1254407847</v>
      </c>
      <c r="N121" s="604">
        <f t="shared" si="126"/>
        <v>1660925777</v>
      </c>
      <c r="P121" s="605">
        <f>P8-P123</f>
        <v>0</v>
      </c>
      <c r="Q121" s="606">
        <f>Q8-Q123</f>
        <v>0</v>
      </c>
      <c r="R121" s="10"/>
      <c r="S121" s="155">
        <f>+IF(JULIO!S121=0,"",JULIO!S121)</f>
        <v>2010199</v>
      </c>
      <c r="T121" s="159" t="str">
        <f>+IF(JULIO!T121=0,"",JULIO!T121)</f>
        <v>Vigencias Anteriores</v>
      </c>
      <c r="U121" s="29">
        <f>+ENERO!U121</f>
        <v>2000000</v>
      </c>
      <c r="V121" s="17">
        <f>JULIO!V121+AGOSTO!AL121</f>
        <v>0</v>
      </c>
      <c r="W121" s="17">
        <f>JULIO!W121+AGOSTO!AM121</f>
        <v>1397432</v>
      </c>
      <c r="X121" s="20">
        <f t="shared" si="118"/>
        <v>3397432</v>
      </c>
      <c r="Y121" s="21">
        <f>JULIO!AA121</f>
        <v>3396432</v>
      </c>
      <c r="Z121" s="457">
        <v>0</v>
      </c>
      <c r="AA121" s="20">
        <f t="shared" si="119"/>
        <v>3396432</v>
      </c>
      <c r="AB121" s="21">
        <f>JULIO!AD121</f>
        <v>3396432</v>
      </c>
      <c r="AC121" s="457">
        <v>0</v>
      </c>
      <c r="AD121" s="20">
        <f t="shared" si="120"/>
        <v>3396432</v>
      </c>
      <c r="AE121" s="21">
        <f>JULIO!AG121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849"/>
      <c r="I122" s="849"/>
      <c r="J122" s="849"/>
      <c r="K122" s="849"/>
      <c r="L122" s="609"/>
      <c r="M122" s="609"/>
      <c r="N122" s="610"/>
      <c r="P122" s="611"/>
      <c r="Q122" s="610"/>
      <c r="R122" s="10"/>
      <c r="S122" s="448" t="str">
        <f>+IF(JULIO!S122=0,"",JULIO!S122)</f>
        <v/>
      </c>
      <c r="T122" s="649" t="str">
        <f>+IF(JULIO!T122=0,"",JULIO!T122)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+IF(JULIO!A123=0,"",JULIO!A123)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345590385</v>
      </c>
      <c r="H123" s="615">
        <f>SUMIF($B8:$B$117,$B$24,H8:H117)+H116</f>
        <v>10372735</v>
      </c>
      <c r="I123" s="616">
        <f>SUMIF($B8:$B$117,$B$24,I8:I117)+I116</f>
        <v>355963120</v>
      </c>
      <c r="J123" s="614">
        <f>SUMIF($B8:$B$117,$B$24,J8:J117)+J116</f>
        <v>345590385</v>
      </c>
      <c r="K123" s="615">
        <f>SUMIF($B8:$B$117,$B$24,K8:K117)+K116</f>
        <v>10372735</v>
      </c>
      <c r="L123" s="686">
        <f>SUMIF($B8:$B$117,$B$24,L8:L117)+L116</f>
        <v>355963120</v>
      </c>
      <c r="M123" s="687">
        <f>SUMIF($B8:$B$117,$B$24,M8:M117)+M116</f>
        <v>-190245945</v>
      </c>
      <c r="N123" s="686">
        <f>SUMIF($B8:$B$117,$B$24,N8:N117)+N116</f>
        <v>-190245945</v>
      </c>
      <c r="P123" s="687">
        <f>SUMIF($B8:$B$117,$B$24,P8:P117)+P116</f>
        <v>0</v>
      </c>
      <c r="Q123" s="686">
        <f>SUMIF($B8:$B$117,$B$24,Q8:Q117)+Q116</f>
        <v>0</v>
      </c>
      <c r="R123" s="10"/>
      <c r="S123" s="34">
        <f>+IF(JULIO!S123=0,"",JULIO!S123)</f>
        <v>2010200</v>
      </c>
      <c r="T123" s="158" t="str">
        <f>+IF(JULIO!T123=0,"",JULIO!T123)</f>
        <v>Adquisición de Servicios</v>
      </c>
      <c r="U123" s="157">
        <f t="shared" ref="U123:AJ123" si="127">SUM(U124:U139)</f>
        <v>130967353</v>
      </c>
      <c r="V123" s="144">
        <f t="shared" si="127"/>
        <v>0</v>
      </c>
      <c r="W123" s="144">
        <f t="shared" si="127"/>
        <v>4066041</v>
      </c>
      <c r="X123" s="152">
        <f t="shared" si="127"/>
        <v>135033394</v>
      </c>
      <c r="Y123" s="151">
        <f t="shared" si="127"/>
        <v>84363618</v>
      </c>
      <c r="Z123" s="144">
        <f t="shared" si="127"/>
        <v>6457892</v>
      </c>
      <c r="AA123" s="152">
        <f t="shared" si="127"/>
        <v>90821510</v>
      </c>
      <c r="AB123" s="151">
        <f t="shared" si="127"/>
        <v>84363618</v>
      </c>
      <c r="AC123" s="144">
        <f t="shared" si="127"/>
        <v>6457892</v>
      </c>
      <c r="AD123" s="152">
        <f t="shared" si="127"/>
        <v>90821510</v>
      </c>
      <c r="AE123" s="151">
        <f t="shared" si="127"/>
        <v>79710052</v>
      </c>
      <c r="AF123" s="144">
        <f t="shared" si="127"/>
        <v>9503159</v>
      </c>
      <c r="AG123" s="152">
        <f t="shared" si="127"/>
        <v>89213211</v>
      </c>
      <c r="AH123" s="151">
        <f t="shared" si="127"/>
        <v>44211884</v>
      </c>
      <c r="AI123" s="144">
        <f t="shared" si="127"/>
        <v>44211884</v>
      </c>
      <c r="AJ123" s="153">
        <f t="shared" si="127"/>
        <v>45820183</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849"/>
      <c r="I124" s="849"/>
      <c r="J124" s="849"/>
      <c r="K124" s="849"/>
      <c r="L124" s="609"/>
      <c r="M124" s="609"/>
      <c r="N124" s="610"/>
      <c r="P124" s="611"/>
      <c r="Q124" s="610"/>
      <c r="R124" s="10"/>
      <c r="S124" s="155" t="str">
        <f>+IF(JULIO!S124=0,"",JULIO!S124)</f>
        <v>2010200-1</v>
      </c>
      <c r="T124" s="159" t="str">
        <f>+IF(JULIO!T124=0,"",JULIO!T124)</f>
        <v>Seguros</v>
      </c>
      <c r="U124" s="29">
        <f>+ENERO!U124</f>
        <v>42767476</v>
      </c>
      <c r="V124" s="17">
        <f>JULIO!V124+AGOSTO!AL124</f>
        <v>0</v>
      </c>
      <c r="W124" s="17">
        <f>JULIO!W124+AGOSTO!AM124</f>
        <v>0</v>
      </c>
      <c r="X124" s="20">
        <f t="shared" ref="X124:X139" si="128">SUM(U124:W124)</f>
        <v>42767476</v>
      </c>
      <c r="Y124" s="21">
        <f>JULIO!AA124</f>
        <v>34499909</v>
      </c>
      <c r="Z124" s="457">
        <v>0</v>
      </c>
      <c r="AA124" s="20">
        <f t="shared" ref="AA124:AA139" si="129">SUM(Y124:Z124)</f>
        <v>34499909</v>
      </c>
      <c r="AB124" s="21">
        <f>JULIO!AD124</f>
        <v>34499909</v>
      </c>
      <c r="AC124" s="457">
        <v>0</v>
      </c>
      <c r="AD124" s="20">
        <f t="shared" ref="AD124:AD139" si="130">SUM(AB124:AC124)</f>
        <v>34499909</v>
      </c>
      <c r="AE124" s="21">
        <f>JULIO!AG124</f>
        <v>34157109</v>
      </c>
      <c r="AF124" s="457">
        <v>342800</v>
      </c>
      <c r="AG124" s="20">
        <f t="shared" ref="AG124:AG139" si="131">SUM(AE124:AF124)</f>
        <v>34499909</v>
      </c>
      <c r="AH124" s="21">
        <f t="shared" ref="AH124:AH139" si="132">X124-AA124</f>
        <v>8267567</v>
      </c>
      <c r="AI124" s="17">
        <f t="shared" ref="AI124:AI139" si="133">X124-AD124</f>
        <v>8267567</v>
      </c>
      <c r="AJ124" s="18">
        <f t="shared" ref="AJ124:AJ139" si="134">X124-AG124</f>
        <v>8267567</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+IF(JULIO!A125=0,"",JULIO!A125)</f>
        <v xml:space="preserve">TOTAL PRESUPUESTO DE INGRESOS </v>
      </c>
      <c r="B125" s="619"/>
      <c r="C125" s="605">
        <f t="shared" ref="C125:N125" si="135">C123+C121</f>
        <v>3631501012</v>
      </c>
      <c r="D125" s="621">
        <f t="shared" si="135"/>
        <v>0</v>
      </c>
      <c r="E125" s="621">
        <f t="shared" si="135"/>
        <v>207633323</v>
      </c>
      <c r="F125" s="622">
        <f t="shared" si="135"/>
        <v>3839134335</v>
      </c>
      <c r="G125" s="620">
        <f t="shared" si="135"/>
        <v>2480281215</v>
      </c>
      <c r="H125" s="850">
        <f t="shared" si="135"/>
        <v>294691218</v>
      </c>
      <c r="I125" s="851">
        <f t="shared" si="135"/>
        <v>2774972433</v>
      </c>
      <c r="J125" s="852">
        <f t="shared" si="135"/>
        <v>2067938187</v>
      </c>
      <c r="K125" s="850">
        <f t="shared" si="135"/>
        <v>300516316</v>
      </c>
      <c r="L125" s="622">
        <f t="shared" si="135"/>
        <v>2368454503</v>
      </c>
      <c r="M125" s="620">
        <f t="shared" si="135"/>
        <v>1064161902</v>
      </c>
      <c r="N125" s="622">
        <f t="shared" si="135"/>
        <v>1470679832</v>
      </c>
      <c r="P125" s="605">
        <f>P123+P121</f>
        <v>0</v>
      </c>
      <c r="Q125" s="606">
        <f>Q123+Q121</f>
        <v>0</v>
      </c>
      <c r="R125" s="10"/>
      <c r="S125" s="155" t="str">
        <f>+IF(JULIO!S125=0,"",JULIO!S125)</f>
        <v>2010200-2</v>
      </c>
      <c r="T125" s="159" t="str">
        <f>+IF(JULIO!T125=0,"",JULIO!T125)</f>
        <v>Impresos y Publicaciones</v>
      </c>
      <c r="U125" s="29">
        <f>+ENERO!U125</f>
        <v>10257367</v>
      </c>
      <c r="V125" s="17">
        <f>JULIO!V125+AGOSTO!AL125</f>
        <v>0</v>
      </c>
      <c r="W125" s="17">
        <f>JULIO!W125+AGOSTO!AM125</f>
        <v>0</v>
      </c>
      <c r="X125" s="20">
        <f t="shared" si="128"/>
        <v>10257367</v>
      </c>
      <c r="Y125" s="21">
        <f>JULIO!AA125</f>
        <v>4001008</v>
      </c>
      <c r="Z125" s="457">
        <v>1667334</v>
      </c>
      <c r="AA125" s="20">
        <f t="shared" si="129"/>
        <v>5668342</v>
      </c>
      <c r="AB125" s="21">
        <f>JULIO!AD125</f>
        <v>4001008</v>
      </c>
      <c r="AC125" s="457">
        <v>1667334</v>
      </c>
      <c r="AD125" s="20">
        <f t="shared" si="130"/>
        <v>5668342</v>
      </c>
      <c r="AE125" s="21">
        <f>JULIO!AG125</f>
        <v>1966168</v>
      </c>
      <c r="AF125" s="457">
        <v>2869174</v>
      </c>
      <c r="AG125" s="20">
        <f t="shared" si="131"/>
        <v>4835342</v>
      </c>
      <c r="AH125" s="21">
        <f t="shared" si="132"/>
        <v>4589025</v>
      </c>
      <c r="AI125" s="17">
        <f t="shared" si="133"/>
        <v>4589025</v>
      </c>
      <c r="AJ125" s="18">
        <f t="shared" si="134"/>
        <v>5422025</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H126" s="562"/>
      <c r="I126" s="562"/>
      <c r="J126" s="562"/>
      <c r="K126" s="562"/>
      <c r="N126" s="10"/>
      <c r="R126" s="10"/>
      <c r="S126" s="155" t="str">
        <f>+IF(JULIO!S126=0,"",JULIO!S126)</f>
        <v>2010200-3</v>
      </c>
      <c r="T126" s="159" t="str">
        <f>+IF(JULIO!T126=0,"",JULIO!T126)</f>
        <v xml:space="preserve">Servicios Públicos </v>
      </c>
      <c r="U126" s="29">
        <f>+ENERO!U126</f>
        <v>49280460</v>
      </c>
      <c r="V126" s="17">
        <f>JULIO!V126+AGOSTO!AL126</f>
        <v>0</v>
      </c>
      <c r="W126" s="17">
        <f>JULIO!W126+AGOSTO!AM126</f>
        <v>0</v>
      </c>
      <c r="X126" s="20">
        <f t="shared" si="128"/>
        <v>49280460</v>
      </c>
      <c r="Y126" s="21">
        <f>JULIO!AA126</f>
        <v>31363673</v>
      </c>
      <c r="Z126" s="457">
        <v>4091518</v>
      </c>
      <c r="AA126" s="20">
        <f t="shared" si="129"/>
        <v>35455191</v>
      </c>
      <c r="AB126" s="21">
        <f>JULIO!AD126</f>
        <v>31363673</v>
      </c>
      <c r="AC126" s="457">
        <v>4091518</v>
      </c>
      <c r="AD126" s="20">
        <f t="shared" si="130"/>
        <v>35455191</v>
      </c>
      <c r="AE126" s="21">
        <f>JULIO!AG126</f>
        <v>30343283</v>
      </c>
      <c r="AF126" s="457">
        <v>4402145</v>
      </c>
      <c r="AG126" s="20">
        <f t="shared" si="131"/>
        <v>34745428</v>
      </c>
      <c r="AH126" s="21">
        <f t="shared" si="132"/>
        <v>13825269</v>
      </c>
      <c r="AI126" s="17">
        <f t="shared" si="133"/>
        <v>13825269</v>
      </c>
      <c r="AJ126" s="18">
        <f t="shared" si="134"/>
        <v>14535032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H127" s="562"/>
      <c r="I127" s="562"/>
      <c r="J127" s="562"/>
      <c r="K127" s="562"/>
      <c r="N127" s="10"/>
      <c r="R127" s="10"/>
      <c r="S127" s="155" t="str">
        <f>+IF(JULIO!S127=0,"",JULIO!S127)</f>
        <v>2010200-4</v>
      </c>
      <c r="T127" s="159" t="str">
        <f>+IF(JULIO!T127=0,"",JULIO!T127)</f>
        <v>Comunicaciones y Transportes</v>
      </c>
      <c r="U127" s="29">
        <f>+ENERO!U127</f>
        <v>8570980</v>
      </c>
      <c r="V127" s="17">
        <f>JULIO!V127+AGOSTO!AL127</f>
        <v>0</v>
      </c>
      <c r="W127" s="17">
        <f>JULIO!W127+AGOSTO!AM127</f>
        <v>0</v>
      </c>
      <c r="X127" s="20">
        <f t="shared" si="128"/>
        <v>8570980</v>
      </c>
      <c r="Y127" s="21">
        <f>JULIO!AA127</f>
        <v>2347608</v>
      </c>
      <c r="Z127" s="457">
        <v>486000</v>
      </c>
      <c r="AA127" s="20">
        <f t="shared" si="129"/>
        <v>2833608</v>
      </c>
      <c r="AB127" s="21">
        <f>JULIO!AD127</f>
        <v>2347608</v>
      </c>
      <c r="AC127" s="457">
        <v>486000</v>
      </c>
      <c r="AD127" s="20">
        <f t="shared" si="130"/>
        <v>2833608</v>
      </c>
      <c r="AE127" s="21">
        <f>JULIO!AG127</f>
        <v>1652608</v>
      </c>
      <c r="AF127" s="457">
        <v>1181000</v>
      </c>
      <c r="AG127" s="20">
        <f t="shared" si="131"/>
        <v>2833608</v>
      </c>
      <c r="AH127" s="21">
        <f t="shared" si="132"/>
        <v>5737372</v>
      </c>
      <c r="AI127" s="17">
        <f t="shared" si="133"/>
        <v>5737372</v>
      </c>
      <c r="AJ127" s="18">
        <f t="shared" si="134"/>
        <v>5737372</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H128" s="562"/>
      <c r="I128" s="562"/>
      <c r="J128" s="562"/>
      <c r="K128" s="562"/>
      <c r="N128" s="10"/>
      <c r="R128" s="10"/>
      <c r="S128" s="155" t="str">
        <f>+IF(JULIO!S128=0,"",JULIO!S128)</f>
        <v>2010200-5</v>
      </c>
      <c r="T128" s="159" t="str">
        <f>+IF(JULIO!T128=0,"",JULIO!T128)</f>
        <v>Viáticos y Gastos de Viaje</v>
      </c>
      <c r="U128" s="29">
        <f>+ENERO!U128</f>
        <v>4306574</v>
      </c>
      <c r="V128" s="17">
        <f>JULIO!V128+AGOSTO!AL128</f>
        <v>0</v>
      </c>
      <c r="W128" s="17">
        <f>JULIO!W128+AGOSTO!AM128</f>
        <v>0</v>
      </c>
      <c r="X128" s="20">
        <f t="shared" si="128"/>
        <v>4306574</v>
      </c>
      <c r="Y128" s="21">
        <f>JULIO!AA128</f>
        <v>612920</v>
      </c>
      <c r="Z128" s="457">
        <v>0</v>
      </c>
      <c r="AA128" s="20">
        <f t="shared" si="129"/>
        <v>612920</v>
      </c>
      <c r="AB128" s="21">
        <f>JULIO!AD128</f>
        <v>612920</v>
      </c>
      <c r="AC128" s="457">
        <v>0</v>
      </c>
      <c r="AD128" s="20">
        <f t="shared" si="130"/>
        <v>612920</v>
      </c>
      <c r="AE128" s="21">
        <f>JULIO!AG128</f>
        <v>612920</v>
      </c>
      <c r="AF128" s="457">
        <v>0</v>
      </c>
      <c r="AG128" s="20">
        <f t="shared" si="131"/>
        <v>612920</v>
      </c>
      <c r="AH128" s="21">
        <f t="shared" si="132"/>
        <v>3693654</v>
      </c>
      <c r="AI128" s="17">
        <f t="shared" si="133"/>
        <v>3693654</v>
      </c>
      <c r="AJ128" s="18">
        <f t="shared" si="134"/>
        <v>3693654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H129" s="562"/>
      <c r="I129" s="562"/>
      <c r="J129" s="562"/>
      <c r="K129" s="562"/>
      <c r="N129" s="10"/>
      <c r="R129" s="10"/>
      <c r="S129" s="155" t="str">
        <f>+IF(JULIO!S129=0,"",JULIO!S129)</f>
        <v>2010200-6</v>
      </c>
      <c r="T129" s="159" t="str">
        <f>+IF(JULIO!T129=0,"",JULIO!T129)</f>
        <v>Arrendamientos</v>
      </c>
      <c r="U129" s="29">
        <f>+ENERO!U129</f>
        <v>0</v>
      </c>
      <c r="V129" s="17">
        <f>JULIO!V129+AGOSTO!AL129</f>
        <v>0</v>
      </c>
      <c r="W129" s="17">
        <f>JULIO!W129+AGOSTO!AM129</f>
        <v>0</v>
      </c>
      <c r="X129" s="20">
        <f t="shared" si="128"/>
        <v>0</v>
      </c>
      <c r="Y129" s="21">
        <f>JULIO!AA129</f>
        <v>0</v>
      </c>
      <c r="Z129" s="457">
        <v>0</v>
      </c>
      <c r="AA129" s="20">
        <f t="shared" si="129"/>
        <v>0</v>
      </c>
      <c r="AB129" s="21">
        <f>JULIO!AD129</f>
        <v>0</v>
      </c>
      <c r="AC129" s="457">
        <v>0</v>
      </c>
      <c r="AD129" s="20">
        <f t="shared" si="130"/>
        <v>0</v>
      </c>
      <c r="AE129" s="21">
        <f>JULIO!AG129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H130" s="562"/>
      <c r="I130" s="562"/>
      <c r="J130" s="562"/>
      <c r="K130" s="562"/>
      <c r="N130" s="10"/>
      <c r="R130" s="10"/>
      <c r="S130" s="155" t="str">
        <f>+IF(JULIO!S130=0,"",JULIO!S130)</f>
        <v>2010200-7</v>
      </c>
      <c r="T130" s="159" t="str">
        <f>+IF(JULIO!T130=0,"",JULIO!T130)</f>
        <v>Vigilancia y Aseo</v>
      </c>
      <c r="U130" s="29">
        <f>+ENERO!U130</f>
        <v>0</v>
      </c>
      <c r="V130" s="17">
        <f>JULIO!V130+AGOSTO!AL130</f>
        <v>0</v>
      </c>
      <c r="W130" s="17">
        <f>JULIO!W130+AGOSTO!AM130</f>
        <v>0</v>
      </c>
      <c r="X130" s="20">
        <f t="shared" si="128"/>
        <v>0</v>
      </c>
      <c r="Y130" s="21">
        <f>JULIO!AA130</f>
        <v>0</v>
      </c>
      <c r="Z130" s="457">
        <v>0</v>
      </c>
      <c r="AA130" s="20">
        <f t="shared" si="129"/>
        <v>0</v>
      </c>
      <c r="AB130" s="21">
        <f>JULIO!AD130</f>
        <v>0</v>
      </c>
      <c r="AC130" s="457">
        <v>0</v>
      </c>
      <c r="AD130" s="20">
        <f t="shared" si="130"/>
        <v>0</v>
      </c>
      <c r="AE130" s="21">
        <f>JULIO!AG130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H131" s="562"/>
      <c r="I131" s="562"/>
      <c r="J131" s="562"/>
      <c r="K131" s="562"/>
      <c r="N131" s="10"/>
      <c r="R131" s="10"/>
      <c r="S131" s="155" t="str">
        <f>+IF(JULIO!S131=0,"",JULIO!S131)</f>
        <v>2010200-8</v>
      </c>
      <c r="T131" s="159" t="str">
        <f>+IF(JULIO!T131=0,"",JULIO!T131)</f>
        <v>Bienestar Social</v>
      </c>
      <c r="U131" s="29">
        <f>+ENERO!U131</f>
        <v>6347410</v>
      </c>
      <c r="V131" s="17">
        <f>JULIO!V131+AGOSTO!AL131</f>
        <v>0</v>
      </c>
      <c r="W131" s="17">
        <f>JULIO!W131+AGOSTO!AM131</f>
        <v>0</v>
      </c>
      <c r="X131" s="20">
        <f t="shared" si="128"/>
        <v>6347410</v>
      </c>
      <c r="Y131" s="21">
        <f>JULIO!AA131</f>
        <v>0</v>
      </c>
      <c r="Z131" s="457">
        <v>0</v>
      </c>
      <c r="AA131" s="20">
        <f t="shared" si="129"/>
        <v>0</v>
      </c>
      <c r="AB131" s="21">
        <f>JULIO!AD131</f>
        <v>0</v>
      </c>
      <c r="AC131" s="457">
        <v>0</v>
      </c>
      <c r="AD131" s="20">
        <f t="shared" si="130"/>
        <v>0</v>
      </c>
      <c r="AE131" s="21">
        <f>JULIO!AG131</f>
        <v>0</v>
      </c>
      <c r="AF131" s="457">
        <v>0</v>
      </c>
      <c r="AG131" s="20">
        <f t="shared" si="131"/>
        <v>0</v>
      </c>
      <c r="AH131" s="21">
        <f t="shared" si="132"/>
        <v>6347410</v>
      </c>
      <c r="AI131" s="17">
        <f t="shared" si="133"/>
        <v>6347410</v>
      </c>
      <c r="AJ131" s="18">
        <f t="shared" si="13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H132" s="562"/>
      <c r="I132" s="562"/>
      <c r="J132" s="562"/>
      <c r="K132" s="562"/>
      <c r="N132" s="10"/>
      <c r="R132" s="10"/>
      <c r="S132" s="155" t="str">
        <f>+IF(JULIO!S132=0,"",JULIO!S132)</f>
        <v>2010200-9</v>
      </c>
      <c r="T132" s="159" t="str">
        <f>+IF(JULIO!T132=0,"",JULIO!T132)</f>
        <v>Capacitación, estimulos, incentivos, programa de calidad</v>
      </c>
      <c r="U132" s="29">
        <f>+ENERO!U132</f>
        <v>4142898</v>
      </c>
      <c r="V132" s="17">
        <f>JULIO!V132+AGOSTO!AL132</f>
        <v>0</v>
      </c>
      <c r="W132" s="17">
        <f>JULIO!W132+AGOSTO!AM132</f>
        <v>0</v>
      </c>
      <c r="X132" s="20">
        <f t="shared" si="128"/>
        <v>4142898</v>
      </c>
      <c r="Y132" s="21">
        <f>JULIO!AA132</f>
        <v>3764400</v>
      </c>
      <c r="Z132" s="457">
        <v>0</v>
      </c>
      <c r="AA132" s="20">
        <f t="shared" si="129"/>
        <v>3764400</v>
      </c>
      <c r="AB132" s="21">
        <f>JULIO!AD132</f>
        <v>3764400</v>
      </c>
      <c r="AC132" s="457">
        <v>0</v>
      </c>
      <c r="AD132" s="20">
        <f t="shared" si="130"/>
        <v>3764400</v>
      </c>
      <c r="AE132" s="21">
        <f>JULIO!AG132</f>
        <v>3269400</v>
      </c>
      <c r="AF132" s="457">
        <v>495000</v>
      </c>
      <c r="AG132" s="20">
        <f t="shared" si="131"/>
        <v>3764400</v>
      </c>
      <c r="AH132" s="21">
        <f t="shared" si="132"/>
        <v>378498</v>
      </c>
      <c r="AI132" s="17">
        <f t="shared" si="133"/>
        <v>378498</v>
      </c>
      <c r="AJ132" s="18">
        <f t="shared" si="134"/>
        <v>378498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H133" s="562"/>
      <c r="I133" s="562"/>
      <c r="J133" s="562"/>
      <c r="K133" s="562"/>
      <c r="N133" s="10"/>
      <c r="R133" s="10"/>
      <c r="S133" s="155" t="str">
        <f>+IF(JULIO!S133=0,"",JULIO!S133)</f>
        <v>2010200-10</v>
      </c>
      <c r="T133" s="159" t="str">
        <f>+IF(JULIO!T133=0,"",JULIO!T133)</f>
        <v>Pagos otras IPS</v>
      </c>
      <c r="U133" s="29">
        <f>+ENERO!U133</f>
        <v>0</v>
      </c>
      <c r="V133" s="17">
        <f>JULIO!V133+AGOSTO!AL133</f>
        <v>0</v>
      </c>
      <c r="W133" s="17">
        <f>JULIO!W133+AGOSTO!AM133</f>
        <v>0</v>
      </c>
      <c r="X133" s="20">
        <f t="shared" si="128"/>
        <v>0</v>
      </c>
      <c r="Y133" s="21">
        <f>JULIO!AA133</f>
        <v>0</v>
      </c>
      <c r="Z133" s="457">
        <v>0</v>
      </c>
      <c r="AA133" s="20">
        <f t="shared" si="129"/>
        <v>0</v>
      </c>
      <c r="AB133" s="21">
        <f>JULIO!AD133</f>
        <v>0</v>
      </c>
      <c r="AC133" s="457">
        <v>0</v>
      </c>
      <c r="AD133" s="20">
        <f t="shared" si="130"/>
        <v>0</v>
      </c>
      <c r="AE133" s="21">
        <f>JULIO!AG133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H134" s="562"/>
      <c r="I134" s="562"/>
      <c r="J134" s="562"/>
      <c r="K134" s="562"/>
      <c r="N134" s="10"/>
      <c r="R134" s="10"/>
      <c r="S134" s="155" t="str">
        <f>+IF(JULIO!S134=0,"",JULIO!S134)</f>
        <v>2010200-11</v>
      </c>
      <c r="T134" s="159" t="str">
        <f>+IF(JULIO!T134=0,"",JULIO!T134)</f>
        <v>Gastos financieros</v>
      </c>
      <c r="U134" s="29">
        <f>+ENERO!U134</f>
        <v>3294188</v>
      </c>
      <c r="V134" s="17">
        <f>JULIO!V134+AGOSTO!AL134</f>
        <v>0</v>
      </c>
      <c r="W134" s="17">
        <f>JULIO!W134+AGOSTO!AM134</f>
        <v>0</v>
      </c>
      <c r="X134" s="20">
        <f t="shared" si="128"/>
        <v>3294188</v>
      </c>
      <c r="Y134" s="21">
        <f>JULIO!AA134</f>
        <v>1708059</v>
      </c>
      <c r="Z134" s="457">
        <v>213040</v>
      </c>
      <c r="AA134" s="20">
        <f t="shared" si="129"/>
        <v>1921099</v>
      </c>
      <c r="AB134" s="21">
        <f>JULIO!AD134</f>
        <v>1708059</v>
      </c>
      <c r="AC134" s="457">
        <v>213040</v>
      </c>
      <c r="AD134" s="20">
        <f t="shared" si="130"/>
        <v>1921099</v>
      </c>
      <c r="AE134" s="21">
        <f>JULIO!AG134</f>
        <v>1708059</v>
      </c>
      <c r="AF134" s="457">
        <v>213040</v>
      </c>
      <c r="AG134" s="20">
        <f t="shared" si="131"/>
        <v>1921099</v>
      </c>
      <c r="AH134" s="21">
        <f t="shared" si="132"/>
        <v>1373089</v>
      </c>
      <c r="AI134" s="17">
        <f t="shared" si="133"/>
        <v>1373089</v>
      </c>
      <c r="AJ134" s="18">
        <f t="shared" si="134"/>
        <v>1373089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H135" s="562"/>
      <c r="I135" s="562"/>
      <c r="J135" s="562"/>
      <c r="K135" s="562"/>
      <c r="N135" s="10"/>
      <c r="R135" s="10"/>
      <c r="S135" s="155" t="str">
        <f>+IF(JULIO!S135=0,"",JULIO!S135)</f>
        <v>2010200-12</v>
      </c>
      <c r="T135" s="159" t="str">
        <f>+IF(JULIO!T135=0,"",JULIO!T135)</f>
        <v/>
      </c>
      <c r="U135" s="29">
        <f>+ENERO!U135</f>
        <v>0</v>
      </c>
      <c r="V135" s="17">
        <f>JULIO!V135+AGOSTO!AL135</f>
        <v>0</v>
      </c>
      <c r="W135" s="17">
        <f>JULIO!W135+AGOSTO!AM135</f>
        <v>0</v>
      </c>
      <c r="X135" s="20">
        <f t="shared" si="128"/>
        <v>0</v>
      </c>
      <c r="Y135" s="21">
        <f>JULIO!AA135</f>
        <v>0</v>
      </c>
      <c r="Z135" s="457">
        <v>0</v>
      </c>
      <c r="AA135" s="20">
        <f t="shared" si="129"/>
        <v>0</v>
      </c>
      <c r="AB135" s="21">
        <f>JULIO!AD135</f>
        <v>0</v>
      </c>
      <c r="AC135" s="457">
        <v>0</v>
      </c>
      <c r="AD135" s="20">
        <f t="shared" si="130"/>
        <v>0</v>
      </c>
      <c r="AE135" s="21">
        <f>JULIO!AG135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H136" s="562"/>
      <c r="I136" s="562"/>
      <c r="J136" s="562"/>
      <c r="K136" s="562"/>
      <c r="N136" s="10"/>
      <c r="R136" s="10"/>
      <c r="S136" s="155" t="str">
        <f>+IF(JULIO!S136=0,"",JULIO!S136)</f>
        <v>2010200-13</v>
      </c>
      <c r="T136" s="159" t="str">
        <f>+IF(JULIO!T136=0,"",JULIO!T136)</f>
        <v/>
      </c>
      <c r="U136" s="29">
        <f>+ENERO!U136</f>
        <v>0</v>
      </c>
      <c r="V136" s="17">
        <f>JULIO!V136+AGOSTO!AL136</f>
        <v>0</v>
      </c>
      <c r="W136" s="17">
        <f>JULIO!W136+AGOSTO!AM136</f>
        <v>0</v>
      </c>
      <c r="X136" s="20">
        <f t="shared" si="128"/>
        <v>0</v>
      </c>
      <c r="Y136" s="21">
        <f>JULIO!AA136</f>
        <v>0</v>
      </c>
      <c r="Z136" s="457">
        <v>0</v>
      </c>
      <c r="AA136" s="20">
        <f t="shared" si="129"/>
        <v>0</v>
      </c>
      <c r="AB136" s="21">
        <f>JULIO!AD136</f>
        <v>0</v>
      </c>
      <c r="AC136" s="457">
        <v>0</v>
      </c>
      <c r="AD136" s="20">
        <f t="shared" si="130"/>
        <v>0</v>
      </c>
      <c r="AE136" s="21">
        <f>JULIO!AG136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H137" s="562"/>
      <c r="I137" s="562"/>
      <c r="J137" s="562"/>
      <c r="K137" s="562"/>
      <c r="N137" s="10"/>
      <c r="R137" s="10"/>
      <c r="S137" s="155" t="str">
        <f>+IF(JULIO!S137=0,"",JULIO!S137)</f>
        <v>2010020-14</v>
      </c>
      <c r="T137" s="159" t="str">
        <f>+IF(JULIO!T137=0,"",JULIO!T137)</f>
        <v/>
      </c>
      <c r="U137" s="29">
        <f>+ENERO!U137</f>
        <v>0</v>
      </c>
      <c r="V137" s="17">
        <f>JULIO!V137+AGOSTO!AL137</f>
        <v>0</v>
      </c>
      <c r="W137" s="17">
        <f>JULIO!W137+AGOSTO!AM137</f>
        <v>0</v>
      </c>
      <c r="X137" s="20">
        <f t="shared" si="128"/>
        <v>0</v>
      </c>
      <c r="Y137" s="21">
        <f>JULIO!AA137</f>
        <v>0</v>
      </c>
      <c r="Z137" s="457">
        <v>0</v>
      </c>
      <c r="AA137" s="20">
        <f t="shared" si="129"/>
        <v>0</v>
      </c>
      <c r="AB137" s="21">
        <f>JULIO!AD137</f>
        <v>0</v>
      </c>
      <c r="AC137" s="457">
        <v>0</v>
      </c>
      <c r="AD137" s="20">
        <f t="shared" si="130"/>
        <v>0</v>
      </c>
      <c r="AE137" s="21">
        <f>JULIO!AG137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H138" s="562"/>
      <c r="I138" s="562"/>
      <c r="J138" s="562"/>
      <c r="K138" s="562"/>
      <c r="N138" s="10"/>
      <c r="R138" s="10"/>
      <c r="S138" s="155" t="str">
        <f>+IF(JULIO!S138=0,"",JULIO!S138)</f>
        <v>2010200-15</v>
      </c>
      <c r="T138" s="159" t="str">
        <f>+IF(JULIO!T138=0,"",JULIO!T138)</f>
        <v/>
      </c>
      <c r="U138" s="29">
        <f>+ENERO!U138</f>
        <v>0</v>
      </c>
      <c r="V138" s="17">
        <f>JULIO!V138+AGOSTO!AL138</f>
        <v>0</v>
      </c>
      <c r="W138" s="17">
        <f>JULIO!W138+AGOSTO!AM138</f>
        <v>0</v>
      </c>
      <c r="X138" s="20">
        <f t="shared" si="128"/>
        <v>0</v>
      </c>
      <c r="Y138" s="21">
        <f>JULIO!AA138</f>
        <v>0</v>
      </c>
      <c r="Z138" s="457">
        <v>0</v>
      </c>
      <c r="AA138" s="20">
        <f t="shared" si="129"/>
        <v>0</v>
      </c>
      <c r="AB138" s="21">
        <f>JULIO!AD138</f>
        <v>0</v>
      </c>
      <c r="AC138" s="457">
        <v>0</v>
      </c>
      <c r="AD138" s="20">
        <f t="shared" si="130"/>
        <v>0</v>
      </c>
      <c r="AE138" s="21">
        <f>JULIO!AG138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H139" s="562"/>
      <c r="I139" s="562"/>
      <c r="J139" s="562"/>
      <c r="K139" s="562"/>
      <c r="N139" s="10"/>
      <c r="R139" s="10"/>
      <c r="S139" s="155">
        <f>+IF(JULIO!S139=0,"",JULIO!S139)</f>
        <v>2010299</v>
      </c>
      <c r="T139" s="159" t="str">
        <f>+IF(JULIO!T139=0,"",JULIO!T139)</f>
        <v>Vigencias Anteriores</v>
      </c>
      <c r="U139" s="29">
        <f>+ENERO!U139</f>
        <v>2000000</v>
      </c>
      <c r="V139" s="17">
        <f>JULIO!V139+AGOSTO!AL139</f>
        <v>0</v>
      </c>
      <c r="W139" s="17">
        <f>JULIO!W139+AGOSTO!AM139</f>
        <v>4066041</v>
      </c>
      <c r="X139" s="20">
        <f t="shared" si="128"/>
        <v>6066041</v>
      </c>
      <c r="Y139" s="21">
        <f>JULIO!AA139</f>
        <v>6066041</v>
      </c>
      <c r="Z139" s="457">
        <v>0</v>
      </c>
      <c r="AA139" s="20">
        <f t="shared" si="129"/>
        <v>6066041</v>
      </c>
      <c r="AB139" s="21">
        <f>JULIO!AD139</f>
        <v>6066041</v>
      </c>
      <c r="AC139" s="457">
        <v>0</v>
      </c>
      <c r="AD139" s="20">
        <f t="shared" si="130"/>
        <v>6066041</v>
      </c>
      <c r="AE139" s="21">
        <f>JULIO!AG139</f>
        <v>6000505</v>
      </c>
      <c r="AF139" s="457">
        <v>0</v>
      </c>
      <c r="AG139" s="20">
        <f t="shared" si="131"/>
        <v>6000505</v>
      </c>
      <c r="AH139" s="21">
        <f t="shared" si="132"/>
        <v>0</v>
      </c>
      <c r="AI139" s="17">
        <f t="shared" si="133"/>
        <v>0</v>
      </c>
      <c r="AJ139" s="18">
        <f t="shared" si="134"/>
        <v>65536</v>
      </c>
      <c r="AK139" s="10"/>
      <c r="AL139" s="455">
        <v>0</v>
      </c>
      <c r="AM139" s="458">
        <v>0</v>
      </c>
      <c r="AN139" s="10"/>
      <c r="AO139" s="365"/>
      <c r="AP139" s="365"/>
      <c r="AQ139" s="365"/>
    </row>
    <row r="140" spans="1:52" s="467" customFormat="1" ht="15.75" x14ac:dyDescent="0.2">
      <c r="A140" s="623"/>
      <c r="H140" s="562"/>
      <c r="I140" s="562"/>
      <c r="J140" s="562"/>
      <c r="K140" s="562"/>
      <c r="N140" s="10"/>
      <c r="R140" s="10"/>
      <c r="S140" s="448" t="str">
        <f>+IF(JULIO!S140=0,"",JULIO!S140)</f>
        <v/>
      </c>
      <c r="T140" s="649" t="str">
        <f>+IF(JULIO!T140=0,"",JULIO!T140)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H141" s="562"/>
      <c r="I141" s="562"/>
      <c r="J141" s="562"/>
      <c r="K141" s="562"/>
      <c r="N141" s="10"/>
      <c r="R141" s="10"/>
      <c r="S141" s="34">
        <f>+IF(JULIO!S141=0,"",JULIO!S141)</f>
        <v>2010300</v>
      </c>
      <c r="T141" s="158" t="str">
        <f>+IF(JULIO!T141=0,"",JULIO!T141)</f>
        <v>Impuestos y Multas</v>
      </c>
      <c r="U141" s="157">
        <f t="shared" ref="U141:AJ141" si="136">U142+U143</f>
        <v>0</v>
      </c>
      <c r="V141" s="144">
        <f t="shared" si="136"/>
        <v>0</v>
      </c>
      <c r="W141" s="144">
        <f t="shared" si="136"/>
        <v>1000000</v>
      </c>
      <c r="X141" s="152">
        <f t="shared" si="136"/>
        <v>1000000</v>
      </c>
      <c r="Y141" s="151">
        <f t="shared" si="136"/>
        <v>0</v>
      </c>
      <c r="Z141" s="144">
        <f t="shared" si="136"/>
        <v>0</v>
      </c>
      <c r="AA141" s="152">
        <f t="shared" si="136"/>
        <v>0</v>
      </c>
      <c r="AB141" s="151">
        <f t="shared" si="136"/>
        <v>0</v>
      </c>
      <c r="AC141" s="144">
        <f t="shared" si="136"/>
        <v>0</v>
      </c>
      <c r="AD141" s="152">
        <f t="shared" si="136"/>
        <v>0</v>
      </c>
      <c r="AE141" s="151">
        <f t="shared" si="136"/>
        <v>0</v>
      </c>
      <c r="AF141" s="144">
        <f t="shared" si="136"/>
        <v>0</v>
      </c>
      <c r="AG141" s="152">
        <f t="shared" si="136"/>
        <v>0</v>
      </c>
      <c r="AH141" s="151">
        <f t="shared" si="136"/>
        <v>1000000</v>
      </c>
      <c r="AI141" s="144">
        <f t="shared" si="136"/>
        <v>1000000</v>
      </c>
      <c r="AJ141" s="153">
        <f t="shared" si="136"/>
        <v>1000000</v>
      </c>
      <c r="AK141" s="12"/>
      <c r="AL141" s="151">
        <f>AL142+AL143</f>
        <v>0</v>
      </c>
      <c r="AM141" s="153">
        <f>AM142+AM143</f>
        <v>0</v>
      </c>
      <c r="AN141" s="10"/>
    </row>
    <row r="142" spans="1:52" s="467" customFormat="1" x14ac:dyDescent="0.2">
      <c r="A142" s="623"/>
      <c r="H142" s="562"/>
      <c r="I142" s="562"/>
      <c r="J142" s="562"/>
      <c r="K142" s="562"/>
      <c r="N142" s="10"/>
      <c r="R142" s="10"/>
      <c r="S142" s="155" t="str">
        <f>+IF(JULIO!S142=0,"",JULIO!S142)</f>
        <v>2010300-1</v>
      </c>
      <c r="T142" s="159" t="str">
        <f>+IF(JULIO!T142=0,"",JULIO!T142)</f>
        <v>Impuestos (Predial, Vehiculos, Otros)</v>
      </c>
      <c r="U142" s="29">
        <f>+ENERO!U142</f>
        <v>0</v>
      </c>
      <c r="V142" s="17">
        <f>JULIO!V142+AGOSTO!AL142</f>
        <v>0</v>
      </c>
      <c r="W142" s="17">
        <f>JULIO!W142+AGOSTO!AM142</f>
        <v>1000000</v>
      </c>
      <c r="X142" s="20">
        <f>SUM(U142:W142)</f>
        <v>1000000</v>
      </c>
      <c r="Y142" s="21">
        <f>JULIO!AA142</f>
        <v>0</v>
      </c>
      <c r="Z142" s="457">
        <v>0</v>
      </c>
      <c r="AA142" s="20">
        <f>SUM(Y142:Z142)</f>
        <v>0</v>
      </c>
      <c r="AB142" s="21">
        <f>JULIO!AD142</f>
        <v>0</v>
      </c>
      <c r="AC142" s="457">
        <v>0</v>
      </c>
      <c r="AD142" s="20">
        <f>SUM(AB142:AC142)</f>
        <v>0</v>
      </c>
      <c r="AE142" s="21">
        <f>JULIO!AG142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H143" s="562"/>
      <c r="I143" s="562"/>
      <c r="J143" s="562"/>
      <c r="K143" s="562"/>
      <c r="N143" s="10"/>
      <c r="R143" s="10"/>
      <c r="S143" s="155">
        <f>+IF(JULIO!S143=0,"",JULIO!S143)</f>
        <v>2010399</v>
      </c>
      <c r="T143" s="159" t="str">
        <f>+IF(JULIO!T143=0,"",JULIO!T143)</f>
        <v>Vigencias Anteriores</v>
      </c>
      <c r="U143" s="29">
        <f>+ENERO!U143</f>
        <v>0</v>
      </c>
      <c r="V143" s="17">
        <f>JULIO!V143+AGOSTO!AL143</f>
        <v>0</v>
      </c>
      <c r="W143" s="17">
        <f>JULIO!W143+AGOSTO!AM143</f>
        <v>0</v>
      </c>
      <c r="X143" s="20">
        <f>SUM(U143:W143)</f>
        <v>0</v>
      </c>
      <c r="Y143" s="21">
        <f>JULIO!AA143</f>
        <v>0</v>
      </c>
      <c r="Z143" s="457">
        <v>0</v>
      </c>
      <c r="AA143" s="20">
        <f>SUM(Y143:Z143)</f>
        <v>0</v>
      </c>
      <c r="AB143" s="21">
        <f>JULIO!AD143</f>
        <v>0</v>
      </c>
      <c r="AC143" s="457">
        <v>0</v>
      </c>
      <c r="AD143" s="20">
        <f>SUM(AB143:AC143)</f>
        <v>0</v>
      </c>
      <c r="AE143" s="21">
        <f>JULIO!AG143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H144" s="562"/>
      <c r="I144" s="562"/>
      <c r="J144" s="562"/>
      <c r="K144" s="562"/>
      <c r="N144" s="10"/>
      <c r="R144" s="10"/>
      <c r="S144" s="448" t="str">
        <f>+IF(JULIO!S144=0,"",JULIO!S144)</f>
        <v/>
      </c>
      <c r="T144" s="649" t="str">
        <f>+IF(JULIO!T144=0,"",JULIO!T144)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H145" s="562"/>
      <c r="I145" s="562"/>
      <c r="J145" s="562"/>
      <c r="K145" s="562"/>
      <c r="N145" s="10"/>
      <c r="R145" s="10"/>
      <c r="S145" s="469">
        <f>+IF(JULIO!S145=0,"",JULIO!S145)</f>
        <v>2020010</v>
      </c>
      <c r="T145" s="470" t="str">
        <f>+IF(JULIO!T145=0,"",JULIO!T145)</f>
        <v>Gastos de Operación</v>
      </c>
      <c r="U145" s="157">
        <f t="shared" ref="U145:AJ145" si="137">U147+U155</f>
        <v>378163463</v>
      </c>
      <c r="V145" s="144">
        <f t="shared" si="137"/>
        <v>-746499</v>
      </c>
      <c r="W145" s="144">
        <f t="shared" si="137"/>
        <v>77987532</v>
      </c>
      <c r="X145" s="152">
        <f t="shared" si="137"/>
        <v>455404496</v>
      </c>
      <c r="Y145" s="151">
        <f t="shared" si="137"/>
        <v>261266672</v>
      </c>
      <c r="Z145" s="144">
        <f t="shared" si="137"/>
        <v>40612821</v>
      </c>
      <c r="AA145" s="152">
        <f t="shared" si="137"/>
        <v>301879493</v>
      </c>
      <c r="AB145" s="151">
        <f t="shared" si="137"/>
        <v>261266672</v>
      </c>
      <c r="AC145" s="144">
        <f t="shared" si="137"/>
        <v>40612821</v>
      </c>
      <c r="AD145" s="152">
        <f t="shared" si="137"/>
        <v>301879493</v>
      </c>
      <c r="AE145" s="151">
        <f t="shared" si="137"/>
        <v>189016007</v>
      </c>
      <c r="AF145" s="144">
        <f t="shared" si="137"/>
        <v>46545078</v>
      </c>
      <c r="AG145" s="152">
        <f t="shared" si="137"/>
        <v>235561085</v>
      </c>
      <c r="AH145" s="151">
        <f t="shared" si="137"/>
        <v>153525003</v>
      </c>
      <c r="AI145" s="144">
        <f t="shared" si="137"/>
        <v>153525003</v>
      </c>
      <c r="AJ145" s="153">
        <f t="shared" si="137"/>
        <v>219843411</v>
      </c>
      <c r="AK145" s="12"/>
      <c r="AL145" s="151">
        <f>AL147+AL155</f>
        <v>0</v>
      </c>
      <c r="AM145" s="153">
        <f>AM147+AM155</f>
        <v>0</v>
      </c>
      <c r="AN145" s="10"/>
    </row>
    <row r="146" spans="1:40" s="467" customFormat="1" x14ac:dyDescent="0.2">
      <c r="A146" s="623"/>
      <c r="H146" s="562"/>
      <c r="I146" s="562"/>
      <c r="J146" s="562"/>
      <c r="K146" s="562"/>
      <c r="N146" s="10"/>
      <c r="R146" s="10"/>
      <c r="S146" s="11" t="str">
        <f>+IF(JULIO!S146=0,"",JULIO!S146)</f>
        <v/>
      </c>
      <c r="T146" s="55" t="str">
        <f>+IF(JULIO!T146=0,"",JULIO!T146)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H147" s="562"/>
      <c r="I147" s="562"/>
      <c r="J147" s="562"/>
      <c r="K147" s="562"/>
      <c r="N147" s="10"/>
      <c r="R147" s="10"/>
      <c r="S147" s="34">
        <f>+IF(JULIO!S147=0,"",JULIO!S147)</f>
        <v>2020100</v>
      </c>
      <c r="T147" s="158" t="str">
        <f>+IF(JULIO!T147=0,"",JULIO!T147)</f>
        <v>Adquisición de bienes</v>
      </c>
      <c r="U147" s="157">
        <f t="shared" ref="U147:AJ147" si="138">SUM(U148:U149)+U153</f>
        <v>164034265</v>
      </c>
      <c r="V147" s="144">
        <f t="shared" si="138"/>
        <v>1294826</v>
      </c>
      <c r="W147" s="144">
        <f t="shared" si="138"/>
        <v>47087532</v>
      </c>
      <c r="X147" s="152">
        <f t="shared" si="138"/>
        <v>212416623</v>
      </c>
      <c r="Y147" s="151">
        <f t="shared" si="138"/>
        <v>128837216</v>
      </c>
      <c r="Z147" s="144">
        <f t="shared" si="138"/>
        <v>12223689</v>
      </c>
      <c r="AA147" s="152">
        <f t="shared" si="138"/>
        <v>141060905</v>
      </c>
      <c r="AB147" s="151">
        <f t="shared" si="138"/>
        <v>128837216</v>
      </c>
      <c r="AC147" s="144">
        <f t="shared" si="138"/>
        <v>12223689</v>
      </c>
      <c r="AD147" s="152">
        <f t="shared" si="138"/>
        <v>141060905</v>
      </c>
      <c r="AE147" s="151">
        <f t="shared" si="138"/>
        <v>95187002</v>
      </c>
      <c r="AF147" s="144">
        <f t="shared" si="138"/>
        <v>13943255</v>
      </c>
      <c r="AG147" s="152">
        <f t="shared" si="138"/>
        <v>109130257</v>
      </c>
      <c r="AH147" s="151">
        <f t="shared" si="138"/>
        <v>71355718</v>
      </c>
      <c r="AI147" s="144">
        <f t="shared" si="138"/>
        <v>71355718</v>
      </c>
      <c r="AJ147" s="153">
        <f t="shared" si="138"/>
        <v>103286366</v>
      </c>
      <c r="AK147" s="10"/>
      <c r="AL147" s="151">
        <f>SUM(AL148:AL149)+AL153</f>
        <v>0</v>
      </c>
      <c r="AM147" s="153">
        <f>SUM(AM148:AM149)+AM153</f>
        <v>0</v>
      </c>
      <c r="AN147" s="10"/>
    </row>
    <row r="148" spans="1:40" s="467" customFormat="1" x14ac:dyDescent="0.2">
      <c r="A148" s="623"/>
      <c r="H148" s="562"/>
      <c r="I148" s="562"/>
      <c r="J148" s="562"/>
      <c r="K148" s="562"/>
      <c r="N148" s="10"/>
      <c r="R148" s="10"/>
      <c r="S148" s="155">
        <f>+IF(JULIO!S148=0,"",JULIO!S148)</f>
        <v>2020101</v>
      </c>
      <c r="T148" s="159" t="str">
        <f>+IF(JULIO!T148=0,"",JULIO!T148)</f>
        <v>Mantenimiento Hospitalario</v>
      </c>
      <c r="U148" s="29">
        <f>+ENERO!U148</f>
        <v>73185858</v>
      </c>
      <c r="V148" s="17">
        <f>JULIO!V148+AGOSTO!AL148</f>
        <v>0</v>
      </c>
      <c r="W148" s="17">
        <f>JULIO!W148+AGOSTO!AM148</f>
        <v>29400000</v>
      </c>
      <c r="X148" s="20">
        <f>SUM(U148:W148)</f>
        <v>102585858</v>
      </c>
      <c r="Y148" s="21">
        <f>JULIO!AA148</f>
        <v>54689624</v>
      </c>
      <c r="Z148" s="457">
        <v>6715058</v>
      </c>
      <c r="AA148" s="20">
        <f>SUM(Y148:Z148)</f>
        <v>61404682</v>
      </c>
      <c r="AB148" s="21">
        <f>JULIO!AD148</f>
        <v>54689624</v>
      </c>
      <c r="AC148" s="457">
        <v>6715058</v>
      </c>
      <c r="AD148" s="20">
        <f>SUM(AB148:AC148)</f>
        <v>61404682</v>
      </c>
      <c r="AE148" s="21">
        <f>JULIO!AG148</f>
        <v>37380299</v>
      </c>
      <c r="AF148" s="457">
        <v>5941570</v>
      </c>
      <c r="AG148" s="20">
        <f>SUM(AE148:AF148)</f>
        <v>43321869</v>
      </c>
      <c r="AH148" s="21">
        <f>X148-AA148</f>
        <v>41181176</v>
      </c>
      <c r="AI148" s="17">
        <f>X148-AD148</f>
        <v>41181176</v>
      </c>
      <c r="AJ148" s="18">
        <f>X148-AG148</f>
        <v>59263989</v>
      </c>
      <c r="AK148" s="10"/>
      <c r="AL148" s="455">
        <v>0</v>
      </c>
      <c r="AM148" s="458">
        <v>0</v>
      </c>
      <c r="AN148" s="10"/>
    </row>
    <row r="149" spans="1:40" s="467" customFormat="1" x14ac:dyDescent="0.2">
      <c r="A149" s="623"/>
      <c r="H149" s="562"/>
      <c r="I149" s="562"/>
      <c r="J149" s="562"/>
      <c r="K149" s="562"/>
      <c r="N149" s="10"/>
      <c r="R149" s="10"/>
      <c r="S149" s="155">
        <f>+IF(JULIO!S149=0,"",JULIO!S149)</f>
        <v>2020102</v>
      </c>
      <c r="T149" s="159" t="str">
        <f>+IF(JULIO!T149=0,"",JULIO!T149)</f>
        <v>Otros</v>
      </c>
      <c r="U149" s="29">
        <f t="shared" ref="U149:AJ149" si="139">SUM(U150:U152)</f>
        <v>86848407</v>
      </c>
      <c r="V149" s="17">
        <f t="shared" si="139"/>
        <v>-3075665</v>
      </c>
      <c r="W149" s="17">
        <f t="shared" si="139"/>
        <v>8400000</v>
      </c>
      <c r="X149" s="20">
        <f t="shared" si="139"/>
        <v>92172742</v>
      </c>
      <c r="Y149" s="21">
        <f t="shared" si="139"/>
        <v>56489569</v>
      </c>
      <c r="Z149" s="169">
        <f t="shared" si="139"/>
        <v>5508631</v>
      </c>
      <c r="AA149" s="20">
        <f t="shared" si="139"/>
        <v>61998200</v>
      </c>
      <c r="AB149" s="21">
        <f t="shared" si="139"/>
        <v>56489569</v>
      </c>
      <c r="AC149" s="169">
        <f t="shared" si="139"/>
        <v>5508631</v>
      </c>
      <c r="AD149" s="20">
        <f t="shared" si="139"/>
        <v>61998200</v>
      </c>
      <c r="AE149" s="21">
        <f t="shared" si="139"/>
        <v>40965044</v>
      </c>
      <c r="AF149" s="169">
        <f t="shared" si="139"/>
        <v>8001685</v>
      </c>
      <c r="AG149" s="20">
        <f t="shared" si="139"/>
        <v>48966729</v>
      </c>
      <c r="AH149" s="21">
        <f t="shared" si="139"/>
        <v>30174542</v>
      </c>
      <c r="AI149" s="17">
        <f t="shared" si="139"/>
        <v>30174542</v>
      </c>
      <c r="AJ149" s="18">
        <f t="shared" si="139"/>
        <v>43206013</v>
      </c>
      <c r="AK149" s="10"/>
      <c r="AL149" s="31">
        <f>SUM(AL150:AL152)</f>
        <v>0</v>
      </c>
      <c r="AM149" s="28">
        <f>SUM(AM150:AM152)</f>
        <v>0</v>
      </c>
      <c r="AN149" s="10"/>
    </row>
    <row r="150" spans="1:40" s="467" customFormat="1" x14ac:dyDescent="0.2">
      <c r="A150" s="623"/>
      <c r="H150" s="562"/>
      <c r="I150" s="562"/>
      <c r="J150" s="562"/>
      <c r="K150" s="562"/>
      <c r="N150" s="10"/>
      <c r="R150" s="10"/>
      <c r="S150" s="156" t="str">
        <f>+IF(JULIO!S150=0,"",JULIO!S150)</f>
        <v>2020102-1</v>
      </c>
      <c r="T150" s="159" t="str">
        <f>+IF(JULIO!T150=0,"",JULIO!T150)</f>
        <v>Compra de Equipo e Instr. Mco. y Laborat.</v>
      </c>
      <c r="U150" s="29">
        <f>+ENERO!U150</f>
        <v>36341462</v>
      </c>
      <c r="V150" s="17">
        <f>JULIO!V150+AGOSTO!AL150</f>
        <v>-3075665</v>
      </c>
      <c r="W150" s="17">
        <f>JULIO!W150+AGOSTO!AM150</f>
        <v>5000000</v>
      </c>
      <c r="X150" s="20">
        <f>SUM(U150:W150)</f>
        <v>38265797</v>
      </c>
      <c r="Y150" s="21">
        <f>JULIO!AA150</f>
        <v>14097800</v>
      </c>
      <c r="Z150" s="457">
        <v>1740000</v>
      </c>
      <c r="AA150" s="20">
        <f>SUM(Y150:Z150)</f>
        <v>15837800</v>
      </c>
      <c r="AB150" s="21">
        <f>JULIO!AD150</f>
        <v>14097800</v>
      </c>
      <c r="AC150" s="457">
        <v>1740000</v>
      </c>
      <c r="AD150" s="20">
        <f>SUM(AB150:AC150)</f>
        <v>15837800</v>
      </c>
      <c r="AE150" s="21">
        <f>JULIO!AG150</f>
        <v>5904000</v>
      </c>
      <c r="AF150" s="457">
        <v>3139680</v>
      </c>
      <c r="AG150" s="20">
        <f>SUM(AE150:AF150)</f>
        <v>9043680</v>
      </c>
      <c r="AH150" s="21">
        <f>X150-AA150</f>
        <v>22427997</v>
      </c>
      <c r="AI150" s="17">
        <f>X150-AD150</f>
        <v>22427997</v>
      </c>
      <c r="AJ150" s="18">
        <f>X150-AG150</f>
        <v>29222117</v>
      </c>
      <c r="AK150" s="10"/>
      <c r="AL150" s="455">
        <v>0</v>
      </c>
      <c r="AM150" s="458">
        <v>0</v>
      </c>
      <c r="AN150" s="10"/>
    </row>
    <row r="151" spans="1:40" s="467" customFormat="1" x14ac:dyDescent="0.2">
      <c r="A151" s="623"/>
      <c r="H151" s="562"/>
      <c r="I151" s="562"/>
      <c r="J151" s="562"/>
      <c r="K151" s="562"/>
      <c r="N151" s="10"/>
      <c r="R151" s="10"/>
      <c r="S151" s="156" t="str">
        <f>+IF(JULIO!S151=0,"",JULIO!S151)</f>
        <v>2020102-2</v>
      </c>
      <c r="T151" s="159" t="str">
        <f>+IF(JULIO!T151=0,"",JULIO!T151)</f>
        <v>Materiales</v>
      </c>
      <c r="U151" s="29">
        <f>+ENERO!U151</f>
        <v>17885632</v>
      </c>
      <c r="V151" s="17">
        <f>JULIO!V151+AGOSTO!AL151</f>
        <v>0</v>
      </c>
      <c r="W151" s="17">
        <f>JULIO!W151+AGOSTO!AM151</f>
        <v>3400000</v>
      </c>
      <c r="X151" s="20">
        <f>SUM(U151:W151)</f>
        <v>21285632</v>
      </c>
      <c r="Y151" s="21">
        <f>JULIO!AA151</f>
        <v>15848269</v>
      </c>
      <c r="Z151" s="457">
        <v>820375</v>
      </c>
      <c r="AA151" s="20">
        <f>SUM(Y151:Z151)</f>
        <v>16668644</v>
      </c>
      <c r="AB151" s="21">
        <f>JULIO!AD151</f>
        <v>15848269</v>
      </c>
      <c r="AC151" s="457">
        <v>820375</v>
      </c>
      <c r="AD151" s="20">
        <f>SUM(AB151:AC151)</f>
        <v>16668644</v>
      </c>
      <c r="AE151" s="21">
        <f>JULIO!AG151</f>
        <v>11636570</v>
      </c>
      <c r="AF151" s="457">
        <v>1742979</v>
      </c>
      <c r="AG151" s="20">
        <f>SUM(AE151:AF151)</f>
        <v>13379549</v>
      </c>
      <c r="AH151" s="21">
        <f>X151-AA151</f>
        <v>4616988</v>
      </c>
      <c r="AI151" s="17">
        <f>X151-AD151</f>
        <v>4616988</v>
      </c>
      <c r="AJ151" s="18">
        <f>X151-AG151</f>
        <v>7906083</v>
      </c>
      <c r="AK151" s="10"/>
      <c r="AL151" s="455">
        <v>0</v>
      </c>
      <c r="AM151" s="458">
        <v>0</v>
      </c>
      <c r="AN151" s="10"/>
    </row>
    <row r="152" spans="1:40" s="467" customFormat="1" x14ac:dyDescent="0.2">
      <c r="A152" s="623"/>
      <c r="H152" s="562"/>
      <c r="I152" s="562"/>
      <c r="J152" s="562"/>
      <c r="K152" s="562"/>
      <c r="N152" s="10"/>
      <c r="R152" s="10"/>
      <c r="S152" s="156" t="str">
        <f>+IF(JULIO!S152=0,"",JULIO!S152)</f>
        <v>2020102-3</v>
      </c>
      <c r="T152" s="159" t="str">
        <f>+IF(JULIO!T152=0,"",JULIO!T152)</f>
        <v>Combustible</v>
      </c>
      <c r="U152" s="29">
        <f>+ENERO!U152</f>
        <v>32621313</v>
      </c>
      <c r="V152" s="17">
        <f>JULIO!V152+AGOSTO!AL152</f>
        <v>0</v>
      </c>
      <c r="W152" s="17">
        <f>JULIO!W152+AGOSTO!AM152</f>
        <v>0</v>
      </c>
      <c r="X152" s="20">
        <f>SUM(U152:W152)</f>
        <v>32621313</v>
      </c>
      <c r="Y152" s="21">
        <f>JULIO!AA152</f>
        <v>26543500</v>
      </c>
      <c r="Z152" s="457">
        <v>2948256</v>
      </c>
      <c r="AA152" s="20">
        <f>SUM(Y152:Z152)</f>
        <v>29491756</v>
      </c>
      <c r="AB152" s="21">
        <f>JULIO!AD152</f>
        <v>26543500</v>
      </c>
      <c r="AC152" s="457">
        <v>2948256</v>
      </c>
      <c r="AD152" s="20">
        <f>SUM(AB152:AC152)</f>
        <v>29491756</v>
      </c>
      <c r="AE152" s="21">
        <f>JULIO!AG152</f>
        <v>23424474</v>
      </c>
      <c r="AF152" s="457">
        <v>3119026</v>
      </c>
      <c r="AG152" s="20">
        <f>SUM(AE152:AF152)</f>
        <v>26543500</v>
      </c>
      <c r="AH152" s="21">
        <f>X152-AA152</f>
        <v>3129557</v>
      </c>
      <c r="AI152" s="17">
        <f>X152-AD152</f>
        <v>3129557</v>
      </c>
      <c r="AJ152" s="18">
        <f>X152-AG152</f>
        <v>6077813</v>
      </c>
      <c r="AK152" s="10"/>
      <c r="AL152" s="455">
        <v>0</v>
      </c>
      <c r="AM152" s="458">
        <v>0</v>
      </c>
      <c r="AN152" s="10"/>
    </row>
    <row r="153" spans="1:40" s="467" customFormat="1" x14ac:dyDescent="0.2">
      <c r="A153" s="623"/>
      <c r="H153" s="562"/>
      <c r="I153" s="562"/>
      <c r="J153" s="562"/>
      <c r="K153" s="562"/>
      <c r="N153" s="10"/>
      <c r="R153" s="10"/>
      <c r="S153" s="155">
        <f>+IF(JULIO!S153=0,"",JULIO!S153)</f>
        <v>2020199</v>
      </c>
      <c r="T153" s="159" t="str">
        <f>+IF(JULIO!T153=0,"",JULIO!T153)</f>
        <v>Vigencias Anteriores</v>
      </c>
      <c r="U153" s="29">
        <f>+ENERO!U153</f>
        <v>4000000</v>
      </c>
      <c r="V153" s="17">
        <f>JULIO!V153+AGOSTO!AL153</f>
        <v>4370491</v>
      </c>
      <c r="W153" s="17">
        <f>JULIO!W153+AGOSTO!AM153</f>
        <v>9287532</v>
      </c>
      <c r="X153" s="20">
        <f>SUM(U153:W153)</f>
        <v>17658023</v>
      </c>
      <c r="Y153" s="21">
        <f>JULIO!AA153</f>
        <v>17658023</v>
      </c>
      <c r="Z153" s="457">
        <v>0</v>
      </c>
      <c r="AA153" s="20">
        <f>SUM(Y153:Z153)</f>
        <v>17658023</v>
      </c>
      <c r="AB153" s="21">
        <f>JULIO!AD153</f>
        <v>17658023</v>
      </c>
      <c r="AC153" s="457">
        <v>0</v>
      </c>
      <c r="AD153" s="20">
        <f>SUM(AB153:AC153)</f>
        <v>17658023</v>
      </c>
      <c r="AE153" s="21">
        <f>JULIO!AG153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H154" s="562"/>
      <c r="I154" s="562"/>
      <c r="J154" s="562"/>
      <c r="K154" s="562"/>
      <c r="N154" s="10"/>
      <c r="R154" s="10"/>
      <c r="S154" s="448" t="str">
        <f>+IF(JULIO!S154=0,"",JULIO!S154)</f>
        <v/>
      </c>
      <c r="T154" s="649" t="str">
        <f>+IF(JULIO!T154=0,"",JULIO!T154)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H155" s="562"/>
      <c r="I155" s="562"/>
      <c r="J155" s="562"/>
      <c r="K155" s="562"/>
      <c r="N155" s="10"/>
      <c r="R155" s="10"/>
      <c r="S155" s="34">
        <f>+IF(JULIO!S155=0,"",JULIO!S155)</f>
        <v>2020200</v>
      </c>
      <c r="T155" s="158" t="str">
        <f>+IF(JULIO!T155=0,"",JULIO!T155)</f>
        <v>Adquisición de Servicios</v>
      </c>
      <c r="U155" s="157">
        <f t="shared" ref="U155:AJ155" si="140">SUM(U156:U157)+U168</f>
        <v>214129198</v>
      </c>
      <c r="V155" s="144">
        <f t="shared" si="140"/>
        <v>-2041325</v>
      </c>
      <c r="W155" s="144">
        <f t="shared" si="140"/>
        <v>30900000</v>
      </c>
      <c r="X155" s="152">
        <f t="shared" si="140"/>
        <v>242987873</v>
      </c>
      <c r="Y155" s="151">
        <f t="shared" si="140"/>
        <v>132429456</v>
      </c>
      <c r="Z155" s="144">
        <f t="shared" si="140"/>
        <v>28389132</v>
      </c>
      <c r="AA155" s="152">
        <f t="shared" si="140"/>
        <v>160818588</v>
      </c>
      <c r="AB155" s="151">
        <f t="shared" si="140"/>
        <v>132429456</v>
      </c>
      <c r="AC155" s="144">
        <f t="shared" si="140"/>
        <v>28389132</v>
      </c>
      <c r="AD155" s="152">
        <f t="shared" si="140"/>
        <v>160818588</v>
      </c>
      <c r="AE155" s="151">
        <f t="shared" si="140"/>
        <v>93829005</v>
      </c>
      <c r="AF155" s="144">
        <f t="shared" si="140"/>
        <v>32601823</v>
      </c>
      <c r="AG155" s="152">
        <f t="shared" si="140"/>
        <v>126430828</v>
      </c>
      <c r="AH155" s="151">
        <f t="shared" si="140"/>
        <v>82169285</v>
      </c>
      <c r="AI155" s="144">
        <f t="shared" si="140"/>
        <v>82169285</v>
      </c>
      <c r="AJ155" s="153">
        <f t="shared" si="140"/>
        <v>116557045</v>
      </c>
      <c r="AK155" s="10"/>
      <c r="AL155" s="151">
        <f>SUM(AL156:AL157)+AL168</f>
        <v>0</v>
      </c>
      <c r="AM155" s="153">
        <f>SUM(AM156:AM157)+AM168</f>
        <v>0</v>
      </c>
      <c r="AN155" s="10"/>
    </row>
    <row r="156" spans="1:40" s="467" customFormat="1" x14ac:dyDescent="0.2">
      <c r="A156" s="623"/>
      <c r="H156" s="562"/>
      <c r="I156" s="562"/>
      <c r="J156" s="562"/>
      <c r="K156" s="562"/>
      <c r="N156" s="10"/>
      <c r="P156" s="10"/>
      <c r="Q156" s="10"/>
      <c r="R156" s="10"/>
      <c r="S156" s="155">
        <f>+IF(JULIO!S156=0,"",JULIO!S156)</f>
        <v>2020201</v>
      </c>
      <c r="T156" s="159" t="str">
        <f>+IF(JULIO!T156=0,"",JULIO!T156)</f>
        <v>Mantenimiento Hospitalario</v>
      </c>
      <c r="U156" s="29">
        <f>+ENERO!U156</f>
        <v>89449384</v>
      </c>
      <c r="V156" s="17">
        <f>JULIO!V156+AGOSTO!AL156</f>
        <v>0</v>
      </c>
      <c r="W156" s="17">
        <f>JULIO!W156+AGOSTO!AM156</f>
        <v>30900000</v>
      </c>
      <c r="X156" s="20">
        <f>SUM(U156:W156)</f>
        <v>120349384</v>
      </c>
      <c r="Y156" s="21">
        <f>JULIO!AA156</f>
        <v>63864619</v>
      </c>
      <c r="Z156" s="457">
        <v>15298877</v>
      </c>
      <c r="AA156" s="20">
        <f>SUM(Y156:Z156)</f>
        <v>79163496</v>
      </c>
      <c r="AB156" s="21">
        <f>JULIO!AD156</f>
        <v>63864619</v>
      </c>
      <c r="AC156" s="457">
        <v>15298877</v>
      </c>
      <c r="AD156" s="20">
        <f>SUM(AB156:AC156)</f>
        <v>79163496</v>
      </c>
      <c r="AE156" s="21">
        <f>JULIO!AG156</f>
        <v>39435722</v>
      </c>
      <c r="AF156" s="457">
        <v>24558531</v>
      </c>
      <c r="AG156" s="20">
        <f>SUM(AE156:AF156)</f>
        <v>63994253</v>
      </c>
      <c r="AH156" s="21">
        <f>X156-AA156</f>
        <v>41185888</v>
      </c>
      <c r="AI156" s="17">
        <f>X156-AD156</f>
        <v>41185888</v>
      </c>
      <c r="AJ156" s="18">
        <f>X156-AG156</f>
        <v>56355131</v>
      </c>
      <c r="AK156" s="10"/>
      <c r="AL156" s="455">
        <v>0</v>
      </c>
      <c r="AM156" s="458">
        <v>0</v>
      </c>
      <c r="AN156" s="10"/>
    </row>
    <row r="157" spans="1:40" s="467" customFormat="1" x14ac:dyDescent="0.2">
      <c r="A157" s="623"/>
      <c r="H157" s="562"/>
      <c r="I157" s="562"/>
      <c r="J157" s="562"/>
      <c r="K157" s="562"/>
      <c r="N157" s="10"/>
      <c r="P157" s="10"/>
      <c r="Q157" s="10"/>
      <c r="R157" s="10"/>
      <c r="S157" s="155">
        <f>+IF(JULIO!S157=0,"",JULIO!S157)</f>
        <v>2020202</v>
      </c>
      <c r="T157" s="159" t="str">
        <f>+IF(JULIO!T157=0,"",JULIO!T157)</f>
        <v>Otros</v>
      </c>
      <c r="U157" s="29">
        <f t="shared" ref="U157:AJ157" si="141">SUM(U158:U167)</f>
        <v>111949655</v>
      </c>
      <c r="V157" s="17">
        <f t="shared" si="141"/>
        <v>0</v>
      </c>
      <c r="W157" s="17">
        <f t="shared" si="141"/>
        <v>0</v>
      </c>
      <c r="X157" s="20">
        <f t="shared" si="141"/>
        <v>111949655</v>
      </c>
      <c r="Y157" s="21">
        <f t="shared" si="141"/>
        <v>57876003</v>
      </c>
      <c r="Z157" s="169">
        <f t="shared" si="141"/>
        <v>13090255</v>
      </c>
      <c r="AA157" s="20">
        <f t="shared" si="141"/>
        <v>70966258</v>
      </c>
      <c r="AB157" s="21">
        <f t="shared" si="141"/>
        <v>57876003</v>
      </c>
      <c r="AC157" s="169">
        <f t="shared" si="141"/>
        <v>13090255</v>
      </c>
      <c r="AD157" s="20">
        <f t="shared" si="141"/>
        <v>70966258</v>
      </c>
      <c r="AE157" s="21">
        <f t="shared" si="141"/>
        <v>44071599</v>
      </c>
      <c r="AF157" s="169">
        <f t="shared" si="141"/>
        <v>7676142</v>
      </c>
      <c r="AG157" s="20">
        <f t="shared" si="141"/>
        <v>51747741</v>
      </c>
      <c r="AH157" s="21">
        <f t="shared" si="141"/>
        <v>40983397</v>
      </c>
      <c r="AI157" s="17">
        <f t="shared" si="141"/>
        <v>40983397</v>
      </c>
      <c r="AJ157" s="18">
        <f t="shared" si="141"/>
        <v>60201914</v>
      </c>
      <c r="AK157" s="12"/>
      <c r="AL157" s="31">
        <f>SUM(AL158:AL167)</f>
        <v>0</v>
      </c>
      <c r="AM157" s="28">
        <f>SUM(AM158:AM167)</f>
        <v>0</v>
      </c>
      <c r="AN157" s="10"/>
    </row>
    <row r="158" spans="1:40" s="467" customFormat="1" x14ac:dyDescent="0.2">
      <c r="A158" s="623"/>
      <c r="H158" s="562"/>
      <c r="I158" s="562"/>
      <c r="J158" s="562"/>
      <c r="K158" s="562"/>
      <c r="N158" s="10"/>
      <c r="P158" s="10"/>
      <c r="Q158" s="10"/>
      <c r="R158" s="10"/>
      <c r="S158" s="156" t="str">
        <f>+IF(JULIO!S158=0,"",JULIO!S158)</f>
        <v>2020202-1</v>
      </c>
      <c r="T158" s="55" t="str">
        <f>+IF(JULIO!T158=0,"",JULIO!T158)</f>
        <v>Seguros</v>
      </c>
      <c r="U158" s="29">
        <f>+ENERO!U158</f>
        <v>10500000</v>
      </c>
      <c r="V158" s="17">
        <f>JULIO!V158+AGOSTO!AL158</f>
        <v>0</v>
      </c>
      <c r="W158" s="17">
        <f>JULIO!W158+AGOSTO!AM158</f>
        <v>0</v>
      </c>
      <c r="X158" s="20">
        <f t="shared" ref="X158:X168" si="142">SUM(U158:W158)</f>
        <v>10500000</v>
      </c>
      <c r="Y158" s="21">
        <f>JULIO!AA158</f>
        <v>8372702</v>
      </c>
      <c r="Z158" s="457">
        <v>0</v>
      </c>
      <c r="AA158" s="20">
        <f t="shared" ref="AA158:AA168" si="143">SUM(Y158:Z158)</f>
        <v>8372702</v>
      </c>
      <c r="AB158" s="21">
        <f>JULIO!AD158</f>
        <v>8372702</v>
      </c>
      <c r="AC158" s="457">
        <v>0</v>
      </c>
      <c r="AD158" s="20">
        <f t="shared" ref="AD158:AD168" si="144">SUM(AB158:AC158)</f>
        <v>8372702</v>
      </c>
      <c r="AE158" s="21">
        <f>JULIO!AG158</f>
        <v>8372702</v>
      </c>
      <c r="AF158" s="457">
        <v>0</v>
      </c>
      <c r="AG158" s="20">
        <f t="shared" ref="AG158:AG168" si="145">SUM(AE158:AF158)</f>
        <v>8372702</v>
      </c>
      <c r="AH158" s="21">
        <f t="shared" ref="AH158:AH168" si="146">X158-AA158</f>
        <v>2127298</v>
      </c>
      <c r="AI158" s="17">
        <f t="shared" ref="AI158:AI168" si="147">X158-AD158</f>
        <v>2127298</v>
      </c>
      <c r="AJ158" s="18">
        <f t="shared" ref="AJ158:AJ168" si="148">X158-AG158</f>
        <v>2127298</v>
      </c>
      <c r="AK158" s="10"/>
      <c r="AL158" s="455">
        <v>0</v>
      </c>
      <c r="AM158" s="458">
        <v>0</v>
      </c>
      <c r="AN158" s="10"/>
    </row>
    <row r="159" spans="1:40" s="467" customFormat="1" x14ac:dyDescent="0.2">
      <c r="A159" s="623"/>
      <c r="H159" s="562"/>
      <c r="I159" s="562"/>
      <c r="J159" s="562"/>
      <c r="K159" s="562"/>
      <c r="N159" s="10"/>
      <c r="P159" s="10"/>
      <c r="Q159" s="10"/>
      <c r="R159" s="10"/>
      <c r="S159" s="156" t="str">
        <f>+IF(JULIO!S159=0,"",JULIO!S159)</f>
        <v>2020202-2</v>
      </c>
      <c r="T159" s="55" t="str">
        <f>+IF(JULIO!T159=0,"",JULIO!T159)</f>
        <v>Impresos y Publicaciones</v>
      </c>
      <c r="U159" s="29">
        <f>+ENERO!U159</f>
        <v>6697601</v>
      </c>
      <c r="V159" s="17">
        <f>JULIO!V159+AGOSTO!AL159</f>
        <v>0</v>
      </c>
      <c r="W159" s="17">
        <f>JULIO!W159+AGOSTO!AM159</f>
        <v>0</v>
      </c>
      <c r="X159" s="20">
        <f t="shared" si="142"/>
        <v>6697601</v>
      </c>
      <c r="Y159" s="21">
        <f>JULIO!AA159</f>
        <v>1441173</v>
      </c>
      <c r="Z159" s="457">
        <v>3285000</v>
      </c>
      <c r="AA159" s="20">
        <f t="shared" si="143"/>
        <v>4726173</v>
      </c>
      <c r="AB159" s="21">
        <f>JULIO!AD159</f>
        <v>1441173</v>
      </c>
      <c r="AC159" s="457">
        <v>3285000</v>
      </c>
      <c r="AD159" s="20">
        <f t="shared" si="144"/>
        <v>4726173</v>
      </c>
      <c r="AE159" s="21">
        <f>JULIO!AG159</f>
        <v>1244173</v>
      </c>
      <c r="AF159" s="457">
        <v>3285000</v>
      </c>
      <c r="AG159" s="20">
        <f t="shared" si="145"/>
        <v>4529173</v>
      </c>
      <c r="AH159" s="21">
        <f t="shared" si="146"/>
        <v>1971428</v>
      </c>
      <c r="AI159" s="17">
        <f t="shared" si="147"/>
        <v>1971428</v>
      </c>
      <c r="AJ159" s="18">
        <f t="shared" si="148"/>
        <v>2168428</v>
      </c>
      <c r="AK159" s="10"/>
      <c r="AL159" s="455">
        <v>0</v>
      </c>
      <c r="AM159" s="458">
        <v>0</v>
      </c>
      <c r="AN159" s="10"/>
    </row>
    <row r="160" spans="1:40" s="467" customFormat="1" x14ac:dyDescent="0.2">
      <c r="A160" s="623"/>
      <c r="H160" s="562"/>
      <c r="I160" s="562"/>
      <c r="J160" s="562"/>
      <c r="K160" s="562"/>
      <c r="N160" s="10"/>
      <c r="P160" s="10"/>
      <c r="Q160" s="10"/>
      <c r="R160" s="10"/>
      <c r="S160" s="156" t="str">
        <f>+IF(JULIO!S160=0,"",JULIO!S160)</f>
        <v>2020202-3</v>
      </c>
      <c r="T160" s="55" t="str">
        <f>+IF(JULIO!T160=0,"",JULIO!T160)</f>
        <v>Pago a otras IPS</v>
      </c>
      <c r="U160" s="29">
        <f>+ENERO!U160</f>
        <v>11458020</v>
      </c>
      <c r="V160" s="17">
        <f>JULIO!V160+AGOSTO!AL160</f>
        <v>0</v>
      </c>
      <c r="W160" s="17">
        <f>JULIO!W160+AGOSTO!AM160</f>
        <v>0</v>
      </c>
      <c r="X160" s="20">
        <f t="shared" si="142"/>
        <v>11458020</v>
      </c>
      <c r="Y160" s="21">
        <f>JULIO!AA160</f>
        <v>2726802</v>
      </c>
      <c r="Z160" s="457">
        <v>108612</v>
      </c>
      <c r="AA160" s="20">
        <f t="shared" si="143"/>
        <v>2835414</v>
      </c>
      <c r="AB160" s="21">
        <f>JULIO!AD160</f>
        <v>2726802</v>
      </c>
      <c r="AC160" s="457">
        <v>108612</v>
      </c>
      <c r="AD160" s="20">
        <f t="shared" si="144"/>
        <v>2835414</v>
      </c>
      <c r="AE160" s="21">
        <f>JULIO!AG160</f>
        <v>0</v>
      </c>
      <c r="AF160" s="457">
        <v>0</v>
      </c>
      <c r="AG160" s="20">
        <f t="shared" si="145"/>
        <v>0</v>
      </c>
      <c r="AH160" s="21">
        <f t="shared" si="146"/>
        <v>8622606</v>
      </c>
      <c r="AI160" s="17">
        <f t="shared" si="147"/>
        <v>8622606</v>
      </c>
      <c r="AJ160" s="18">
        <f t="shared" si="148"/>
        <v>11458020</v>
      </c>
      <c r="AK160" s="10"/>
      <c r="AL160" s="455">
        <v>0</v>
      </c>
      <c r="AM160" s="458">
        <v>0</v>
      </c>
      <c r="AN160" s="10"/>
    </row>
    <row r="161" spans="1:40" s="467" customFormat="1" x14ac:dyDescent="0.2">
      <c r="A161" s="623"/>
      <c r="H161" s="562"/>
      <c r="I161" s="562"/>
      <c r="J161" s="562"/>
      <c r="K161" s="562"/>
      <c r="N161" s="10"/>
      <c r="P161" s="10"/>
      <c r="Q161" s="10"/>
      <c r="R161" s="10"/>
      <c r="S161" s="156" t="str">
        <f>+IF(JULIO!S161=0,"",JULIO!S161)</f>
        <v>2020202-4</v>
      </c>
      <c r="T161" s="55" t="str">
        <f>+IF(JULIO!T161=0,"",JULIO!T161)</f>
        <v>Comunicaciones y Transportes</v>
      </c>
      <c r="U161" s="29">
        <f>+ENERO!U161</f>
        <v>14340084</v>
      </c>
      <c r="V161" s="17">
        <f>JULIO!V161+AGOSTO!AL161</f>
        <v>0</v>
      </c>
      <c r="W161" s="17">
        <f>JULIO!W161+AGOSTO!AM161</f>
        <v>0</v>
      </c>
      <c r="X161" s="20">
        <f t="shared" si="142"/>
        <v>14340084</v>
      </c>
      <c r="Y161" s="21">
        <f>JULIO!AA161</f>
        <v>9605998</v>
      </c>
      <c r="Z161" s="457">
        <v>1880595</v>
      </c>
      <c r="AA161" s="20">
        <f t="shared" si="143"/>
        <v>11486593</v>
      </c>
      <c r="AB161" s="21">
        <f>JULIO!AD161</f>
        <v>9605998</v>
      </c>
      <c r="AC161" s="457">
        <v>1880595</v>
      </c>
      <c r="AD161" s="20">
        <f t="shared" si="144"/>
        <v>11486593</v>
      </c>
      <c r="AE161" s="21">
        <f>JULIO!AG161</f>
        <v>7967998</v>
      </c>
      <c r="AF161" s="457">
        <v>160600</v>
      </c>
      <c r="AG161" s="20">
        <f t="shared" si="145"/>
        <v>8128598</v>
      </c>
      <c r="AH161" s="21">
        <f t="shared" si="146"/>
        <v>2853491</v>
      </c>
      <c r="AI161" s="17">
        <f t="shared" si="147"/>
        <v>2853491</v>
      </c>
      <c r="AJ161" s="18">
        <f t="shared" si="148"/>
        <v>6211486</v>
      </c>
      <c r="AK161" s="10"/>
      <c r="AL161" s="455">
        <v>0</v>
      </c>
      <c r="AM161" s="458">
        <v>0</v>
      </c>
      <c r="AN161" s="10"/>
    </row>
    <row r="162" spans="1:40" s="467" customFormat="1" x14ac:dyDescent="0.2">
      <c r="A162" s="623"/>
      <c r="H162" s="562"/>
      <c r="I162" s="562"/>
      <c r="J162" s="562"/>
      <c r="K162" s="562"/>
      <c r="N162" s="10"/>
      <c r="P162" s="10"/>
      <c r="Q162" s="10"/>
      <c r="R162" s="10"/>
      <c r="S162" s="156" t="str">
        <f>+IF(JULIO!S162=0,"",JULIO!S162)</f>
        <v>2020202-5</v>
      </c>
      <c r="T162" s="55" t="str">
        <f>+IF(JULIO!T162=0,"",JULIO!T162)</f>
        <v>Viáticos y Gastos de Viaje</v>
      </c>
      <c r="U162" s="29">
        <f>+ENERO!U162</f>
        <v>23894636</v>
      </c>
      <c r="V162" s="17">
        <f>JULIO!V162+AGOSTO!AL162</f>
        <v>0</v>
      </c>
      <c r="W162" s="17">
        <f>JULIO!W162+AGOSTO!AM162</f>
        <v>0</v>
      </c>
      <c r="X162" s="20">
        <f t="shared" si="142"/>
        <v>23894636</v>
      </c>
      <c r="Y162" s="21">
        <f>JULIO!AA162</f>
        <v>15812972</v>
      </c>
      <c r="Z162" s="457">
        <v>1784859</v>
      </c>
      <c r="AA162" s="20">
        <f t="shared" si="143"/>
        <v>17597831</v>
      </c>
      <c r="AB162" s="21">
        <f>JULIO!AD162</f>
        <v>15812972</v>
      </c>
      <c r="AC162" s="457">
        <v>1784859</v>
      </c>
      <c r="AD162" s="20">
        <f t="shared" si="144"/>
        <v>17597831</v>
      </c>
      <c r="AE162" s="21">
        <f>JULIO!AG162</f>
        <v>14557972</v>
      </c>
      <c r="AF162" s="457">
        <v>1784859</v>
      </c>
      <c r="AG162" s="20">
        <f t="shared" si="145"/>
        <v>16342831</v>
      </c>
      <c r="AH162" s="21">
        <f t="shared" si="146"/>
        <v>6296805</v>
      </c>
      <c r="AI162" s="17">
        <f t="shared" si="147"/>
        <v>6296805</v>
      </c>
      <c r="AJ162" s="18">
        <f t="shared" si="148"/>
        <v>7551805</v>
      </c>
      <c r="AK162" s="10"/>
      <c r="AL162" s="455">
        <v>0</v>
      </c>
      <c r="AM162" s="458">
        <v>0</v>
      </c>
      <c r="AN162" s="10"/>
    </row>
    <row r="163" spans="1:40" s="467" customFormat="1" x14ac:dyDescent="0.2">
      <c r="A163" s="623"/>
      <c r="H163" s="562"/>
      <c r="I163" s="562"/>
      <c r="J163" s="562"/>
      <c r="K163" s="562"/>
      <c r="N163" s="10"/>
      <c r="P163" s="10"/>
      <c r="Q163" s="10"/>
      <c r="R163" s="10"/>
      <c r="S163" s="156" t="str">
        <f>+IF(JULIO!S163=0,"",JULIO!S163)</f>
        <v>2020202-6</v>
      </c>
      <c r="T163" s="55" t="str">
        <f>+IF(JULIO!T163=0,"",JULIO!T163)</f>
        <v>Plan Integral de Manejo de Residuos Sólidos Hospitalarios</v>
      </c>
      <c r="U163" s="29">
        <f>+ENERO!U163</f>
        <v>8565804</v>
      </c>
      <c r="V163" s="17">
        <f>JULIO!V163+AGOSTO!AL163</f>
        <v>0</v>
      </c>
      <c r="W163" s="17">
        <f>JULIO!W163+AGOSTO!AM163</f>
        <v>0</v>
      </c>
      <c r="X163" s="20">
        <f t="shared" si="142"/>
        <v>8565804</v>
      </c>
      <c r="Y163" s="21">
        <f>JULIO!AA163</f>
        <v>4771056</v>
      </c>
      <c r="Z163" s="457">
        <v>582189</v>
      </c>
      <c r="AA163" s="20">
        <f t="shared" si="143"/>
        <v>5353245</v>
      </c>
      <c r="AB163" s="21">
        <f>JULIO!AD163</f>
        <v>4771056</v>
      </c>
      <c r="AC163" s="457">
        <v>582189</v>
      </c>
      <c r="AD163" s="20">
        <f t="shared" si="144"/>
        <v>5353245</v>
      </c>
      <c r="AE163" s="21">
        <f>JULIO!AG163</f>
        <v>2389354</v>
      </c>
      <c r="AF163" s="457">
        <v>623816</v>
      </c>
      <c r="AG163" s="20">
        <f t="shared" si="145"/>
        <v>3013170</v>
      </c>
      <c r="AH163" s="21">
        <f t="shared" si="146"/>
        <v>3212559</v>
      </c>
      <c r="AI163" s="17">
        <f t="shared" si="147"/>
        <v>3212559</v>
      </c>
      <c r="AJ163" s="18">
        <f t="shared" si="148"/>
        <v>5552634</v>
      </c>
      <c r="AK163" s="10"/>
      <c r="AL163" s="455">
        <v>0</v>
      </c>
      <c r="AM163" s="458">
        <v>0</v>
      </c>
      <c r="AN163" s="10"/>
    </row>
    <row r="164" spans="1:40" s="467" customFormat="1" x14ac:dyDescent="0.2">
      <c r="A164" s="623"/>
      <c r="H164" s="562"/>
      <c r="I164" s="562"/>
      <c r="J164" s="562"/>
      <c r="K164" s="562"/>
      <c r="N164" s="10"/>
      <c r="P164" s="10"/>
      <c r="Q164" s="10"/>
      <c r="R164" s="10"/>
      <c r="S164" s="156" t="str">
        <f>+IF(JULIO!S164=0,"",JULIO!S164)</f>
        <v>2020202-7</v>
      </c>
      <c r="T164" s="55" t="str">
        <f>+IF(JULIO!T164=0,"",JULIO!T164)</f>
        <v>Servicios de Laboratorio contratados con terceros</v>
      </c>
      <c r="U164" s="29">
        <f>+ENERO!U164</f>
        <v>12000000</v>
      </c>
      <c r="V164" s="17">
        <f>JULIO!V164+AGOSTO!AL164</f>
        <v>0</v>
      </c>
      <c r="W164" s="17">
        <f>JULIO!W164+AGOSTO!AM164</f>
        <v>0</v>
      </c>
      <c r="X164" s="20">
        <f t="shared" si="142"/>
        <v>12000000</v>
      </c>
      <c r="Y164" s="21">
        <f>JULIO!AA164</f>
        <v>2394300</v>
      </c>
      <c r="Z164" s="457">
        <v>496000</v>
      </c>
      <c r="AA164" s="20">
        <f t="shared" si="143"/>
        <v>2890300</v>
      </c>
      <c r="AB164" s="21">
        <f>JULIO!AD164</f>
        <v>2394300</v>
      </c>
      <c r="AC164" s="457">
        <v>496000</v>
      </c>
      <c r="AD164" s="20">
        <f t="shared" si="144"/>
        <v>2890300</v>
      </c>
      <c r="AE164" s="21">
        <f>JULIO!AG164</f>
        <v>383400</v>
      </c>
      <c r="AF164" s="457">
        <v>529200</v>
      </c>
      <c r="AG164" s="20">
        <f t="shared" si="145"/>
        <v>912600</v>
      </c>
      <c r="AH164" s="21">
        <f t="shared" si="146"/>
        <v>9109700</v>
      </c>
      <c r="AI164" s="17">
        <f t="shared" si="147"/>
        <v>9109700</v>
      </c>
      <c r="AJ164" s="18">
        <f t="shared" si="148"/>
        <v>11087400</v>
      </c>
      <c r="AK164" s="10"/>
      <c r="AL164" s="455">
        <v>0</v>
      </c>
      <c r="AM164" s="458">
        <v>0</v>
      </c>
      <c r="AN164" s="10"/>
    </row>
    <row r="165" spans="1:40" s="467" customFormat="1" x14ac:dyDescent="0.2">
      <c r="A165" s="623"/>
      <c r="H165" s="562"/>
      <c r="I165" s="562"/>
      <c r="J165" s="562"/>
      <c r="K165" s="562"/>
      <c r="N165" s="10"/>
      <c r="P165" s="10"/>
      <c r="Q165" s="10"/>
      <c r="R165" s="10"/>
      <c r="S165" s="156" t="str">
        <f>+IF(JULIO!S165=0,"",JULIO!S165)</f>
        <v>2020202-8</v>
      </c>
      <c r="T165" s="55" t="str">
        <f>+IF(JULIO!T165=0,"",JULIO!T165)</f>
        <v>Servicios de Rayos X e Imaginología contratado con terceros</v>
      </c>
      <c r="U165" s="29">
        <f>+ENERO!U165</f>
        <v>19000000</v>
      </c>
      <c r="V165" s="17">
        <f>JULIO!V165+AGOSTO!AL165</f>
        <v>0</v>
      </c>
      <c r="W165" s="17">
        <f>JULIO!W165+AGOSTO!AM165</f>
        <v>0</v>
      </c>
      <c r="X165" s="20">
        <f t="shared" si="142"/>
        <v>19000000</v>
      </c>
      <c r="Y165" s="21">
        <f>JULIO!AA165</f>
        <v>7436000</v>
      </c>
      <c r="Z165" s="457">
        <v>4953000</v>
      </c>
      <c r="AA165" s="20">
        <f t="shared" si="143"/>
        <v>12389000</v>
      </c>
      <c r="AB165" s="21">
        <f>JULIO!AD165</f>
        <v>7436000</v>
      </c>
      <c r="AC165" s="457">
        <v>4953000</v>
      </c>
      <c r="AD165" s="20">
        <f t="shared" si="144"/>
        <v>12389000</v>
      </c>
      <c r="AE165" s="21">
        <f>JULIO!AG165</f>
        <v>7436000</v>
      </c>
      <c r="AF165" s="457">
        <v>0</v>
      </c>
      <c r="AG165" s="20">
        <f t="shared" si="145"/>
        <v>7436000</v>
      </c>
      <c r="AH165" s="21">
        <f t="shared" si="146"/>
        <v>6611000</v>
      </c>
      <c r="AI165" s="17">
        <f t="shared" si="147"/>
        <v>6611000</v>
      </c>
      <c r="AJ165" s="18">
        <f t="shared" si="148"/>
        <v>11564000</v>
      </c>
      <c r="AK165" s="10"/>
      <c r="AL165" s="455">
        <v>0</v>
      </c>
      <c r="AM165" s="458">
        <v>0</v>
      </c>
      <c r="AN165" s="10"/>
    </row>
    <row r="166" spans="1:40" s="467" customFormat="1" x14ac:dyDescent="0.2">
      <c r="A166" s="623"/>
      <c r="H166" s="562"/>
      <c r="I166" s="562"/>
      <c r="J166" s="562"/>
      <c r="K166" s="562"/>
      <c r="N166" s="10"/>
      <c r="P166" s="10"/>
      <c r="Q166" s="10"/>
      <c r="R166" s="10"/>
      <c r="S166" s="156" t="str">
        <f>+IF(JULIO!S166=0,"",JULIO!S166)</f>
        <v>2020202-9</v>
      </c>
      <c r="T166" s="55" t="str">
        <f>+IF(JULIO!T166=0,"",JULIO!T166)</f>
        <v>Arrendamientos</v>
      </c>
      <c r="U166" s="29">
        <f>+ENERO!U166</f>
        <v>5493510</v>
      </c>
      <c r="V166" s="17">
        <f>JULIO!V166+AGOSTO!AL166</f>
        <v>0</v>
      </c>
      <c r="W166" s="17">
        <f>JULIO!W166+AGOSTO!AM166</f>
        <v>0</v>
      </c>
      <c r="X166" s="20">
        <f t="shared" si="142"/>
        <v>5493510</v>
      </c>
      <c r="Y166" s="21">
        <f>JULIO!AA166</f>
        <v>5315000</v>
      </c>
      <c r="Z166" s="457">
        <v>0</v>
      </c>
      <c r="AA166" s="20">
        <f t="shared" si="143"/>
        <v>5315000</v>
      </c>
      <c r="AB166" s="21">
        <f>JULIO!AD166</f>
        <v>5315000</v>
      </c>
      <c r="AC166" s="457">
        <v>0</v>
      </c>
      <c r="AD166" s="20">
        <f t="shared" si="144"/>
        <v>5315000</v>
      </c>
      <c r="AE166" s="21">
        <f>JULIO!AG166</f>
        <v>1720000</v>
      </c>
      <c r="AF166" s="457">
        <v>1292667</v>
      </c>
      <c r="AG166" s="20">
        <f t="shared" si="145"/>
        <v>3012667</v>
      </c>
      <c r="AH166" s="21">
        <f t="shared" si="146"/>
        <v>178510</v>
      </c>
      <c r="AI166" s="17">
        <f t="shared" si="147"/>
        <v>178510</v>
      </c>
      <c r="AJ166" s="18">
        <f t="shared" si="148"/>
        <v>2480843</v>
      </c>
      <c r="AK166" s="10"/>
      <c r="AL166" s="455">
        <v>0</v>
      </c>
      <c r="AM166" s="458">
        <v>0</v>
      </c>
      <c r="AN166" s="10"/>
    </row>
    <row r="167" spans="1:40" s="467" customFormat="1" x14ac:dyDescent="0.2">
      <c r="A167" s="623"/>
      <c r="H167" s="562"/>
      <c r="I167" s="562"/>
      <c r="J167" s="562"/>
      <c r="K167" s="562"/>
      <c r="N167" s="10"/>
      <c r="P167" s="10"/>
      <c r="Q167" s="10"/>
      <c r="R167" s="10"/>
      <c r="S167" s="156" t="str">
        <f>+IF(JULIO!S167=0,"",JULIO!S167)</f>
        <v>2020202-10</v>
      </c>
      <c r="T167" s="55" t="str">
        <f>+IF(JULIO!T167=0,"",JULIO!T167)</f>
        <v>Servicios Públicos</v>
      </c>
      <c r="U167" s="29">
        <f>+ENERO!U167</f>
        <v>0</v>
      </c>
      <c r="V167" s="17">
        <f>JULIO!V167+AGOSTO!AL167</f>
        <v>0</v>
      </c>
      <c r="W167" s="17">
        <f>JULIO!W167+AGOSTO!AM167</f>
        <v>0</v>
      </c>
      <c r="X167" s="20">
        <f>SUM(U167:W167)</f>
        <v>0</v>
      </c>
      <c r="Y167" s="21">
        <f>JULIO!AA167</f>
        <v>0</v>
      </c>
      <c r="Z167" s="457">
        <v>0</v>
      </c>
      <c r="AA167" s="20">
        <f>SUM(Y167:Z167)</f>
        <v>0</v>
      </c>
      <c r="AB167" s="21">
        <f>JULIO!AD167</f>
        <v>0</v>
      </c>
      <c r="AC167" s="457">
        <v>0</v>
      </c>
      <c r="AD167" s="20">
        <f>SUM(AB167:AC167)</f>
        <v>0</v>
      </c>
      <c r="AE167" s="21">
        <f>JULIO!AG167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H168" s="562"/>
      <c r="I168" s="562"/>
      <c r="J168" s="562"/>
      <c r="K168" s="562"/>
      <c r="N168" s="10"/>
      <c r="P168" s="10"/>
      <c r="Q168" s="10"/>
      <c r="R168" s="10"/>
      <c r="S168" s="155">
        <f>+IF(JULIO!S168=0,"",JULIO!S168)</f>
        <v>2020299</v>
      </c>
      <c r="T168" s="159" t="str">
        <f>+IF(JULIO!T168=0,"",JULIO!T168)</f>
        <v>Vigencias Anteriores</v>
      </c>
      <c r="U168" s="29">
        <f>+ENERO!U168</f>
        <v>12730159</v>
      </c>
      <c r="V168" s="17">
        <f>JULIO!V168+AGOSTO!AL168</f>
        <v>-2041325</v>
      </c>
      <c r="W168" s="17">
        <f>JULIO!W168+AGOSTO!AM168</f>
        <v>0</v>
      </c>
      <c r="X168" s="20">
        <f t="shared" si="142"/>
        <v>10688834</v>
      </c>
      <c r="Y168" s="21">
        <f>JULIO!AA168</f>
        <v>10688834</v>
      </c>
      <c r="Z168" s="457">
        <v>0</v>
      </c>
      <c r="AA168" s="20">
        <f t="shared" si="143"/>
        <v>10688834</v>
      </c>
      <c r="AB168" s="21">
        <f>JULIO!AD168</f>
        <v>10688834</v>
      </c>
      <c r="AC168" s="457">
        <v>0</v>
      </c>
      <c r="AD168" s="20">
        <f t="shared" si="144"/>
        <v>10688834</v>
      </c>
      <c r="AE168" s="21">
        <f>JULIO!AG168</f>
        <v>10321684</v>
      </c>
      <c r="AF168" s="457">
        <v>367150</v>
      </c>
      <c r="AG168" s="20">
        <f t="shared" si="145"/>
        <v>10688834</v>
      </c>
      <c r="AH168" s="21">
        <f t="shared" si="146"/>
        <v>0</v>
      </c>
      <c r="AI168" s="17">
        <f t="shared" si="147"/>
        <v>0</v>
      </c>
      <c r="AJ168" s="18">
        <f t="shared" si="148"/>
        <v>0</v>
      </c>
      <c r="AK168" s="10"/>
      <c r="AL168" s="455">
        <v>0</v>
      </c>
      <c r="AM168" s="458">
        <v>0</v>
      </c>
      <c r="AN168" s="10"/>
    </row>
    <row r="169" spans="1:40" s="467" customFormat="1" ht="15.75" x14ac:dyDescent="0.2">
      <c r="A169" s="623"/>
      <c r="H169" s="562"/>
      <c r="I169" s="562"/>
      <c r="J169" s="562"/>
      <c r="K169" s="562"/>
      <c r="N169" s="10"/>
      <c r="P169" s="10"/>
      <c r="Q169" s="10"/>
      <c r="R169" s="10"/>
      <c r="S169" s="448" t="str">
        <f>+IF(JULIO!S169=0,"",JULIO!S169)</f>
        <v/>
      </c>
      <c r="T169" s="649" t="str">
        <f>+IF(JULIO!T169=0,"",JULIO!T169)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H170" s="562"/>
      <c r="I170" s="562"/>
      <c r="J170" s="562"/>
      <c r="K170" s="562"/>
      <c r="N170" s="10"/>
      <c r="P170" s="10"/>
      <c r="Q170" s="10"/>
      <c r="R170" s="10"/>
      <c r="S170" s="469">
        <f>+IF(JULIO!S170=0,"",JULIO!S170)</f>
        <v>3000000</v>
      </c>
      <c r="T170" s="588" t="str">
        <f>+IF(JULIO!T170=0,"",JULIO!T170)</f>
        <v>TRANSFERENCIAS CORRIENTES</v>
      </c>
      <c r="U170" s="589">
        <f t="shared" ref="U170:AJ170" si="149">U172+U176+U185</f>
        <v>217489235</v>
      </c>
      <c r="V170" s="590">
        <f t="shared" si="149"/>
        <v>-12907692</v>
      </c>
      <c r="W170" s="590">
        <f t="shared" si="149"/>
        <v>0</v>
      </c>
      <c r="X170" s="591">
        <f t="shared" si="149"/>
        <v>204581543</v>
      </c>
      <c r="Y170" s="464">
        <f t="shared" si="149"/>
        <v>87124000</v>
      </c>
      <c r="Z170" s="590">
        <f t="shared" si="149"/>
        <v>8604026</v>
      </c>
      <c r="AA170" s="591">
        <f t="shared" si="149"/>
        <v>95728026</v>
      </c>
      <c r="AB170" s="464">
        <f t="shared" si="149"/>
        <v>87124000</v>
      </c>
      <c r="AC170" s="590">
        <f t="shared" si="149"/>
        <v>8604026</v>
      </c>
      <c r="AD170" s="591">
        <f t="shared" si="149"/>
        <v>95728026</v>
      </c>
      <c r="AE170" s="464">
        <f t="shared" si="149"/>
        <v>82955830</v>
      </c>
      <c r="AF170" s="590">
        <f t="shared" si="149"/>
        <v>9175356</v>
      </c>
      <c r="AG170" s="591">
        <f t="shared" si="149"/>
        <v>92131186</v>
      </c>
      <c r="AH170" s="464">
        <f t="shared" si="149"/>
        <v>108853517</v>
      </c>
      <c r="AI170" s="590">
        <f t="shared" si="149"/>
        <v>108853517</v>
      </c>
      <c r="AJ170" s="465">
        <f t="shared" si="149"/>
        <v>112450357</v>
      </c>
      <c r="AK170" s="10"/>
      <c r="AL170" s="151">
        <f>AL172+AL176+AL185</f>
        <v>0</v>
      </c>
      <c r="AM170" s="153">
        <f>AM172+AM176+AM185</f>
        <v>0</v>
      </c>
      <c r="AN170" s="10"/>
    </row>
    <row r="171" spans="1:40" s="467" customFormat="1" ht="15.75" x14ac:dyDescent="0.2">
      <c r="A171" s="623"/>
      <c r="H171" s="562"/>
      <c r="I171" s="562"/>
      <c r="J171" s="562"/>
      <c r="K171" s="562"/>
      <c r="N171" s="10"/>
      <c r="P171" s="10"/>
      <c r="Q171" s="10"/>
      <c r="R171" s="10"/>
      <c r="S171" s="448" t="str">
        <f>+IF(JULIO!S171=0,"",JULIO!S171)</f>
        <v/>
      </c>
      <c r="T171" s="649" t="str">
        <f>+IF(JULIO!T171=0,"",JULIO!T171)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H172" s="562"/>
      <c r="I172" s="562"/>
      <c r="J172" s="562"/>
      <c r="K172" s="562"/>
      <c r="N172" s="10"/>
      <c r="P172" s="10"/>
      <c r="Q172" s="10"/>
      <c r="R172" s="10"/>
      <c r="S172" s="34">
        <f>+IF(JULIO!S172=0,"",JULIO!S172)</f>
        <v>3100000</v>
      </c>
      <c r="T172" s="158" t="str">
        <f>+IF(JULIO!T172=0,"",JULIO!T172)</f>
        <v>Transferencias al Sector Público</v>
      </c>
      <c r="U172" s="157">
        <f t="shared" ref="U172:AJ172" si="150">SUM(U173:U174)</f>
        <v>2689964</v>
      </c>
      <c r="V172" s="144">
        <f t="shared" si="150"/>
        <v>746499</v>
      </c>
      <c r="W172" s="144">
        <f t="shared" si="150"/>
        <v>0</v>
      </c>
      <c r="X172" s="152">
        <f t="shared" si="150"/>
        <v>3436463</v>
      </c>
      <c r="Y172" s="151">
        <f t="shared" si="150"/>
        <v>1458980</v>
      </c>
      <c r="Z172" s="144">
        <f t="shared" si="150"/>
        <v>0</v>
      </c>
      <c r="AA172" s="152">
        <f t="shared" si="150"/>
        <v>1458980</v>
      </c>
      <c r="AB172" s="151">
        <f t="shared" si="150"/>
        <v>1458980</v>
      </c>
      <c r="AC172" s="144">
        <f t="shared" si="150"/>
        <v>0</v>
      </c>
      <c r="AD172" s="152">
        <f t="shared" si="150"/>
        <v>1458980</v>
      </c>
      <c r="AE172" s="151">
        <f t="shared" si="150"/>
        <v>746499</v>
      </c>
      <c r="AF172" s="144">
        <f t="shared" si="150"/>
        <v>610698</v>
      </c>
      <c r="AG172" s="152">
        <f t="shared" si="150"/>
        <v>1357197</v>
      </c>
      <c r="AH172" s="151">
        <f t="shared" si="150"/>
        <v>1977483</v>
      </c>
      <c r="AI172" s="144">
        <f t="shared" si="150"/>
        <v>1977483</v>
      </c>
      <c r="AJ172" s="153">
        <f t="shared" si="150"/>
        <v>2079266</v>
      </c>
      <c r="AK172" s="10"/>
      <c r="AL172" s="151">
        <f>SUM(AL173:AL174)</f>
        <v>0</v>
      </c>
      <c r="AM172" s="153">
        <f>SUM(AM173:AM174)</f>
        <v>0</v>
      </c>
      <c r="AN172" s="10"/>
    </row>
    <row r="173" spans="1:40" s="467" customFormat="1" x14ac:dyDescent="0.2">
      <c r="A173" s="623"/>
      <c r="H173" s="562"/>
      <c r="I173" s="562"/>
      <c r="J173" s="562"/>
      <c r="K173" s="562"/>
      <c r="N173" s="10"/>
      <c r="P173" s="10"/>
      <c r="Q173" s="10"/>
      <c r="R173" s="10"/>
      <c r="S173" s="155">
        <f>+IF(JULIO!S173=0,"",JULIO!S173)</f>
        <v>3100003</v>
      </c>
      <c r="T173" s="159" t="str">
        <f>+IF(JULIO!T173=0,"",JULIO!T173)</f>
        <v>Entidades Públicas (Contraloria, Supersalud,…)</v>
      </c>
      <c r="U173" s="29">
        <f>+ENERO!U173</f>
        <v>2689964</v>
      </c>
      <c r="V173" s="17">
        <f>JULIO!V173+AGOSTO!AL173</f>
        <v>0</v>
      </c>
      <c r="W173" s="17">
        <f>JULIO!W173+AGOSTO!AM173</f>
        <v>0</v>
      </c>
      <c r="X173" s="20">
        <f>SUM(U173:W173)</f>
        <v>2689964</v>
      </c>
      <c r="Y173" s="21">
        <f>JULIO!AA173</f>
        <v>712481</v>
      </c>
      <c r="Z173" s="457">
        <v>0</v>
      </c>
      <c r="AA173" s="20">
        <f>SUM(Y173:Z173)</f>
        <v>712481</v>
      </c>
      <c r="AB173" s="21">
        <f>JULIO!AD173</f>
        <v>712481</v>
      </c>
      <c r="AC173" s="457">
        <v>0</v>
      </c>
      <c r="AD173" s="20">
        <f>SUM(AB173:AC173)</f>
        <v>712481</v>
      </c>
      <c r="AE173" s="21">
        <f>JULIO!AG173</f>
        <v>0</v>
      </c>
      <c r="AF173" s="457">
        <v>610698</v>
      </c>
      <c r="AG173" s="20">
        <f>SUM(AE173:AF173)</f>
        <v>610698</v>
      </c>
      <c r="AH173" s="21">
        <f>X173-AA173</f>
        <v>1977483</v>
      </c>
      <c r="AI173" s="17">
        <f>X173-AD173</f>
        <v>1977483</v>
      </c>
      <c r="AJ173" s="18">
        <f>X173-AG173</f>
        <v>2079266</v>
      </c>
      <c r="AK173" s="10"/>
      <c r="AL173" s="455">
        <v>0</v>
      </c>
      <c r="AM173" s="458">
        <v>0</v>
      </c>
      <c r="AN173" s="10"/>
    </row>
    <row r="174" spans="1:40" s="467" customFormat="1" x14ac:dyDescent="0.2">
      <c r="A174" s="623"/>
      <c r="H174" s="562"/>
      <c r="I174" s="562"/>
      <c r="J174" s="562"/>
      <c r="K174" s="562"/>
      <c r="N174" s="10"/>
      <c r="P174" s="10"/>
      <c r="Q174" s="10"/>
      <c r="R174" s="10"/>
      <c r="S174" s="155">
        <f>+IF(JULIO!S174=0,"",JULIO!S174)</f>
        <v>3199999</v>
      </c>
      <c r="T174" s="159" t="str">
        <f>+IF(JULIO!T174=0,"",JULIO!T174)</f>
        <v>Vigencias Anteriores</v>
      </c>
      <c r="U174" s="29">
        <f>+ENERO!U174</f>
        <v>0</v>
      </c>
      <c r="V174" s="17">
        <f>JULIO!V174+AGOSTO!AL174</f>
        <v>746499</v>
      </c>
      <c r="W174" s="17">
        <f>JULIO!W174+AGOSTO!AM174</f>
        <v>0</v>
      </c>
      <c r="X174" s="20">
        <f>SUM(U174:W174)</f>
        <v>746499</v>
      </c>
      <c r="Y174" s="21">
        <f>JULIO!AA174</f>
        <v>746499</v>
      </c>
      <c r="Z174" s="457">
        <v>0</v>
      </c>
      <c r="AA174" s="20">
        <f>SUM(Y174:Z174)</f>
        <v>746499</v>
      </c>
      <c r="AB174" s="21">
        <f>JULIO!AD174</f>
        <v>746499</v>
      </c>
      <c r="AC174" s="457">
        <v>0</v>
      </c>
      <c r="AD174" s="20">
        <f>SUM(AB174:AC174)</f>
        <v>746499</v>
      </c>
      <c r="AE174" s="21">
        <f>JULIO!AG174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H175" s="562"/>
      <c r="I175" s="562"/>
      <c r="J175" s="562"/>
      <c r="K175" s="562"/>
      <c r="N175" s="10"/>
      <c r="P175" s="10"/>
      <c r="Q175" s="10"/>
      <c r="R175" s="10"/>
      <c r="S175" s="448" t="str">
        <f>+IF(JULIO!S175=0,"",JULIO!S175)</f>
        <v/>
      </c>
      <c r="T175" s="649" t="str">
        <f>+IF(JULIO!T175=0,"",JULIO!T175)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H176" s="562"/>
      <c r="I176" s="562"/>
      <c r="J176" s="562"/>
      <c r="K176" s="562"/>
      <c r="N176" s="10"/>
      <c r="P176" s="10"/>
      <c r="Q176" s="10"/>
      <c r="R176" s="10"/>
      <c r="S176" s="34">
        <f>+IF(JULIO!S176=0,"",JULIO!S176)</f>
        <v>320000</v>
      </c>
      <c r="T176" s="158" t="str">
        <f>+IF(JULIO!T176=0,"",JULIO!T176)</f>
        <v>Transf. Previsión y Seguridad Social</v>
      </c>
      <c r="U176" s="157">
        <f t="shared" ref="U176:AJ176" si="151">SUM(U177:U183)</f>
        <v>213299271</v>
      </c>
      <c r="V176" s="144">
        <f t="shared" si="151"/>
        <v>-14130741</v>
      </c>
      <c r="W176" s="144">
        <f t="shared" si="151"/>
        <v>0</v>
      </c>
      <c r="X176" s="152">
        <f t="shared" si="151"/>
        <v>199168530</v>
      </c>
      <c r="Y176" s="151">
        <f t="shared" si="151"/>
        <v>84619525</v>
      </c>
      <c r="Z176" s="144">
        <f t="shared" si="151"/>
        <v>8604026</v>
      </c>
      <c r="AA176" s="152">
        <f t="shared" si="151"/>
        <v>93223551</v>
      </c>
      <c r="AB176" s="151">
        <f t="shared" si="151"/>
        <v>84619525</v>
      </c>
      <c r="AC176" s="144">
        <f t="shared" si="151"/>
        <v>8604026</v>
      </c>
      <c r="AD176" s="152">
        <f t="shared" si="151"/>
        <v>93223551</v>
      </c>
      <c r="AE176" s="151">
        <f t="shared" si="151"/>
        <v>81593581</v>
      </c>
      <c r="AF176" s="144">
        <f t="shared" si="151"/>
        <v>8564658</v>
      </c>
      <c r="AG176" s="152">
        <f t="shared" si="151"/>
        <v>90158239</v>
      </c>
      <c r="AH176" s="151">
        <f t="shared" si="151"/>
        <v>105944979</v>
      </c>
      <c r="AI176" s="144">
        <f t="shared" si="151"/>
        <v>105944979</v>
      </c>
      <c r="AJ176" s="153">
        <f t="shared" si="151"/>
        <v>109010291</v>
      </c>
      <c r="AK176" s="10"/>
      <c r="AL176" s="151">
        <f>SUM(AL177:AL183)</f>
        <v>0</v>
      </c>
      <c r="AM176" s="153">
        <f>SUM(AM177:AM183)</f>
        <v>0</v>
      </c>
      <c r="AN176" s="10"/>
    </row>
    <row r="177" spans="1:40" s="467" customFormat="1" x14ac:dyDescent="0.2">
      <c r="A177" s="623"/>
      <c r="H177" s="562"/>
      <c r="I177" s="562"/>
      <c r="J177" s="562"/>
      <c r="K177" s="562"/>
      <c r="N177" s="10"/>
      <c r="P177" s="10"/>
      <c r="Q177" s="10"/>
      <c r="R177" s="10"/>
      <c r="S177" s="155">
        <f>+IF(JULIO!S177=0,"",JULIO!S177)</f>
        <v>3200100</v>
      </c>
      <c r="T177" s="159" t="str">
        <f>+IF(JULIO!T177=0,"",JULIO!T177)</f>
        <v>Pensiones y Jubilaciones (Pago Directo)</v>
      </c>
      <c r="U177" s="29">
        <f>+ENERO!U177</f>
        <v>104106866</v>
      </c>
      <c r="V177" s="17">
        <f>JULIO!V177+AGOSTO!AL177</f>
        <v>0</v>
      </c>
      <c r="W177" s="17">
        <f>JULIO!W177+AGOSTO!AM177</f>
        <v>0</v>
      </c>
      <c r="X177" s="20">
        <f t="shared" ref="X177:X183" si="152">SUM(U177:W177)</f>
        <v>104106866</v>
      </c>
      <c r="Y177" s="21">
        <f>JULIO!AA177</f>
        <v>58717639</v>
      </c>
      <c r="Z177" s="457">
        <v>7458862</v>
      </c>
      <c r="AA177" s="20">
        <f t="shared" ref="AA177:AA183" si="153">SUM(Y177:Z177)</f>
        <v>66176501</v>
      </c>
      <c r="AB177" s="21">
        <f>JULIO!AD177</f>
        <v>58717639</v>
      </c>
      <c r="AC177" s="457">
        <v>7458862</v>
      </c>
      <c r="AD177" s="20">
        <f t="shared" ref="AD177:AD183" si="154">SUM(AB177:AC177)</f>
        <v>66176501</v>
      </c>
      <c r="AE177" s="21">
        <f>JULIO!AG177</f>
        <v>57586247</v>
      </c>
      <c r="AF177" s="457">
        <v>7458862</v>
      </c>
      <c r="AG177" s="20">
        <f t="shared" ref="AG177:AG183" si="155">SUM(AE177:AF177)</f>
        <v>65045109</v>
      </c>
      <c r="AH177" s="21">
        <f t="shared" ref="AH177:AH183" si="156">X177-AA177</f>
        <v>37930365</v>
      </c>
      <c r="AI177" s="17">
        <f t="shared" ref="AI177:AI183" si="157">X177-AD177</f>
        <v>37930365</v>
      </c>
      <c r="AJ177" s="18">
        <f t="shared" ref="AJ177:AJ183" si="158">X177-AG177</f>
        <v>39061757</v>
      </c>
      <c r="AK177" s="10"/>
      <c r="AL177" s="455">
        <v>0</v>
      </c>
      <c r="AM177" s="458">
        <v>0</v>
      </c>
      <c r="AN177" s="10"/>
    </row>
    <row r="178" spans="1:40" s="467" customFormat="1" x14ac:dyDescent="0.2">
      <c r="A178" s="623"/>
      <c r="H178" s="562"/>
      <c r="I178" s="562"/>
      <c r="J178" s="562"/>
      <c r="K178" s="562"/>
      <c r="N178" s="10"/>
      <c r="P178" s="10"/>
      <c r="Q178" s="10"/>
      <c r="R178" s="10"/>
      <c r="S178" s="155">
        <f>+IF(JULIO!S178=0,"",JULIO!S178)</f>
        <v>3200200</v>
      </c>
      <c r="T178" s="159" t="str">
        <f>+IF(JULIO!T178=0,"",JULIO!T178)</f>
        <v>Cesantías Pago Directo (Pago Directo)</v>
      </c>
      <c r="U178" s="29">
        <f>+ENERO!U178</f>
        <v>22532311</v>
      </c>
      <c r="V178" s="17">
        <f>JULIO!V178+AGOSTO!AL178</f>
        <v>0</v>
      </c>
      <c r="W178" s="17">
        <f>JULIO!W178+AGOSTO!AM178</f>
        <v>0</v>
      </c>
      <c r="X178" s="20">
        <f t="shared" si="152"/>
        <v>22532311</v>
      </c>
      <c r="Y178" s="21">
        <f>JULIO!AA178</f>
        <v>5000000</v>
      </c>
      <c r="Z178" s="457">
        <v>296242</v>
      </c>
      <c r="AA178" s="20">
        <f t="shared" si="153"/>
        <v>5296242</v>
      </c>
      <c r="AB178" s="21">
        <f>JULIO!AD178</f>
        <v>5000000</v>
      </c>
      <c r="AC178" s="457">
        <v>296242</v>
      </c>
      <c r="AD178" s="20">
        <f t="shared" si="154"/>
        <v>5296242</v>
      </c>
      <c r="AE178" s="21">
        <f>JULIO!AG178</f>
        <v>5000000</v>
      </c>
      <c r="AF178" s="457">
        <v>0</v>
      </c>
      <c r="AG178" s="20">
        <f t="shared" si="155"/>
        <v>5000000</v>
      </c>
      <c r="AH178" s="21">
        <f t="shared" si="156"/>
        <v>17236069</v>
      </c>
      <c r="AI178" s="17">
        <f t="shared" si="157"/>
        <v>17236069</v>
      </c>
      <c r="AJ178" s="18">
        <f t="shared" si="158"/>
        <v>17532311</v>
      </c>
      <c r="AK178" s="10"/>
      <c r="AL178" s="455">
        <v>0</v>
      </c>
      <c r="AM178" s="458">
        <v>0</v>
      </c>
      <c r="AN178" s="10"/>
    </row>
    <row r="179" spans="1:40" s="467" customFormat="1" x14ac:dyDescent="0.2">
      <c r="A179" s="623"/>
      <c r="H179" s="562"/>
      <c r="I179" s="562"/>
      <c r="J179" s="562"/>
      <c r="K179" s="562"/>
      <c r="N179" s="10"/>
      <c r="P179" s="10"/>
      <c r="Q179" s="10"/>
      <c r="R179" s="10"/>
      <c r="S179" s="155">
        <f>+IF(JULIO!S179=0,"",JULIO!S179)</f>
        <v>3200300</v>
      </c>
      <c r="T179" s="159" t="str">
        <f>+IF(JULIO!T179=0,"",JULIO!T179)</f>
        <v>Bonos, Cuotas de Bonos y cuotas partes jubilatorias</v>
      </c>
      <c r="U179" s="29">
        <f>+ENERO!U179</f>
        <v>70000000</v>
      </c>
      <c r="V179" s="17">
        <f>JULIO!V179+AGOSTO!AL179</f>
        <v>-17721746</v>
      </c>
      <c r="W179" s="17">
        <f>JULIO!W179+AGOSTO!AM179</f>
        <v>0</v>
      </c>
      <c r="X179" s="20">
        <f t="shared" si="152"/>
        <v>52278254</v>
      </c>
      <c r="Y179" s="21">
        <f>JULIO!AA179</f>
        <v>4205715</v>
      </c>
      <c r="Z179" s="457">
        <v>0</v>
      </c>
      <c r="AA179" s="20">
        <f t="shared" si="153"/>
        <v>4205715</v>
      </c>
      <c r="AB179" s="21">
        <f>JULIO!AD179</f>
        <v>4205715</v>
      </c>
      <c r="AC179" s="457">
        <v>0</v>
      </c>
      <c r="AD179" s="20">
        <f t="shared" si="154"/>
        <v>4205715</v>
      </c>
      <c r="AE179" s="21">
        <f>JULIO!AG179</f>
        <v>2453555</v>
      </c>
      <c r="AF179" s="457">
        <v>963404</v>
      </c>
      <c r="AG179" s="20">
        <f t="shared" si="155"/>
        <v>3416959</v>
      </c>
      <c r="AH179" s="21">
        <f t="shared" si="156"/>
        <v>48072539</v>
      </c>
      <c r="AI179" s="17">
        <f t="shared" si="157"/>
        <v>48072539</v>
      </c>
      <c r="AJ179" s="18">
        <f t="shared" si="158"/>
        <v>48861295</v>
      </c>
      <c r="AK179" s="10"/>
      <c r="AL179" s="455">
        <v>0</v>
      </c>
      <c r="AM179" s="458">
        <v>0</v>
      </c>
      <c r="AN179" s="10"/>
    </row>
    <row r="180" spans="1:40" s="467" customFormat="1" x14ac:dyDescent="0.2">
      <c r="A180" s="623"/>
      <c r="H180" s="562"/>
      <c r="I180" s="562"/>
      <c r="J180" s="562"/>
      <c r="K180" s="562"/>
      <c r="N180" s="10"/>
      <c r="P180" s="10"/>
      <c r="Q180" s="10"/>
      <c r="R180" s="10"/>
      <c r="S180" s="155">
        <f>+IF(JULIO!S180=0,"",JULIO!S180)</f>
        <v>3200400</v>
      </c>
      <c r="T180" s="159" t="str">
        <f>+IF(JULIO!T180=0,"",JULIO!T180)</f>
        <v>Intereses a las cesantias</v>
      </c>
      <c r="U180" s="29">
        <f>+ENERO!U180</f>
        <v>14660094</v>
      </c>
      <c r="V180" s="17">
        <f>JULIO!V180+AGOSTO!AL180</f>
        <v>0</v>
      </c>
      <c r="W180" s="17">
        <f>JULIO!W180+AGOSTO!AM180</f>
        <v>0</v>
      </c>
      <c r="X180" s="20">
        <f t="shared" si="152"/>
        <v>14660094</v>
      </c>
      <c r="Y180" s="21">
        <f>JULIO!AA180</f>
        <v>11105166</v>
      </c>
      <c r="Z180" s="457">
        <v>848922</v>
      </c>
      <c r="AA180" s="20">
        <f t="shared" si="153"/>
        <v>11954088</v>
      </c>
      <c r="AB180" s="21">
        <f>JULIO!AD180</f>
        <v>11105166</v>
      </c>
      <c r="AC180" s="457">
        <v>848922</v>
      </c>
      <c r="AD180" s="20">
        <f t="shared" si="154"/>
        <v>11954088</v>
      </c>
      <c r="AE180" s="21">
        <f>JULIO!AG180</f>
        <v>10962774</v>
      </c>
      <c r="AF180" s="457">
        <v>142392</v>
      </c>
      <c r="AG180" s="20">
        <f t="shared" si="155"/>
        <v>11105166</v>
      </c>
      <c r="AH180" s="21">
        <f t="shared" si="156"/>
        <v>2706006</v>
      </c>
      <c r="AI180" s="17">
        <f t="shared" si="157"/>
        <v>2706006</v>
      </c>
      <c r="AJ180" s="18">
        <f t="shared" si="158"/>
        <v>3554928</v>
      </c>
      <c r="AK180" s="10"/>
      <c r="AL180" s="455">
        <v>0</v>
      </c>
      <c r="AM180" s="458">
        <v>0</v>
      </c>
      <c r="AN180" s="10"/>
    </row>
    <row r="181" spans="1:40" s="467" customFormat="1" x14ac:dyDescent="0.2">
      <c r="A181" s="623"/>
      <c r="H181" s="562"/>
      <c r="I181" s="562"/>
      <c r="J181" s="562"/>
      <c r="K181" s="562"/>
      <c r="N181" s="10"/>
      <c r="P181" s="10"/>
      <c r="Q181" s="10"/>
      <c r="R181" s="10"/>
      <c r="S181" s="155" t="str">
        <f>+IF(JULIO!S181=0,"",JULIO!S181)</f>
        <v/>
      </c>
      <c r="T181" s="159" t="str">
        <f>+IF(JULIO!T181=0,"",JULIO!T181)</f>
        <v/>
      </c>
      <c r="U181" s="29">
        <f>+ENERO!U181</f>
        <v>0</v>
      </c>
      <c r="V181" s="17">
        <f>JULIO!V181+AGOSTO!AL181</f>
        <v>0</v>
      </c>
      <c r="W181" s="17">
        <f>JULIO!W181+AGOSTO!AM181</f>
        <v>0</v>
      </c>
      <c r="X181" s="20">
        <f t="shared" si="152"/>
        <v>0</v>
      </c>
      <c r="Y181" s="21">
        <f>JULIO!AA181</f>
        <v>0</v>
      </c>
      <c r="Z181" s="457">
        <v>0</v>
      </c>
      <c r="AA181" s="20">
        <f t="shared" si="153"/>
        <v>0</v>
      </c>
      <c r="AB181" s="21">
        <f>JULIO!AD181</f>
        <v>0</v>
      </c>
      <c r="AC181" s="457">
        <v>0</v>
      </c>
      <c r="AD181" s="20">
        <f t="shared" si="154"/>
        <v>0</v>
      </c>
      <c r="AE181" s="21">
        <f>JULIO!AG181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H182" s="562"/>
      <c r="I182" s="562"/>
      <c r="J182" s="562"/>
      <c r="K182" s="562"/>
      <c r="N182" s="10"/>
      <c r="P182" s="10"/>
      <c r="Q182" s="10"/>
      <c r="R182" s="10"/>
      <c r="S182" s="155" t="str">
        <f>+IF(JULIO!S182=0,"",JULIO!S182)</f>
        <v/>
      </c>
      <c r="T182" s="159" t="str">
        <f>+IF(JULIO!T182=0,"",JULIO!T182)</f>
        <v/>
      </c>
      <c r="U182" s="29">
        <f>+ENERO!U182</f>
        <v>0</v>
      </c>
      <c r="V182" s="17">
        <f>JULIO!V182+AGOSTO!AL182</f>
        <v>0</v>
      </c>
      <c r="W182" s="17">
        <f>JULIO!W182+AGOSTO!AM182</f>
        <v>0</v>
      </c>
      <c r="X182" s="20">
        <f t="shared" si="152"/>
        <v>0</v>
      </c>
      <c r="Y182" s="21">
        <f>JULIO!AA182</f>
        <v>0</v>
      </c>
      <c r="Z182" s="457">
        <v>0</v>
      </c>
      <c r="AA182" s="20">
        <f t="shared" si="153"/>
        <v>0</v>
      </c>
      <c r="AB182" s="21">
        <f>JULIO!AD182</f>
        <v>0</v>
      </c>
      <c r="AC182" s="457">
        <v>0</v>
      </c>
      <c r="AD182" s="20">
        <f t="shared" si="154"/>
        <v>0</v>
      </c>
      <c r="AE182" s="21">
        <f>JULIO!AG182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H183" s="562"/>
      <c r="I183" s="562"/>
      <c r="J183" s="562"/>
      <c r="K183" s="562"/>
      <c r="N183" s="10"/>
      <c r="P183" s="10"/>
      <c r="Q183" s="10"/>
      <c r="R183" s="10"/>
      <c r="S183" s="155">
        <f>+IF(JULIO!S183=0,"",JULIO!S183)</f>
        <v>3299999</v>
      </c>
      <c r="T183" s="159" t="str">
        <f>+IF(JULIO!T183=0,"",JULIO!T183)</f>
        <v>Vigencias Anteriores</v>
      </c>
      <c r="U183" s="29">
        <f>+ENERO!U183</f>
        <v>2000000</v>
      </c>
      <c r="V183" s="17">
        <f>JULIO!V183+AGOSTO!AL183</f>
        <v>3591005</v>
      </c>
      <c r="W183" s="17">
        <f>JULIO!W183+AGOSTO!AM183</f>
        <v>0</v>
      </c>
      <c r="X183" s="20">
        <f t="shared" si="152"/>
        <v>5591005</v>
      </c>
      <c r="Y183" s="21">
        <f>JULIO!AA183</f>
        <v>5591005</v>
      </c>
      <c r="Z183" s="457">
        <v>0</v>
      </c>
      <c r="AA183" s="20">
        <f t="shared" si="153"/>
        <v>5591005</v>
      </c>
      <c r="AB183" s="21">
        <f>JULIO!AD183</f>
        <v>5591005</v>
      </c>
      <c r="AC183" s="457">
        <v>0</v>
      </c>
      <c r="AD183" s="20">
        <f t="shared" si="154"/>
        <v>5591005</v>
      </c>
      <c r="AE183" s="21">
        <f>JULIO!AG183</f>
        <v>5591005</v>
      </c>
      <c r="AF183" s="457">
        <v>0</v>
      </c>
      <c r="AG183" s="20">
        <f t="shared" si="155"/>
        <v>5591005</v>
      </c>
      <c r="AH183" s="21">
        <f t="shared" si="156"/>
        <v>0</v>
      </c>
      <c r="AI183" s="17">
        <f t="shared" si="157"/>
        <v>0</v>
      </c>
      <c r="AJ183" s="18">
        <f t="shared" si="158"/>
        <v>0</v>
      </c>
      <c r="AK183" s="10"/>
      <c r="AL183" s="455">
        <v>0</v>
      </c>
      <c r="AM183" s="458">
        <v>0</v>
      </c>
      <c r="AN183" s="10"/>
    </row>
    <row r="184" spans="1:40" s="467" customFormat="1" ht="15.75" x14ac:dyDescent="0.2">
      <c r="A184" s="623"/>
      <c r="H184" s="562"/>
      <c r="I184" s="562"/>
      <c r="J184" s="562"/>
      <c r="K184" s="562"/>
      <c r="N184" s="10"/>
      <c r="P184" s="10"/>
      <c r="Q184" s="10"/>
      <c r="R184" s="10"/>
      <c r="S184" s="448" t="str">
        <f>+IF(JULIO!S184=0,"",JULIO!S184)</f>
        <v/>
      </c>
      <c r="T184" s="649" t="str">
        <f>+IF(JULIO!T184=0,"",JULIO!T184)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H185" s="562"/>
      <c r="I185" s="562"/>
      <c r="J185" s="562"/>
      <c r="K185" s="562"/>
      <c r="N185" s="10"/>
      <c r="P185" s="10"/>
      <c r="Q185" s="10"/>
      <c r="R185" s="10"/>
      <c r="S185" s="34">
        <f>+IF(JULIO!S185=0,"",JULIO!S185)</f>
        <v>3300000</v>
      </c>
      <c r="T185" s="158" t="str">
        <f>+IF(JULIO!T185=0,"",JULIO!T185)</f>
        <v>Otras Transferencias</v>
      </c>
      <c r="U185" s="157">
        <f t="shared" ref="U185:AJ185" si="159">U186+U187+U191</f>
        <v>1500000</v>
      </c>
      <c r="V185" s="144">
        <f t="shared" si="159"/>
        <v>476550</v>
      </c>
      <c r="W185" s="144">
        <f t="shared" si="159"/>
        <v>0</v>
      </c>
      <c r="X185" s="152">
        <f t="shared" si="159"/>
        <v>1976550</v>
      </c>
      <c r="Y185" s="151">
        <f t="shared" si="159"/>
        <v>1045495</v>
      </c>
      <c r="Z185" s="144">
        <f t="shared" si="159"/>
        <v>0</v>
      </c>
      <c r="AA185" s="152">
        <f t="shared" si="159"/>
        <v>1045495</v>
      </c>
      <c r="AB185" s="151">
        <f t="shared" si="159"/>
        <v>1045495</v>
      </c>
      <c r="AC185" s="144">
        <f t="shared" si="159"/>
        <v>0</v>
      </c>
      <c r="AD185" s="152">
        <f t="shared" si="159"/>
        <v>1045495</v>
      </c>
      <c r="AE185" s="151">
        <f t="shared" si="159"/>
        <v>615750</v>
      </c>
      <c r="AF185" s="144">
        <f t="shared" si="159"/>
        <v>0</v>
      </c>
      <c r="AG185" s="152">
        <f t="shared" si="159"/>
        <v>615750</v>
      </c>
      <c r="AH185" s="151">
        <f t="shared" si="159"/>
        <v>931055</v>
      </c>
      <c r="AI185" s="144">
        <f t="shared" si="159"/>
        <v>931055</v>
      </c>
      <c r="AJ185" s="153">
        <f t="shared" si="159"/>
        <v>1360800</v>
      </c>
      <c r="AK185" s="10"/>
      <c r="AL185" s="151">
        <f>AL186+AL187+AL191</f>
        <v>0</v>
      </c>
      <c r="AM185" s="153">
        <f>AM186+AM187+AM191</f>
        <v>0</v>
      </c>
      <c r="AN185" s="10"/>
    </row>
    <row r="186" spans="1:40" s="467" customFormat="1" x14ac:dyDescent="0.2">
      <c r="A186" s="623"/>
      <c r="H186" s="562"/>
      <c r="I186" s="562"/>
      <c r="J186" s="562"/>
      <c r="K186" s="562"/>
      <c r="N186" s="10"/>
      <c r="P186" s="10"/>
      <c r="Q186" s="10"/>
      <c r="R186" s="10"/>
      <c r="S186" s="155">
        <f>+IF(JULIO!S186=0,"",JULIO!S186)</f>
        <v>3300100</v>
      </c>
      <c r="T186" s="159" t="str">
        <f>+IF(JULIO!T186=0,"",JULIO!T186)</f>
        <v>Sentencias y Conciliaciones</v>
      </c>
      <c r="U186" s="29">
        <f>+ENERO!U186</f>
        <v>0</v>
      </c>
      <c r="V186" s="17">
        <f>JULIO!V186+AGOSTO!AL186</f>
        <v>0</v>
      </c>
      <c r="W186" s="17">
        <f>JULIO!W186+AGOSTO!AM186</f>
        <v>0</v>
      </c>
      <c r="X186" s="20">
        <f>SUM(U186:W186)</f>
        <v>0</v>
      </c>
      <c r="Y186" s="21">
        <f>JULIO!AA186</f>
        <v>0</v>
      </c>
      <c r="Z186" s="457">
        <v>0</v>
      </c>
      <c r="AA186" s="20">
        <f>SUM(Y186:Z186)</f>
        <v>0</v>
      </c>
      <c r="AB186" s="21">
        <f>JULIO!AD186</f>
        <v>0</v>
      </c>
      <c r="AC186" s="457">
        <v>0</v>
      </c>
      <c r="AD186" s="20">
        <f>SUM(AB186:AC186)</f>
        <v>0</v>
      </c>
      <c r="AE186" s="21">
        <f>JULIO!AG186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H187" s="562"/>
      <c r="I187" s="562"/>
      <c r="J187" s="562"/>
      <c r="K187" s="562"/>
      <c r="N187" s="10"/>
      <c r="P187" s="10"/>
      <c r="Q187" s="10"/>
      <c r="R187" s="10"/>
      <c r="S187" s="155">
        <f>+IF(JULIO!S187=0,"",JULIO!S187)</f>
        <v>3300200</v>
      </c>
      <c r="T187" s="159" t="str">
        <f>+IF(JULIO!T187=0,"",JULIO!T187)</f>
        <v>Destinatarios de otras transferencias</v>
      </c>
      <c r="U187" s="29">
        <f t="shared" ref="U187:AM187" si="160">SUM(U188:U190)</f>
        <v>1500000</v>
      </c>
      <c r="V187" s="17">
        <f t="shared" si="160"/>
        <v>0</v>
      </c>
      <c r="W187" s="17">
        <f t="shared" si="160"/>
        <v>0</v>
      </c>
      <c r="X187" s="20">
        <f t="shared" si="160"/>
        <v>1500000</v>
      </c>
      <c r="Y187" s="21">
        <f t="shared" si="160"/>
        <v>568945</v>
      </c>
      <c r="Z187" s="169">
        <f t="shared" si="160"/>
        <v>0</v>
      </c>
      <c r="AA187" s="20">
        <f t="shared" si="160"/>
        <v>568945</v>
      </c>
      <c r="AB187" s="21">
        <f t="shared" si="160"/>
        <v>568945</v>
      </c>
      <c r="AC187" s="169">
        <f t="shared" si="160"/>
        <v>0</v>
      </c>
      <c r="AD187" s="20">
        <f t="shared" si="160"/>
        <v>568945</v>
      </c>
      <c r="AE187" s="21">
        <f t="shared" si="160"/>
        <v>139200</v>
      </c>
      <c r="AF187" s="169">
        <f t="shared" si="160"/>
        <v>0</v>
      </c>
      <c r="AG187" s="20">
        <f t="shared" si="160"/>
        <v>139200</v>
      </c>
      <c r="AH187" s="21">
        <f t="shared" si="160"/>
        <v>931055</v>
      </c>
      <c r="AI187" s="17">
        <f t="shared" si="160"/>
        <v>931055</v>
      </c>
      <c r="AJ187" s="18">
        <f t="shared" si="160"/>
        <v>1360800</v>
      </c>
      <c r="AK187" s="10"/>
      <c r="AL187" s="31">
        <f t="shared" si="160"/>
        <v>0</v>
      </c>
      <c r="AM187" s="28">
        <f t="shared" si="160"/>
        <v>0</v>
      </c>
      <c r="AN187" s="10"/>
    </row>
    <row r="188" spans="1:40" s="467" customFormat="1" x14ac:dyDescent="0.2">
      <c r="A188" s="623"/>
      <c r="B188" s="554"/>
      <c r="H188" s="562"/>
      <c r="I188" s="562"/>
      <c r="J188" s="562"/>
      <c r="K188" s="562"/>
      <c r="N188" s="10"/>
      <c r="P188" s="10"/>
      <c r="Q188" s="10"/>
      <c r="R188" s="10"/>
      <c r="S188" s="156" t="str">
        <f>+IF(JULIO!S188=0,"",JULIO!S188)</f>
        <v>3300200-1</v>
      </c>
      <c r="T188" s="159" t="str">
        <f>+IF(JULIO!T188=0,"",JULIO!T188)</f>
        <v>COHAN</v>
      </c>
      <c r="U188" s="29">
        <f>+ENERO!U188</f>
        <v>1500000</v>
      </c>
      <c r="V188" s="17">
        <f>JULIO!V188+AGOSTO!AL188</f>
        <v>0</v>
      </c>
      <c r="W188" s="17">
        <f>JULIO!W188+AGOSTO!AM188</f>
        <v>0</v>
      </c>
      <c r="X188" s="20">
        <f>SUM(U188:W188)</f>
        <v>1500000</v>
      </c>
      <c r="Y188" s="21">
        <f>JULIO!AA188</f>
        <v>568945</v>
      </c>
      <c r="Z188" s="457">
        <v>0</v>
      </c>
      <c r="AA188" s="20">
        <f>SUM(Y188:Z188)</f>
        <v>568945</v>
      </c>
      <c r="AB188" s="21">
        <f>JULIO!AD188</f>
        <v>568945</v>
      </c>
      <c r="AC188" s="457">
        <v>0</v>
      </c>
      <c r="AD188" s="20">
        <f>SUM(AB188:AC188)</f>
        <v>568945</v>
      </c>
      <c r="AE188" s="21">
        <f>JULIO!AG188</f>
        <v>139200</v>
      </c>
      <c r="AF188" s="457">
        <v>0</v>
      </c>
      <c r="AG188" s="20">
        <f>SUM(AE188:AF188)</f>
        <v>139200</v>
      </c>
      <c r="AH188" s="21">
        <f>X188-AA188</f>
        <v>931055</v>
      </c>
      <c r="AI188" s="17">
        <f>X188-AD188</f>
        <v>931055</v>
      </c>
      <c r="AJ188" s="18">
        <f>X188-AG188</f>
        <v>1360800</v>
      </c>
      <c r="AK188" s="10"/>
      <c r="AL188" s="455">
        <v>0</v>
      </c>
      <c r="AM188" s="458">
        <v>0</v>
      </c>
      <c r="AN188" s="10"/>
    </row>
    <row r="189" spans="1:40" s="467" customFormat="1" x14ac:dyDescent="0.2">
      <c r="A189" s="623"/>
      <c r="B189" s="554"/>
      <c r="H189" s="562"/>
      <c r="I189" s="562"/>
      <c r="J189" s="562"/>
      <c r="K189" s="562"/>
      <c r="N189" s="10"/>
      <c r="P189" s="10"/>
      <c r="Q189" s="10"/>
      <c r="R189" s="10"/>
      <c r="S189" s="156" t="str">
        <f>+IF(JULIO!S189=0,"",JULIO!S189)</f>
        <v>3300200-2</v>
      </c>
      <c r="T189" s="159" t="str">
        <f>+IF(JULIO!T189=0,"",JULIO!T189)</f>
        <v>AESA</v>
      </c>
      <c r="U189" s="29">
        <f>+ENERO!U189</f>
        <v>0</v>
      </c>
      <c r="V189" s="17">
        <f>JULIO!V189+AGOSTO!AL189</f>
        <v>0</v>
      </c>
      <c r="W189" s="17">
        <f>JULIO!W189+AGOSTO!AM189</f>
        <v>0</v>
      </c>
      <c r="X189" s="20">
        <f>SUM(U189:W189)</f>
        <v>0</v>
      </c>
      <c r="Y189" s="21">
        <f>JULIO!AA189</f>
        <v>0</v>
      </c>
      <c r="Z189" s="457">
        <v>0</v>
      </c>
      <c r="AA189" s="20">
        <f>SUM(Y189:Z189)</f>
        <v>0</v>
      </c>
      <c r="AB189" s="21">
        <f>JULIO!AD189</f>
        <v>0</v>
      </c>
      <c r="AC189" s="457">
        <v>0</v>
      </c>
      <c r="AD189" s="20">
        <f>SUM(AB189:AC189)</f>
        <v>0</v>
      </c>
      <c r="AE189" s="21">
        <f>JULIO!AG189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H190" s="562"/>
      <c r="I190" s="562"/>
      <c r="J190" s="562"/>
      <c r="K190" s="562"/>
      <c r="N190" s="10"/>
      <c r="P190" s="10"/>
      <c r="Q190" s="10"/>
      <c r="R190" s="10"/>
      <c r="S190" s="156" t="str">
        <f>+IF(JULIO!S190=0,"",JULIO!S190)</f>
        <v>3300200-3</v>
      </c>
      <c r="T190" s="159" t="str">
        <f>+IF(JULIO!T190=0,"",JULIO!T190)</f>
        <v xml:space="preserve">OTRAS </v>
      </c>
      <c r="U190" s="29">
        <f>+ENERO!U190</f>
        <v>0</v>
      </c>
      <c r="V190" s="17">
        <f>JULIO!V190+AGOSTO!AL190</f>
        <v>0</v>
      </c>
      <c r="W190" s="17">
        <f>JULIO!W190+AGOSTO!AM190</f>
        <v>0</v>
      </c>
      <c r="X190" s="20">
        <f>SUM(U190:W190)</f>
        <v>0</v>
      </c>
      <c r="Y190" s="21">
        <f>JULIO!AA190</f>
        <v>0</v>
      </c>
      <c r="Z190" s="457">
        <v>0</v>
      </c>
      <c r="AA190" s="20">
        <f>SUM(Y190:Z190)</f>
        <v>0</v>
      </c>
      <c r="AB190" s="21">
        <f>JULIO!AD190</f>
        <v>0</v>
      </c>
      <c r="AC190" s="457">
        <v>0</v>
      </c>
      <c r="AD190" s="20">
        <f>SUM(AB190:AC190)</f>
        <v>0</v>
      </c>
      <c r="AE190" s="21">
        <f>JULIO!AG190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H191" s="562"/>
      <c r="I191" s="562"/>
      <c r="J191" s="562"/>
      <c r="K191" s="562"/>
      <c r="N191" s="10"/>
      <c r="P191" s="10"/>
      <c r="Q191" s="10"/>
      <c r="R191" s="10"/>
      <c r="S191" s="155">
        <f>+IF(JULIO!S191=0,"",JULIO!S191)</f>
        <v>3399999</v>
      </c>
      <c r="T191" s="159" t="str">
        <f>+IF(JULIO!T191=0,"",JULIO!T191)</f>
        <v>Vigencias Anteriores</v>
      </c>
      <c r="U191" s="29">
        <f>+ENERO!U191</f>
        <v>0</v>
      </c>
      <c r="V191" s="17">
        <f>JULIO!V191+AGOSTO!AL191</f>
        <v>476550</v>
      </c>
      <c r="W191" s="17">
        <f>JULIO!W191+AGOSTO!AM191</f>
        <v>0</v>
      </c>
      <c r="X191" s="20">
        <f>SUM(U191:W191)</f>
        <v>476550</v>
      </c>
      <c r="Y191" s="21">
        <f>JULIO!AA191</f>
        <v>476550</v>
      </c>
      <c r="Z191" s="457">
        <v>0</v>
      </c>
      <c r="AA191" s="20">
        <f>SUM(Y191:Z191)</f>
        <v>476550</v>
      </c>
      <c r="AB191" s="21">
        <f>JULIO!AD191</f>
        <v>476550</v>
      </c>
      <c r="AC191" s="457">
        <v>0</v>
      </c>
      <c r="AD191" s="20">
        <f>SUM(AB191:AC191)</f>
        <v>476550</v>
      </c>
      <c r="AE191" s="21">
        <f>JULIO!AG191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H192" s="562"/>
      <c r="I192" s="562"/>
      <c r="J192" s="562"/>
      <c r="K192" s="562"/>
      <c r="N192" s="10"/>
      <c r="P192" s="10"/>
      <c r="Q192" s="10"/>
      <c r="R192" s="10"/>
      <c r="S192" s="448" t="str">
        <f>+IF(JULIO!S192=0,"",JULIO!S192)</f>
        <v/>
      </c>
      <c r="T192" s="649" t="str">
        <f>+IF(JULIO!T192=0,"",JULIO!T192)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H193" s="562"/>
      <c r="I193" s="562"/>
      <c r="J193" s="562"/>
      <c r="K193" s="562"/>
      <c r="N193" s="10"/>
      <c r="P193" s="10"/>
      <c r="Q193" s="10"/>
      <c r="R193" s="10"/>
      <c r="S193" s="469">
        <f>+IF(JULIO!S193=0,"",JULIO!S193)</f>
        <v>4000000</v>
      </c>
      <c r="T193" s="588" t="str">
        <f>+IF(JULIO!T193=0,"",JULIO!T193)</f>
        <v>GASTOS  DE PRESTACION DE SERVICIOS</v>
      </c>
      <c r="U193" s="589">
        <f t="shared" ref="U193:AJ193" si="161">U194</f>
        <v>355892858</v>
      </c>
      <c r="V193" s="590">
        <f t="shared" si="161"/>
        <v>15217291</v>
      </c>
      <c r="W193" s="590">
        <f t="shared" si="161"/>
        <v>17783068</v>
      </c>
      <c r="X193" s="591">
        <f t="shared" si="161"/>
        <v>388893217</v>
      </c>
      <c r="Y193" s="464">
        <f t="shared" si="161"/>
        <v>221515532</v>
      </c>
      <c r="Z193" s="590">
        <f t="shared" si="161"/>
        <v>29001866</v>
      </c>
      <c r="AA193" s="591">
        <f t="shared" si="161"/>
        <v>250517398</v>
      </c>
      <c r="AB193" s="464">
        <f t="shared" si="161"/>
        <v>221488219</v>
      </c>
      <c r="AC193" s="590">
        <f t="shared" si="161"/>
        <v>29001866</v>
      </c>
      <c r="AD193" s="591">
        <f t="shared" si="161"/>
        <v>250490085</v>
      </c>
      <c r="AE193" s="464">
        <f t="shared" si="161"/>
        <v>146866650</v>
      </c>
      <c r="AF193" s="590">
        <f t="shared" si="161"/>
        <v>23847531</v>
      </c>
      <c r="AG193" s="591">
        <f t="shared" si="161"/>
        <v>170714181</v>
      </c>
      <c r="AH193" s="464">
        <f t="shared" si="161"/>
        <v>138375819</v>
      </c>
      <c r="AI193" s="590">
        <f t="shared" si="161"/>
        <v>138403132</v>
      </c>
      <c r="AJ193" s="465">
        <f t="shared" si="161"/>
        <v>218179036</v>
      </c>
      <c r="AK193" s="10"/>
      <c r="AL193" s="151">
        <f>AL194</f>
        <v>0</v>
      </c>
      <c r="AM193" s="153">
        <f>AM194</f>
        <v>0</v>
      </c>
      <c r="AN193" s="10"/>
    </row>
    <row r="194" spans="1:40" s="467" customFormat="1" ht="15" x14ac:dyDescent="0.2">
      <c r="A194" s="623"/>
      <c r="B194" s="554"/>
      <c r="H194" s="562"/>
      <c r="I194" s="562"/>
      <c r="J194" s="562"/>
      <c r="K194" s="562"/>
      <c r="N194" s="10"/>
      <c r="P194" s="10"/>
      <c r="Q194" s="10"/>
      <c r="R194" s="10"/>
      <c r="S194" s="34">
        <f>+IF(JULIO!S194=0,"",JULIO!S194)</f>
        <v>4100000</v>
      </c>
      <c r="T194" s="158" t="str">
        <f>+IF(JULIO!T194=0,"",JULIO!T194)</f>
        <v>Insumos y Suministros Hospitalarios</v>
      </c>
      <c r="U194" s="157">
        <f t="shared" ref="U194:AJ194" si="162">U195+U203+U205</f>
        <v>355892858</v>
      </c>
      <c r="V194" s="144">
        <f t="shared" si="162"/>
        <v>15217291</v>
      </c>
      <c r="W194" s="144">
        <f t="shared" si="162"/>
        <v>17783068</v>
      </c>
      <c r="X194" s="152">
        <f t="shared" si="162"/>
        <v>388893217</v>
      </c>
      <c r="Y194" s="151">
        <f t="shared" si="162"/>
        <v>221515532</v>
      </c>
      <c r="Z194" s="144">
        <f t="shared" si="162"/>
        <v>29001866</v>
      </c>
      <c r="AA194" s="152">
        <f t="shared" si="162"/>
        <v>250517398</v>
      </c>
      <c r="AB194" s="151">
        <f t="shared" si="162"/>
        <v>221488219</v>
      </c>
      <c r="AC194" s="144">
        <f t="shared" si="162"/>
        <v>29001866</v>
      </c>
      <c r="AD194" s="152">
        <f t="shared" si="162"/>
        <v>250490085</v>
      </c>
      <c r="AE194" s="151">
        <f t="shared" si="162"/>
        <v>146866650</v>
      </c>
      <c r="AF194" s="144">
        <f t="shared" si="162"/>
        <v>23847531</v>
      </c>
      <c r="AG194" s="152">
        <f t="shared" si="162"/>
        <v>170714181</v>
      </c>
      <c r="AH194" s="151">
        <f t="shared" si="162"/>
        <v>138375819</v>
      </c>
      <c r="AI194" s="144">
        <f t="shared" si="162"/>
        <v>138403132</v>
      </c>
      <c r="AJ194" s="153">
        <f t="shared" si="162"/>
        <v>218179036</v>
      </c>
      <c r="AK194" s="12"/>
      <c r="AL194" s="151">
        <f>AL195+AL203+AL205</f>
        <v>0</v>
      </c>
      <c r="AM194" s="153">
        <f>AM195+AM203+AM205</f>
        <v>0</v>
      </c>
      <c r="AN194" s="10"/>
    </row>
    <row r="195" spans="1:40" s="467" customFormat="1" x14ac:dyDescent="0.2">
      <c r="A195" s="623"/>
      <c r="B195" s="554"/>
      <c r="H195" s="562"/>
      <c r="I195" s="562"/>
      <c r="J195" s="562"/>
      <c r="K195" s="562"/>
      <c r="N195" s="10"/>
      <c r="P195" s="10"/>
      <c r="Q195" s="10"/>
      <c r="R195" s="10"/>
      <c r="S195" s="155">
        <f>+IF(JULIO!S195=0,"",JULIO!S195)</f>
        <v>4100100</v>
      </c>
      <c r="T195" s="159" t="str">
        <f>+IF(JULIO!T195=0,"",JULIO!T195)</f>
        <v>Compra de Bienes para la Prestacion de servicios</v>
      </c>
      <c r="U195" s="29">
        <f t="shared" ref="U195:AJ195" si="163">SUM(U196:U202)</f>
        <v>282124359</v>
      </c>
      <c r="V195" s="17">
        <f t="shared" si="163"/>
        <v>0</v>
      </c>
      <c r="W195" s="17">
        <f t="shared" si="163"/>
        <v>17783068</v>
      </c>
      <c r="X195" s="20">
        <f t="shared" si="163"/>
        <v>299907427</v>
      </c>
      <c r="Y195" s="21">
        <f t="shared" si="163"/>
        <v>150241892</v>
      </c>
      <c r="Z195" s="169">
        <f t="shared" si="163"/>
        <v>27831485</v>
      </c>
      <c r="AA195" s="20">
        <f t="shared" si="163"/>
        <v>178073377</v>
      </c>
      <c r="AB195" s="21">
        <f t="shared" si="163"/>
        <v>150214579</v>
      </c>
      <c r="AC195" s="169">
        <f t="shared" si="163"/>
        <v>27831485</v>
      </c>
      <c r="AD195" s="20">
        <f t="shared" si="163"/>
        <v>178046064</v>
      </c>
      <c r="AE195" s="21">
        <f t="shared" si="163"/>
        <v>76716258</v>
      </c>
      <c r="AF195" s="169">
        <f t="shared" si="163"/>
        <v>22872283</v>
      </c>
      <c r="AG195" s="20">
        <f t="shared" si="163"/>
        <v>99588541</v>
      </c>
      <c r="AH195" s="21">
        <f t="shared" si="163"/>
        <v>121834050</v>
      </c>
      <c r="AI195" s="17">
        <f t="shared" si="163"/>
        <v>121861363</v>
      </c>
      <c r="AJ195" s="18">
        <f t="shared" si="163"/>
        <v>200318886</v>
      </c>
      <c r="AK195" s="10"/>
      <c r="AL195" s="31">
        <f>SUM(AL196:AL202)</f>
        <v>0</v>
      </c>
      <c r="AM195" s="28">
        <f>SUM(AM196:AM202)</f>
        <v>0</v>
      </c>
      <c r="AN195" s="10"/>
    </row>
    <row r="196" spans="1:40" s="467" customFormat="1" x14ac:dyDescent="0.2">
      <c r="A196" s="623"/>
      <c r="B196" s="554"/>
      <c r="H196" s="562"/>
      <c r="I196" s="562"/>
      <c r="J196" s="562"/>
      <c r="K196" s="562"/>
      <c r="N196" s="10"/>
      <c r="P196" s="10"/>
      <c r="Q196" s="10"/>
      <c r="R196" s="10"/>
      <c r="S196" s="156" t="str">
        <f>+IF(JULIO!S196=0,"",JULIO!S196)</f>
        <v>4100100-1</v>
      </c>
      <c r="T196" s="55" t="str">
        <f>+IF(JULIO!T196=0,"",JULIO!T196)</f>
        <v>Productos Farmaceuticos</v>
      </c>
      <c r="U196" s="29">
        <f>+ENERO!U196</f>
        <v>185254982</v>
      </c>
      <c r="V196" s="17">
        <f>JULIO!V196+AGOSTO!AL196</f>
        <v>0</v>
      </c>
      <c r="W196" s="17">
        <f>JULIO!W196+AGOSTO!AM196</f>
        <v>17783068</v>
      </c>
      <c r="X196" s="20">
        <f t="shared" ref="X196:X202" si="164">SUM(U196:W196)</f>
        <v>203038050</v>
      </c>
      <c r="Y196" s="21">
        <f>JULIO!AA196</f>
        <v>95926767</v>
      </c>
      <c r="Z196" s="457">
        <v>18171131</v>
      </c>
      <c r="AA196" s="20">
        <f t="shared" ref="AA196:AA202" si="165">SUM(Y196:Z196)</f>
        <v>114097898</v>
      </c>
      <c r="AB196" s="21">
        <f>JULIO!AD196</f>
        <v>95899758</v>
      </c>
      <c r="AC196" s="457">
        <v>18171131</v>
      </c>
      <c r="AD196" s="20">
        <f t="shared" ref="AD196:AD202" si="166">SUM(AB196:AC196)</f>
        <v>114070889</v>
      </c>
      <c r="AE196" s="21">
        <f>JULIO!AG196</f>
        <v>51267896</v>
      </c>
      <c r="AF196" s="457">
        <v>14255884</v>
      </c>
      <c r="AG196" s="20">
        <f t="shared" ref="AG196:AG202" si="167">SUM(AE196:AF196)</f>
        <v>65523780</v>
      </c>
      <c r="AH196" s="21">
        <f t="shared" ref="AH196:AH202" si="168">X196-AA196</f>
        <v>88940152</v>
      </c>
      <c r="AI196" s="17">
        <f t="shared" ref="AI196:AI202" si="169">X196-AD196</f>
        <v>88967161</v>
      </c>
      <c r="AJ196" s="18">
        <f t="shared" ref="AJ196:AJ202" si="170">X196-AG196</f>
        <v>137514270</v>
      </c>
      <c r="AK196" s="10"/>
      <c r="AL196" s="455">
        <v>0</v>
      </c>
      <c r="AM196" s="458">
        <v>0</v>
      </c>
      <c r="AN196" s="10"/>
    </row>
    <row r="197" spans="1:40" s="467" customFormat="1" x14ac:dyDescent="0.2">
      <c r="A197" s="623"/>
      <c r="B197" s="554"/>
      <c r="H197" s="562"/>
      <c r="I197" s="562"/>
      <c r="J197" s="562"/>
      <c r="K197" s="562"/>
      <c r="N197" s="10"/>
      <c r="P197" s="10"/>
      <c r="Q197" s="10"/>
      <c r="R197" s="10"/>
      <c r="S197" s="156" t="str">
        <f>+IF(JULIO!S197=0,"",JULIO!S197)</f>
        <v>4100100-2</v>
      </c>
      <c r="T197" s="55" t="str">
        <f>+IF(JULIO!T197=0,"",JULIO!T197)</f>
        <v>Material Médico Quirúrgico</v>
      </c>
      <c r="U197" s="29">
        <f>+ENERO!U197</f>
        <v>45805235</v>
      </c>
      <c r="V197" s="17">
        <f>JULIO!V197+AGOSTO!AL197</f>
        <v>0</v>
      </c>
      <c r="W197" s="17">
        <f>JULIO!W197+AGOSTO!AM197</f>
        <v>0</v>
      </c>
      <c r="X197" s="20">
        <f t="shared" si="164"/>
        <v>45805235</v>
      </c>
      <c r="Y197" s="21">
        <f>JULIO!AA197</f>
        <v>28264185</v>
      </c>
      <c r="Z197" s="457">
        <v>4334006</v>
      </c>
      <c r="AA197" s="20">
        <f t="shared" si="165"/>
        <v>32598191</v>
      </c>
      <c r="AB197" s="21">
        <f>JULIO!AD197</f>
        <v>28264181</v>
      </c>
      <c r="AC197" s="457">
        <v>4334006</v>
      </c>
      <c r="AD197" s="20">
        <f t="shared" si="166"/>
        <v>32598187</v>
      </c>
      <c r="AE197" s="21">
        <f>JULIO!AG197</f>
        <v>15539546</v>
      </c>
      <c r="AF197" s="457">
        <v>1875779</v>
      </c>
      <c r="AG197" s="20">
        <f t="shared" si="167"/>
        <v>17415325</v>
      </c>
      <c r="AH197" s="21">
        <f t="shared" si="168"/>
        <v>13207044</v>
      </c>
      <c r="AI197" s="17">
        <f t="shared" si="169"/>
        <v>13207048</v>
      </c>
      <c r="AJ197" s="18">
        <f t="shared" si="170"/>
        <v>28389910</v>
      </c>
      <c r="AK197" s="10"/>
      <c r="AL197" s="455">
        <v>0</v>
      </c>
      <c r="AM197" s="458">
        <v>0</v>
      </c>
      <c r="AN197" s="10"/>
    </row>
    <row r="198" spans="1:40" s="467" customFormat="1" x14ac:dyDescent="0.2">
      <c r="A198" s="623"/>
      <c r="B198" s="554"/>
      <c r="H198" s="562"/>
      <c r="I198" s="562"/>
      <c r="J198" s="562"/>
      <c r="K198" s="562"/>
      <c r="N198" s="10"/>
      <c r="P198" s="10"/>
      <c r="Q198" s="10"/>
      <c r="R198" s="10"/>
      <c r="S198" s="156" t="str">
        <f>+IF(JULIO!S198=0,"",JULIO!S198)</f>
        <v>4100100-3</v>
      </c>
      <c r="T198" s="55" t="str">
        <f>+IF(JULIO!T198=0,"",JULIO!T198)</f>
        <v>Material de Laboratorio</v>
      </c>
      <c r="U198" s="29">
        <f>+ENERO!U198</f>
        <v>28507645</v>
      </c>
      <c r="V198" s="17">
        <f>JULIO!V198+AGOSTO!AL198</f>
        <v>0</v>
      </c>
      <c r="W198" s="17">
        <f>JULIO!W198+AGOSTO!AM198</f>
        <v>0</v>
      </c>
      <c r="X198" s="20">
        <f t="shared" si="164"/>
        <v>28507645</v>
      </c>
      <c r="Y198" s="21">
        <f>JULIO!AA198</f>
        <v>14547182</v>
      </c>
      <c r="Z198" s="457">
        <v>4238284</v>
      </c>
      <c r="AA198" s="20">
        <f t="shared" si="165"/>
        <v>18785466</v>
      </c>
      <c r="AB198" s="21">
        <f>JULIO!AD198</f>
        <v>14546882</v>
      </c>
      <c r="AC198" s="457">
        <v>4238284</v>
      </c>
      <c r="AD198" s="20">
        <f t="shared" si="166"/>
        <v>18785166</v>
      </c>
      <c r="AE198" s="21">
        <f>JULIO!AG198</f>
        <v>6321484</v>
      </c>
      <c r="AF198" s="457">
        <v>3035280</v>
      </c>
      <c r="AG198" s="20">
        <f t="shared" si="167"/>
        <v>9356764</v>
      </c>
      <c r="AH198" s="21">
        <f t="shared" si="168"/>
        <v>9722179</v>
      </c>
      <c r="AI198" s="17">
        <f t="shared" si="169"/>
        <v>9722479</v>
      </c>
      <c r="AJ198" s="18">
        <f t="shared" si="170"/>
        <v>19150881</v>
      </c>
      <c r="AK198" s="10"/>
      <c r="AL198" s="455">
        <v>0</v>
      </c>
      <c r="AM198" s="458">
        <v>0</v>
      </c>
      <c r="AN198" s="10"/>
    </row>
    <row r="199" spans="1:40" s="467" customFormat="1" x14ac:dyDescent="0.2">
      <c r="A199" s="623"/>
      <c r="B199" s="554"/>
      <c r="H199" s="562"/>
      <c r="I199" s="562"/>
      <c r="J199" s="562"/>
      <c r="K199" s="562"/>
      <c r="N199" s="10"/>
      <c r="P199" s="10"/>
      <c r="Q199" s="10"/>
      <c r="R199" s="10"/>
      <c r="S199" s="156" t="str">
        <f>+IF(JULIO!S199=0,"",JULIO!S199)</f>
        <v>4100100-4</v>
      </c>
      <c r="T199" s="55" t="str">
        <f>+IF(JULIO!T199=0,"",JULIO!T199)</f>
        <v>Material para Odontologia</v>
      </c>
      <c r="U199" s="29">
        <f>+ENERO!U199</f>
        <v>13598841</v>
      </c>
      <c r="V199" s="17">
        <f>JULIO!V199+AGOSTO!AL199</f>
        <v>0</v>
      </c>
      <c r="W199" s="17">
        <f>JULIO!W199+AGOSTO!AM199</f>
        <v>0</v>
      </c>
      <c r="X199" s="20">
        <f t="shared" si="164"/>
        <v>13598841</v>
      </c>
      <c r="Y199" s="21">
        <f>JULIO!AA199</f>
        <v>7595990</v>
      </c>
      <c r="Z199" s="457">
        <v>1088064</v>
      </c>
      <c r="AA199" s="20">
        <f t="shared" si="165"/>
        <v>8684054</v>
      </c>
      <c r="AB199" s="21">
        <f>JULIO!AD199</f>
        <v>7595990</v>
      </c>
      <c r="AC199" s="457">
        <v>1088064</v>
      </c>
      <c r="AD199" s="20">
        <f t="shared" si="166"/>
        <v>8684054</v>
      </c>
      <c r="AE199" s="21">
        <f>JULIO!AG199</f>
        <v>1272050</v>
      </c>
      <c r="AF199" s="457">
        <v>3705340</v>
      </c>
      <c r="AG199" s="20">
        <f t="shared" si="167"/>
        <v>4977390</v>
      </c>
      <c r="AH199" s="21">
        <f t="shared" si="168"/>
        <v>4914787</v>
      </c>
      <c r="AI199" s="17">
        <f t="shared" si="169"/>
        <v>4914787</v>
      </c>
      <c r="AJ199" s="18">
        <f t="shared" si="170"/>
        <v>8621451</v>
      </c>
      <c r="AK199" s="10"/>
      <c r="AL199" s="455">
        <v>0</v>
      </c>
      <c r="AM199" s="458">
        <v>0</v>
      </c>
      <c r="AN199" s="10"/>
    </row>
    <row r="200" spans="1:40" s="467" customFormat="1" x14ac:dyDescent="0.2">
      <c r="A200" s="623"/>
      <c r="B200" s="554"/>
      <c r="H200" s="562"/>
      <c r="I200" s="562"/>
      <c r="J200" s="562"/>
      <c r="K200" s="562"/>
      <c r="N200" s="10"/>
      <c r="P200" s="10"/>
      <c r="Q200" s="10"/>
      <c r="R200" s="10"/>
      <c r="S200" s="156" t="str">
        <f>+IF(JULIO!S200=0,"",JULIO!S200)</f>
        <v>4100100-5</v>
      </c>
      <c r="T200" s="55" t="str">
        <f>+IF(JULIO!T200=0,"",JULIO!T200)</f>
        <v>Material para Rayos X</v>
      </c>
      <c r="U200" s="29">
        <f>+ENERO!U200</f>
        <v>8957656</v>
      </c>
      <c r="V200" s="17">
        <f>JULIO!V200+AGOSTO!AL200</f>
        <v>0</v>
      </c>
      <c r="W200" s="17">
        <f>JULIO!W200+AGOSTO!AM200</f>
        <v>0</v>
      </c>
      <c r="X200" s="20">
        <f t="shared" si="164"/>
        <v>8957656</v>
      </c>
      <c r="Y200" s="21">
        <f>JULIO!AA200</f>
        <v>3907768</v>
      </c>
      <c r="Z200" s="457">
        <v>0</v>
      </c>
      <c r="AA200" s="20">
        <f t="shared" si="165"/>
        <v>3907768</v>
      </c>
      <c r="AB200" s="21">
        <f>JULIO!AD200</f>
        <v>3907768</v>
      </c>
      <c r="AC200" s="457">
        <v>0</v>
      </c>
      <c r="AD200" s="20">
        <f t="shared" si="166"/>
        <v>3907768</v>
      </c>
      <c r="AE200" s="21">
        <f>JULIO!AG200</f>
        <v>2315282</v>
      </c>
      <c r="AF200" s="457">
        <v>0</v>
      </c>
      <c r="AG200" s="20">
        <f t="shared" si="167"/>
        <v>2315282</v>
      </c>
      <c r="AH200" s="21">
        <f t="shared" si="168"/>
        <v>5049888</v>
      </c>
      <c r="AI200" s="17">
        <f t="shared" si="169"/>
        <v>5049888</v>
      </c>
      <c r="AJ200" s="18">
        <f t="shared" si="170"/>
        <v>6642374</v>
      </c>
      <c r="AK200" s="10"/>
      <c r="AL200" s="455">
        <v>0</v>
      </c>
      <c r="AM200" s="458">
        <v>0</v>
      </c>
      <c r="AN200" s="10"/>
    </row>
    <row r="201" spans="1:40" s="467" customFormat="1" x14ac:dyDescent="0.2">
      <c r="A201" s="623"/>
      <c r="B201" s="554"/>
      <c r="H201" s="562"/>
      <c r="I201" s="562"/>
      <c r="J201" s="562"/>
      <c r="K201" s="562"/>
      <c r="N201" s="10"/>
      <c r="P201" s="10"/>
      <c r="Q201" s="10"/>
      <c r="R201" s="10"/>
      <c r="S201" s="156" t="str">
        <f>+IF(JULIO!S201=0,"",JULIO!S201)</f>
        <v/>
      </c>
      <c r="T201" s="55" t="str">
        <f>+IF(JULIO!T201=0,"",JULIO!T201)</f>
        <v/>
      </c>
      <c r="U201" s="29">
        <f>+ENERO!U201</f>
        <v>0</v>
      </c>
      <c r="V201" s="17">
        <f>JULIO!V201+AGOSTO!AL201</f>
        <v>0</v>
      </c>
      <c r="W201" s="17">
        <f>JULIO!W201+AGOSTO!AM201</f>
        <v>0</v>
      </c>
      <c r="X201" s="20">
        <f t="shared" si="164"/>
        <v>0</v>
      </c>
      <c r="Y201" s="21">
        <f>JULIO!AA201</f>
        <v>0</v>
      </c>
      <c r="Z201" s="457">
        <v>0</v>
      </c>
      <c r="AA201" s="20">
        <f t="shared" si="165"/>
        <v>0</v>
      </c>
      <c r="AB201" s="21">
        <f>JULIO!AD201</f>
        <v>0</v>
      </c>
      <c r="AC201" s="457">
        <v>0</v>
      </c>
      <c r="AD201" s="20">
        <f t="shared" si="166"/>
        <v>0</v>
      </c>
      <c r="AE201" s="21">
        <f>JULIO!AG201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H202" s="562"/>
      <c r="I202" s="562"/>
      <c r="J202" s="562"/>
      <c r="K202" s="562"/>
      <c r="N202" s="10"/>
      <c r="P202" s="10"/>
      <c r="Q202" s="10"/>
      <c r="R202" s="10"/>
      <c r="S202" s="156" t="str">
        <f>+IF(JULIO!S202=0,"",JULIO!S202)</f>
        <v/>
      </c>
      <c r="T202" s="55" t="str">
        <f>+IF(JULIO!T202=0,"",JULIO!T202)</f>
        <v/>
      </c>
      <c r="U202" s="29">
        <f>+ENERO!U202</f>
        <v>0</v>
      </c>
      <c r="V202" s="17">
        <f>JULIO!V202+AGOSTO!AL202</f>
        <v>0</v>
      </c>
      <c r="W202" s="17">
        <f>JULIO!W202+AGOSTO!AM202</f>
        <v>0</v>
      </c>
      <c r="X202" s="20">
        <f t="shared" si="164"/>
        <v>0</v>
      </c>
      <c r="Y202" s="21">
        <f>JULIO!AA202</f>
        <v>0</v>
      </c>
      <c r="Z202" s="457">
        <v>0</v>
      </c>
      <c r="AA202" s="20">
        <f t="shared" si="165"/>
        <v>0</v>
      </c>
      <c r="AB202" s="21">
        <f>JULIO!AD202</f>
        <v>0</v>
      </c>
      <c r="AC202" s="457">
        <v>0</v>
      </c>
      <c r="AD202" s="20">
        <f t="shared" si="166"/>
        <v>0</v>
      </c>
      <c r="AE202" s="21">
        <f>JULIO!AG202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H203" s="562"/>
      <c r="I203" s="562"/>
      <c r="J203" s="562"/>
      <c r="K203" s="562"/>
      <c r="N203" s="10"/>
      <c r="P203" s="10"/>
      <c r="Q203" s="10"/>
      <c r="R203" s="10"/>
      <c r="S203" s="155">
        <f>+IF(JULIO!S203=0,"",JULIO!S203)</f>
        <v>4100200</v>
      </c>
      <c r="T203" s="159" t="str">
        <f>+IF(JULIO!T203=0,"",JULIO!T203)</f>
        <v>Gastos Complementarios e Intermedios</v>
      </c>
      <c r="U203" s="29">
        <f t="shared" ref="U203:AJ203" si="171">U204</f>
        <v>28768499</v>
      </c>
      <c r="V203" s="17">
        <f t="shared" si="171"/>
        <v>0</v>
      </c>
      <c r="W203" s="17">
        <f t="shared" si="171"/>
        <v>0</v>
      </c>
      <c r="X203" s="20">
        <f t="shared" si="171"/>
        <v>28768499</v>
      </c>
      <c r="Y203" s="21">
        <f t="shared" si="171"/>
        <v>11056349</v>
      </c>
      <c r="Z203" s="169">
        <f t="shared" si="171"/>
        <v>1170381</v>
      </c>
      <c r="AA203" s="20">
        <f t="shared" si="171"/>
        <v>12226730</v>
      </c>
      <c r="AB203" s="21">
        <f t="shared" si="171"/>
        <v>11056349</v>
      </c>
      <c r="AC203" s="169">
        <f t="shared" si="171"/>
        <v>1170381</v>
      </c>
      <c r="AD203" s="20">
        <f t="shared" si="171"/>
        <v>12226730</v>
      </c>
      <c r="AE203" s="21">
        <f t="shared" si="171"/>
        <v>9933101</v>
      </c>
      <c r="AF203" s="169">
        <f t="shared" si="171"/>
        <v>975248</v>
      </c>
      <c r="AG203" s="20">
        <f t="shared" si="171"/>
        <v>10908349</v>
      </c>
      <c r="AH203" s="21">
        <f t="shared" si="171"/>
        <v>16541769</v>
      </c>
      <c r="AI203" s="17">
        <f t="shared" si="171"/>
        <v>16541769</v>
      </c>
      <c r="AJ203" s="18">
        <f t="shared" si="171"/>
        <v>17860150</v>
      </c>
      <c r="AK203" s="10"/>
      <c r="AL203" s="31">
        <f>AL204</f>
        <v>0</v>
      </c>
      <c r="AM203" s="28">
        <f>AM204</f>
        <v>0</v>
      </c>
      <c r="AN203" s="10"/>
    </row>
    <row r="204" spans="1:40" s="467" customFormat="1" x14ac:dyDescent="0.2">
      <c r="A204" s="623"/>
      <c r="B204" s="554"/>
      <c r="H204" s="562"/>
      <c r="I204" s="562"/>
      <c r="J204" s="562"/>
      <c r="K204" s="562"/>
      <c r="N204" s="10"/>
      <c r="P204" s="10"/>
      <c r="Q204" s="10"/>
      <c r="R204" s="10"/>
      <c r="S204" s="156" t="str">
        <f>+IF(JULIO!S204=0,"",JULIO!S204)</f>
        <v>4100200-1</v>
      </c>
      <c r="T204" s="55" t="str">
        <f>+IF(JULIO!T204=0,"",JULIO!T204)</f>
        <v>Alimentación</v>
      </c>
      <c r="U204" s="29">
        <f>+ENERO!U204</f>
        <v>28768499</v>
      </c>
      <c r="V204" s="17">
        <f>JULIO!V204+AGOSTO!AL204</f>
        <v>0</v>
      </c>
      <c r="W204" s="17">
        <f>JULIO!W204+AGOSTO!AM204</f>
        <v>0</v>
      </c>
      <c r="X204" s="20">
        <f>SUM(U204:W204)</f>
        <v>28768499</v>
      </c>
      <c r="Y204" s="21">
        <f>JULIO!AA204</f>
        <v>11056349</v>
      </c>
      <c r="Z204" s="457">
        <v>1170381</v>
      </c>
      <c r="AA204" s="20">
        <f>SUM(Y204:Z204)</f>
        <v>12226730</v>
      </c>
      <c r="AB204" s="21">
        <f>JULIO!AD204</f>
        <v>11056349</v>
      </c>
      <c r="AC204" s="457">
        <v>1170381</v>
      </c>
      <c r="AD204" s="20">
        <f>SUM(AB204:AC204)</f>
        <v>12226730</v>
      </c>
      <c r="AE204" s="21">
        <f>JULIO!AG204</f>
        <v>9933101</v>
      </c>
      <c r="AF204" s="457">
        <v>975248</v>
      </c>
      <c r="AG204" s="20">
        <f>SUM(AE204:AF204)</f>
        <v>10908349</v>
      </c>
      <c r="AH204" s="21">
        <f>X204-AA204</f>
        <v>16541769</v>
      </c>
      <c r="AI204" s="17">
        <f>X204-AD204</f>
        <v>16541769</v>
      </c>
      <c r="AJ204" s="18">
        <f>X204-AG204</f>
        <v>17860150</v>
      </c>
      <c r="AK204" s="10"/>
      <c r="AL204" s="455">
        <v>0</v>
      </c>
      <c r="AM204" s="458">
        <v>0</v>
      </c>
      <c r="AN204" s="10"/>
    </row>
    <row r="205" spans="1:40" s="467" customFormat="1" ht="13.5" thickBot="1" x14ac:dyDescent="0.25">
      <c r="A205" s="623"/>
      <c r="B205" s="554"/>
      <c r="H205" s="562"/>
      <c r="I205" s="562"/>
      <c r="J205" s="562"/>
      <c r="K205" s="562"/>
      <c r="N205" s="10"/>
      <c r="P205" s="10"/>
      <c r="Q205" s="10"/>
      <c r="R205" s="10"/>
      <c r="S205" s="624">
        <f>+IF(JULIO!S205=0,"",JULIO!S205)</f>
        <v>4199999</v>
      </c>
      <c r="T205" s="625" t="str">
        <f>+IF(JULIO!T205=0,"",JULIO!T205)</f>
        <v>Vigencias Anteriores</v>
      </c>
      <c r="U205" s="160">
        <f>+ENERO!U205</f>
        <v>45000000</v>
      </c>
      <c r="V205" s="143">
        <f>JULIO!V205+AGOSTO!AL205</f>
        <v>15217291</v>
      </c>
      <c r="W205" s="143">
        <f>JULIO!W205+AGOSTO!AM205</f>
        <v>0</v>
      </c>
      <c r="X205" s="149">
        <f>SUM(U205:W205)</f>
        <v>60217291</v>
      </c>
      <c r="Y205" s="147">
        <f>JULIO!AA205</f>
        <v>60217291</v>
      </c>
      <c r="Z205" s="475">
        <v>0</v>
      </c>
      <c r="AA205" s="149">
        <f>SUM(Y205:Z205)</f>
        <v>60217291</v>
      </c>
      <c r="AB205" s="147">
        <f>JULIO!AD205</f>
        <v>60217291</v>
      </c>
      <c r="AC205" s="475">
        <v>0</v>
      </c>
      <c r="AD205" s="149">
        <f>SUM(AB205:AC205)</f>
        <v>60217291</v>
      </c>
      <c r="AE205" s="147">
        <f>JULIO!AG205</f>
        <v>60217291</v>
      </c>
      <c r="AF205" s="475">
        <v>0</v>
      </c>
      <c r="AG205" s="149">
        <f>SUM(AE205:AF205)</f>
        <v>60217291</v>
      </c>
      <c r="AH205" s="147">
        <f>X205-AA205</f>
        <v>0</v>
      </c>
      <c r="AI205" s="143">
        <f>X205-AD205</f>
        <v>0</v>
      </c>
      <c r="AJ205" s="148">
        <f>X205-AG205</f>
        <v>0</v>
      </c>
      <c r="AK205" s="10"/>
      <c r="AL205" s="471">
        <v>0</v>
      </c>
      <c r="AM205" s="476">
        <v>0</v>
      </c>
      <c r="AN205" s="10"/>
    </row>
    <row r="206" spans="1:40" s="467" customFormat="1" ht="15.75" x14ac:dyDescent="0.2">
      <c r="A206" s="623"/>
      <c r="B206" s="554"/>
      <c r="H206" s="562"/>
      <c r="I206" s="562"/>
      <c r="J206" s="562"/>
      <c r="K206" s="562"/>
      <c r="N206" s="10"/>
      <c r="P206" s="10"/>
      <c r="Q206" s="10"/>
      <c r="R206" s="10"/>
      <c r="S206" s="627" t="str">
        <f>+IF(JULIO!S206=0,"",JULIO!S206)</f>
        <v/>
      </c>
      <c r="T206" s="628" t="str">
        <f>+IF(JULIO!T206=0,"",JULIO!T206)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H207" s="562"/>
      <c r="I207" s="562"/>
      <c r="J207" s="562"/>
      <c r="K207" s="562"/>
      <c r="N207" s="10"/>
      <c r="P207" s="10"/>
      <c r="Q207" s="10"/>
      <c r="R207" s="10"/>
      <c r="S207" s="654" t="str">
        <f>+IF(JULIO!S207=0,"",JULIO!S207)</f>
        <v>B</v>
      </c>
      <c r="T207" s="655" t="str">
        <f>+IF(JULIO!T207=0,"",JULIO!T207)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H208" s="562"/>
      <c r="I208" s="562"/>
      <c r="J208" s="562"/>
      <c r="K208" s="562"/>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H209" s="562"/>
      <c r="I209" s="562"/>
      <c r="J209" s="562"/>
      <c r="K209" s="562"/>
      <c r="N209" s="10"/>
      <c r="P209" s="10"/>
      <c r="Q209" s="10"/>
      <c r="R209" s="10"/>
      <c r="S209" s="469">
        <f>+IF(JULIO!S209=0,"",JULIO!S209)</f>
        <v>5000000</v>
      </c>
      <c r="T209" s="469" t="str">
        <f>+IF(JULIO!T209=0,"",JULIO!T209)</f>
        <v>GASTOS DE COMERCIALIZACION</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H210" s="562"/>
      <c r="I210" s="562"/>
      <c r="J210" s="562"/>
      <c r="K210" s="562"/>
      <c r="N210" s="10"/>
      <c r="P210" s="10"/>
      <c r="Q210" s="10"/>
      <c r="R210" s="10"/>
      <c r="S210" s="34">
        <f>+IF(JULIO!S210=0,"",JULIO!S210)</f>
        <v>5100000</v>
      </c>
      <c r="T210" s="158" t="str">
        <f>+IF(JULIO!T210=0,"",JULIO!T210)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H211" s="562"/>
      <c r="I211" s="562"/>
      <c r="J211" s="562"/>
      <c r="K211" s="562"/>
      <c r="N211" s="10"/>
      <c r="P211" s="10"/>
      <c r="Q211" s="10"/>
      <c r="R211" s="10"/>
      <c r="S211" s="155">
        <f>+IF(JULIO!S211=0,"",JULIO!S211)</f>
        <v>5100100</v>
      </c>
      <c r="T211" s="159" t="str">
        <f>+IF(JULIO!T211=0,"",JULIO!T211)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H212" s="562"/>
      <c r="I212" s="562"/>
      <c r="J212" s="562"/>
      <c r="K212" s="562"/>
      <c r="N212" s="10"/>
      <c r="P212" s="10"/>
      <c r="Q212" s="10"/>
      <c r="R212" s="10"/>
      <c r="S212" s="156" t="str">
        <f>+IF(JULIO!S212=0,"",JULIO!S212)</f>
        <v>5100100-1</v>
      </c>
      <c r="T212" s="55" t="str">
        <f>+IF(JULIO!T212=0,"",JULIO!T212)</f>
        <v>Productos Farmaceuticos</v>
      </c>
      <c r="U212" s="29">
        <f>+ENERO!U212</f>
        <v>0</v>
      </c>
      <c r="V212" s="17">
        <f>JULIO!V212+AGOSTO!AL212</f>
        <v>0</v>
      </c>
      <c r="W212" s="17">
        <f>JULIO!W212+AGOSTO!AM212</f>
        <v>0</v>
      </c>
      <c r="X212" s="20">
        <f t="shared" ref="X212:X218" si="176">SUM(U212:W212)</f>
        <v>0</v>
      </c>
      <c r="Y212" s="21">
        <f>JULIO!AA212</f>
        <v>0</v>
      </c>
      <c r="Z212" s="457">
        <v>0</v>
      </c>
      <c r="AA212" s="20">
        <f t="shared" ref="AA212:AA218" si="177">SUM(Y212:Z212)</f>
        <v>0</v>
      </c>
      <c r="AB212" s="21">
        <f>JULIO!AD212</f>
        <v>0</v>
      </c>
      <c r="AC212" s="457">
        <v>0</v>
      </c>
      <c r="AD212" s="20">
        <f t="shared" ref="AD212:AD218" si="178">SUM(AB212:AC212)</f>
        <v>0</v>
      </c>
      <c r="AE212" s="21">
        <f>JULIO!AG212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H213" s="562"/>
      <c r="I213" s="562"/>
      <c r="J213" s="562"/>
      <c r="K213" s="562"/>
      <c r="N213" s="10"/>
      <c r="P213" s="10"/>
      <c r="Q213" s="10"/>
      <c r="R213" s="10"/>
      <c r="S213" s="156" t="str">
        <f>+IF(JULIO!S213=0,"",JULIO!S213)</f>
        <v>5100100-2</v>
      </c>
      <c r="T213" s="55" t="str">
        <f>+IF(JULIO!T213=0,"",JULIO!T213)</f>
        <v>Material Médico Quirúrgico</v>
      </c>
      <c r="U213" s="29">
        <f>+ENERO!U213</f>
        <v>0</v>
      </c>
      <c r="V213" s="17">
        <f>JULIO!V213+AGOSTO!AL213</f>
        <v>0</v>
      </c>
      <c r="W213" s="17">
        <f>JULIO!W213+AGOSTO!AM213</f>
        <v>0</v>
      </c>
      <c r="X213" s="20">
        <f t="shared" si="176"/>
        <v>0</v>
      </c>
      <c r="Y213" s="21">
        <f>JULIO!AA213</f>
        <v>0</v>
      </c>
      <c r="Z213" s="457">
        <v>0</v>
      </c>
      <c r="AA213" s="20">
        <f t="shared" si="177"/>
        <v>0</v>
      </c>
      <c r="AB213" s="21">
        <f>JULIO!AD213</f>
        <v>0</v>
      </c>
      <c r="AC213" s="457">
        <v>0</v>
      </c>
      <c r="AD213" s="20">
        <f t="shared" si="178"/>
        <v>0</v>
      </c>
      <c r="AE213" s="21">
        <f>JULIO!AG213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H214" s="562"/>
      <c r="I214" s="562"/>
      <c r="J214" s="562"/>
      <c r="K214" s="562"/>
      <c r="N214" s="10"/>
      <c r="P214" s="10"/>
      <c r="Q214" s="10"/>
      <c r="R214" s="10"/>
      <c r="S214" s="156" t="str">
        <f>+IF(JULIO!S214=0,"",JULIO!S214)</f>
        <v>5100100-3</v>
      </c>
      <c r="T214" s="55" t="str">
        <f>+IF(JULIO!T214=0,"",JULIO!T214)</f>
        <v>Material de Laboratorio</v>
      </c>
      <c r="U214" s="29">
        <f>+ENERO!U214</f>
        <v>0</v>
      </c>
      <c r="V214" s="17">
        <f>JULIO!V214+AGOSTO!AL214</f>
        <v>0</v>
      </c>
      <c r="W214" s="17">
        <f>JULIO!W214+AGOSTO!AM214</f>
        <v>0</v>
      </c>
      <c r="X214" s="20">
        <f t="shared" si="176"/>
        <v>0</v>
      </c>
      <c r="Y214" s="21">
        <f>JULIO!AA214</f>
        <v>0</v>
      </c>
      <c r="Z214" s="457">
        <v>0</v>
      </c>
      <c r="AA214" s="20">
        <f t="shared" si="177"/>
        <v>0</v>
      </c>
      <c r="AB214" s="21">
        <f>JULIO!AD214</f>
        <v>0</v>
      </c>
      <c r="AC214" s="457">
        <v>0</v>
      </c>
      <c r="AD214" s="20">
        <f t="shared" si="178"/>
        <v>0</v>
      </c>
      <c r="AE214" s="21">
        <f>JULIO!AG214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H215" s="562"/>
      <c r="I215" s="562"/>
      <c r="J215" s="562"/>
      <c r="K215" s="562"/>
      <c r="N215" s="10"/>
      <c r="P215" s="10"/>
      <c r="Q215" s="10"/>
      <c r="R215" s="10"/>
      <c r="S215" s="156" t="str">
        <f>+IF(JULIO!S215=0,"",JULIO!S215)</f>
        <v>5100100-4</v>
      </c>
      <c r="T215" s="55" t="str">
        <f>+IF(JULIO!T215=0,"",JULIO!T215)</f>
        <v>Material para Odontologia</v>
      </c>
      <c r="U215" s="29">
        <f>+ENERO!U215</f>
        <v>0</v>
      </c>
      <c r="V215" s="17">
        <f>JULIO!V215+AGOSTO!AL215</f>
        <v>0</v>
      </c>
      <c r="W215" s="17">
        <f>JULIO!W215+AGOSTO!AM215</f>
        <v>0</v>
      </c>
      <c r="X215" s="20">
        <f t="shared" si="176"/>
        <v>0</v>
      </c>
      <c r="Y215" s="21">
        <f>JULIO!AA215</f>
        <v>0</v>
      </c>
      <c r="Z215" s="457">
        <v>0</v>
      </c>
      <c r="AA215" s="20">
        <f t="shared" si="177"/>
        <v>0</v>
      </c>
      <c r="AB215" s="21">
        <f>JULIO!AD215</f>
        <v>0</v>
      </c>
      <c r="AC215" s="457">
        <v>0</v>
      </c>
      <c r="AD215" s="20">
        <f t="shared" si="178"/>
        <v>0</v>
      </c>
      <c r="AE215" s="21">
        <f>JULIO!AG215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H216" s="562"/>
      <c r="I216" s="562"/>
      <c r="J216" s="562"/>
      <c r="K216" s="562"/>
      <c r="N216" s="10"/>
      <c r="P216" s="10"/>
      <c r="Q216" s="10"/>
      <c r="R216" s="10"/>
      <c r="S216" s="156" t="str">
        <f>+IF(JULIO!S216=0,"",JULIO!S216)</f>
        <v>5100100-5</v>
      </c>
      <c r="T216" s="55" t="str">
        <f>+IF(JULIO!T216=0,"",JULIO!T216)</f>
        <v>Material para Rayos X</v>
      </c>
      <c r="U216" s="29">
        <f>+ENERO!U216</f>
        <v>0</v>
      </c>
      <c r="V216" s="17">
        <f>JULIO!V216+AGOSTO!AL216</f>
        <v>0</v>
      </c>
      <c r="W216" s="17">
        <f>JULIO!W216+AGOSTO!AM216</f>
        <v>0</v>
      </c>
      <c r="X216" s="20">
        <f t="shared" si="176"/>
        <v>0</v>
      </c>
      <c r="Y216" s="21">
        <f>JULIO!AA216</f>
        <v>0</v>
      </c>
      <c r="Z216" s="457">
        <v>0</v>
      </c>
      <c r="AA216" s="20">
        <f t="shared" si="177"/>
        <v>0</v>
      </c>
      <c r="AB216" s="21">
        <f>JULIO!AD216</f>
        <v>0</v>
      </c>
      <c r="AC216" s="457">
        <v>0</v>
      </c>
      <c r="AD216" s="20">
        <f t="shared" si="178"/>
        <v>0</v>
      </c>
      <c r="AE216" s="21">
        <f>JULIO!AG216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H217" s="562"/>
      <c r="I217" s="562"/>
      <c r="J217" s="562"/>
      <c r="K217" s="562"/>
      <c r="N217" s="10"/>
      <c r="P217" s="10"/>
      <c r="Q217" s="10"/>
      <c r="R217" s="10"/>
      <c r="S217" s="156" t="str">
        <f>+IF(JULIO!S217=0,"",JULIO!S217)</f>
        <v>5100100-6</v>
      </c>
      <c r="T217" s="55" t="str">
        <f>+IF(JULIO!T217=0,"",JULIO!T217)</f>
        <v>Material aseo personal, etc.</v>
      </c>
      <c r="U217" s="29">
        <f>+ENERO!U217</f>
        <v>0</v>
      </c>
      <c r="V217" s="17">
        <f>JULIO!V217+AGOSTO!AL217</f>
        <v>0</v>
      </c>
      <c r="W217" s="17">
        <f>JULIO!W217+AGOSTO!AM217</f>
        <v>0</v>
      </c>
      <c r="X217" s="20">
        <f t="shared" si="176"/>
        <v>0</v>
      </c>
      <c r="Y217" s="21">
        <f>JULIO!AA217</f>
        <v>0</v>
      </c>
      <c r="Z217" s="457">
        <v>0</v>
      </c>
      <c r="AA217" s="20">
        <f t="shared" si="177"/>
        <v>0</v>
      </c>
      <c r="AB217" s="21">
        <f>JULIO!AD217</f>
        <v>0</v>
      </c>
      <c r="AC217" s="457">
        <v>0</v>
      </c>
      <c r="AD217" s="20">
        <f t="shared" si="178"/>
        <v>0</v>
      </c>
      <c r="AE217" s="21">
        <f>JULIO!AG217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H218" s="562"/>
      <c r="I218" s="562"/>
      <c r="J218" s="562"/>
      <c r="K218" s="562"/>
      <c r="N218" s="10"/>
      <c r="P218" s="10"/>
      <c r="Q218" s="10"/>
      <c r="R218" s="10"/>
      <c r="S218" s="657">
        <f>+IF(JULIO!S218=0,"",JULIO!S218)</f>
        <v>5199999</v>
      </c>
      <c r="T218" s="658" t="str">
        <f>+IF(JULIO!T218=0,"",JULIO!T218)</f>
        <v>Vigencias Anteriores</v>
      </c>
      <c r="U218" s="160">
        <f>+ENERO!U218</f>
        <v>0</v>
      </c>
      <c r="V218" s="143">
        <f>JULIO!V218+AGOSTO!AL218</f>
        <v>0</v>
      </c>
      <c r="W218" s="143">
        <f>JULIO!W218+AGOSTO!AM218</f>
        <v>0</v>
      </c>
      <c r="X218" s="149">
        <f t="shared" si="176"/>
        <v>0</v>
      </c>
      <c r="Y218" s="147">
        <f>JULIO!AA218</f>
        <v>0</v>
      </c>
      <c r="Z218" s="475">
        <v>0</v>
      </c>
      <c r="AA218" s="149">
        <f t="shared" si="177"/>
        <v>0</v>
      </c>
      <c r="AB218" s="147">
        <f>JULIO!AD218</f>
        <v>0</v>
      </c>
      <c r="AC218" s="475">
        <v>0</v>
      </c>
      <c r="AD218" s="149">
        <f t="shared" si="178"/>
        <v>0</v>
      </c>
      <c r="AE218" s="147">
        <f>JULIO!AG218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H219" s="562"/>
      <c r="I219" s="562"/>
      <c r="J219" s="562"/>
      <c r="K219" s="562"/>
      <c r="N219" s="10"/>
      <c r="P219" s="10"/>
      <c r="Q219" s="10"/>
      <c r="R219" s="10"/>
      <c r="S219" s="643" t="str">
        <f>+IF(JULIO!S219=0,"",JULIO!S219)</f>
        <v/>
      </c>
      <c r="T219" s="357" t="str">
        <f>+IF(JULIO!T219=0,"",JULIO!T219)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H220" s="562"/>
      <c r="I220" s="562"/>
      <c r="J220" s="562"/>
      <c r="K220" s="562"/>
      <c r="N220" s="10"/>
      <c r="P220" s="10"/>
      <c r="Q220" s="10"/>
      <c r="R220" s="10"/>
      <c r="S220" s="438" t="str">
        <f>+IF(JULIO!S220=0,"",JULIO!S220)</f>
        <v>C</v>
      </c>
      <c r="T220" s="439" t="str">
        <f>+IF(JULIO!T220=0,"",JULIO!T220)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H221" s="562"/>
      <c r="I221" s="562"/>
      <c r="J221" s="562"/>
      <c r="K221" s="562"/>
      <c r="N221" s="10"/>
      <c r="P221" s="10"/>
      <c r="Q221" s="10"/>
      <c r="R221" s="10"/>
      <c r="S221" s="448" t="str">
        <f>+IF(JULIO!S221=0,"",JULIO!S221)</f>
        <v/>
      </c>
      <c r="T221" s="649" t="str">
        <f>+IF(JULIO!T221=0,"",JULIO!T221)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H222" s="562"/>
      <c r="I222" s="562"/>
      <c r="J222" s="562"/>
      <c r="K222" s="562"/>
      <c r="N222" s="10"/>
      <c r="P222" s="10"/>
      <c r="Q222" s="10"/>
      <c r="R222" s="10"/>
      <c r="S222" s="34">
        <f>+IF(JULIO!S222=0,"",JULIO!S222)</f>
        <v>7001000</v>
      </c>
      <c r="T222" s="158" t="str">
        <f>+IF(JULIO!T222=0,"",JULIO!T222)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H223" s="562"/>
      <c r="I223" s="562"/>
      <c r="J223" s="562"/>
      <c r="K223" s="562"/>
      <c r="N223" s="10"/>
      <c r="P223" s="10"/>
      <c r="Q223" s="10"/>
      <c r="R223" s="10"/>
      <c r="S223" s="155">
        <f>+IF(JULIO!S223=0,"",JULIO!S223)</f>
        <v>7001100</v>
      </c>
      <c r="T223" s="159" t="str">
        <f>+IF(JULIO!T223=0,"",JULIO!T223)</f>
        <v>Amortización deuda Pública Interna</v>
      </c>
      <c r="U223" s="29">
        <f>+ENERO!U223</f>
        <v>0</v>
      </c>
      <c r="V223" s="17">
        <f>JULIO!V223+AGOSTO!AL223</f>
        <v>0</v>
      </c>
      <c r="W223" s="17">
        <f>JULIO!W223+AGOSTO!AM223</f>
        <v>0</v>
      </c>
      <c r="X223" s="20">
        <f>SUM(U223:W223)</f>
        <v>0</v>
      </c>
      <c r="Y223" s="21">
        <f>JULIO!AA223</f>
        <v>0</v>
      </c>
      <c r="Z223" s="457">
        <v>0</v>
      </c>
      <c r="AA223" s="20">
        <f>SUM(Y223:Z223)</f>
        <v>0</v>
      </c>
      <c r="AB223" s="21">
        <f>JULIO!AD223</f>
        <v>0</v>
      </c>
      <c r="AC223" s="457">
        <v>0</v>
      </c>
      <c r="AD223" s="20">
        <f>SUM(AB223:AC223)</f>
        <v>0</v>
      </c>
      <c r="AE223" s="21">
        <f>JULIO!AG223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H224" s="562"/>
      <c r="I224" s="562"/>
      <c r="J224" s="562"/>
      <c r="K224" s="562"/>
      <c r="N224" s="10"/>
      <c r="P224" s="10"/>
      <c r="Q224" s="10"/>
      <c r="R224" s="10"/>
      <c r="S224" s="155">
        <f>+IF(JULIO!S224=0,"",JULIO!S224)</f>
        <v>7001200</v>
      </c>
      <c r="T224" s="159" t="str">
        <f>+IF(JULIO!T224=0,"",JULIO!T224)</f>
        <v>Intereses Comisiones y gastos de la Deuda Pública</v>
      </c>
      <c r="U224" s="29">
        <f>+ENERO!U224</f>
        <v>0</v>
      </c>
      <c r="V224" s="17">
        <f>JULIO!V224+AGOSTO!AL224</f>
        <v>0</v>
      </c>
      <c r="W224" s="17">
        <f>JULIO!W224+AGOSTO!AM224</f>
        <v>0</v>
      </c>
      <c r="X224" s="20">
        <f>SUM(U224:W224)</f>
        <v>0</v>
      </c>
      <c r="Y224" s="21">
        <f>JULIO!AA224</f>
        <v>0</v>
      </c>
      <c r="Z224" s="457">
        <v>0</v>
      </c>
      <c r="AA224" s="20">
        <f>SUM(Y224:Z224)</f>
        <v>0</v>
      </c>
      <c r="AB224" s="21">
        <f>JULIO!AD224</f>
        <v>0</v>
      </c>
      <c r="AC224" s="457">
        <v>0</v>
      </c>
      <c r="AD224" s="20">
        <f>SUM(AB224:AC224)</f>
        <v>0</v>
      </c>
      <c r="AE224" s="21">
        <f>JULIO!AG224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H225" s="562"/>
      <c r="I225" s="562"/>
      <c r="J225" s="562"/>
      <c r="K225" s="562"/>
      <c r="N225" s="10"/>
      <c r="P225" s="10"/>
      <c r="Q225" s="10"/>
      <c r="R225" s="10"/>
      <c r="S225" s="155">
        <f>+IF(JULIO!S225=0,"",JULIO!S225)</f>
        <v>7001999</v>
      </c>
      <c r="T225" s="159" t="str">
        <f>+IF(JULIO!T225=0,"",JULIO!T225)</f>
        <v>Vigencias Anteriores</v>
      </c>
      <c r="U225" s="29">
        <f>+ENERO!U225</f>
        <v>0</v>
      </c>
      <c r="V225" s="17">
        <f>JULIO!V225+AGOSTO!AL225</f>
        <v>0</v>
      </c>
      <c r="W225" s="17">
        <f>JULIO!W225+AGOSTO!AM225</f>
        <v>0</v>
      </c>
      <c r="X225" s="20">
        <f>SUM(U225:W225)</f>
        <v>0</v>
      </c>
      <c r="Y225" s="21">
        <f>JULIO!AA225</f>
        <v>0</v>
      </c>
      <c r="Z225" s="457">
        <v>0</v>
      </c>
      <c r="AA225" s="20">
        <f>SUM(Y225:Z225)</f>
        <v>0</v>
      </c>
      <c r="AB225" s="21">
        <f>JULIO!AD225</f>
        <v>0</v>
      </c>
      <c r="AC225" s="457">
        <v>0</v>
      </c>
      <c r="AD225" s="20">
        <f>SUM(AB225:AC225)</f>
        <v>0</v>
      </c>
      <c r="AE225" s="21">
        <f>JULIO!AG225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H226" s="562"/>
      <c r="I226" s="562"/>
      <c r="J226" s="562"/>
      <c r="K226" s="562"/>
      <c r="N226" s="10"/>
      <c r="P226" s="10"/>
      <c r="Q226" s="10"/>
      <c r="R226" s="10"/>
      <c r="S226" s="448" t="str">
        <f>+IF(JULIO!S226=0,"",JULIO!S226)</f>
        <v/>
      </c>
      <c r="T226" s="649" t="str">
        <f>+IF(JULIO!T226=0,"",JULIO!T226)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H227" s="562"/>
      <c r="I227" s="562"/>
      <c r="J227" s="562"/>
      <c r="K227" s="562"/>
      <c r="N227" s="10"/>
      <c r="P227" s="10"/>
      <c r="Q227" s="10"/>
      <c r="R227" s="10"/>
      <c r="S227" s="34">
        <f>+IF(JULIO!S227=0,"",JULIO!S227)</f>
        <v>7002001</v>
      </c>
      <c r="T227" s="158" t="str">
        <f>+IF(JULIO!T227=0,"",JULIO!T227)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64" s="467" customFormat="1" x14ac:dyDescent="0.2">
      <c r="A228" s="623"/>
      <c r="B228" s="554"/>
      <c r="H228" s="562"/>
      <c r="I228" s="562"/>
      <c r="J228" s="562"/>
      <c r="K228" s="562"/>
      <c r="N228" s="10"/>
      <c r="P228" s="10"/>
      <c r="Q228" s="10"/>
      <c r="R228" s="10"/>
      <c r="S228" s="155">
        <f>+IF(JULIO!S228=0,"",JULIO!S228)</f>
        <v>7002100</v>
      </c>
      <c r="T228" s="159" t="str">
        <f>+IF(JULIO!T228=0,"",JULIO!T228)</f>
        <v>Amortización deuda Pública Externa</v>
      </c>
      <c r="U228" s="29">
        <f>+ENERO!U228</f>
        <v>0</v>
      </c>
      <c r="V228" s="17">
        <f>JULIO!V228+AGOSTO!AL228</f>
        <v>0</v>
      </c>
      <c r="W228" s="17">
        <f>JULIO!W228+AGOSTO!AM228</f>
        <v>0</v>
      </c>
      <c r="X228" s="20">
        <f>SUM(U228:W228)</f>
        <v>0</v>
      </c>
      <c r="Y228" s="21">
        <f>JULIO!AA228</f>
        <v>0</v>
      </c>
      <c r="Z228" s="457">
        <v>0</v>
      </c>
      <c r="AA228" s="20">
        <f>SUM(Y228:Z228)</f>
        <v>0</v>
      </c>
      <c r="AB228" s="21">
        <f>JULIO!AD228</f>
        <v>0</v>
      </c>
      <c r="AC228" s="457">
        <v>0</v>
      </c>
      <c r="AD228" s="20">
        <f>SUM(AB228:AC228)</f>
        <v>0</v>
      </c>
      <c r="AE228" s="21">
        <f>JULIO!AG228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H229" s="562"/>
      <c r="I229" s="562"/>
      <c r="J229" s="562"/>
      <c r="K229" s="562"/>
      <c r="N229" s="10"/>
      <c r="P229" s="10"/>
      <c r="Q229" s="10"/>
      <c r="R229" s="10"/>
      <c r="S229" s="155">
        <f>+IF(JULIO!S229=0,"",JULIO!S229)</f>
        <v>7002200</v>
      </c>
      <c r="T229" s="159" t="str">
        <f>+IF(JULIO!T229=0,"",JULIO!T229)</f>
        <v>Intereses Comisiones y gastos de la Deuda Pública</v>
      </c>
      <c r="U229" s="29">
        <f>+ENERO!U229</f>
        <v>0</v>
      </c>
      <c r="V229" s="17">
        <f>JULIO!V229+AGOSTO!AL229</f>
        <v>0</v>
      </c>
      <c r="W229" s="17">
        <f>JULIO!W229+AGOSTO!AM229</f>
        <v>0</v>
      </c>
      <c r="X229" s="20">
        <f>SUM(U229:W229)</f>
        <v>0</v>
      </c>
      <c r="Y229" s="21">
        <f>JULIO!AA229</f>
        <v>0</v>
      </c>
      <c r="Z229" s="457">
        <v>0</v>
      </c>
      <c r="AA229" s="20">
        <f>SUM(Y229:Z229)</f>
        <v>0</v>
      </c>
      <c r="AB229" s="21">
        <f>JULIO!AD229</f>
        <v>0</v>
      </c>
      <c r="AC229" s="457">
        <v>0</v>
      </c>
      <c r="AD229" s="20">
        <f>SUM(AB229:AC229)</f>
        <v>0</v>
      </c>
      <c r="AE229" s="21">
        <f>JULIO!AG229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H230" s="562"/>
      <c r="I230" s="562"/>
      <c r="J230" s="562"/>
      <c r="K230" s="562"/>
      <c r="N230" s="10"/>
      <c r="P230" s="10"/>
      <c r="Q230" s="10"/>
      <c r="R230" s="10"/>
      <c r="S230" s="624">
        <f>+IF(JULIO!S230=0,"",JULIO!S230)</f>
        <v>7002999</v>
      </c>
      <c r="T230" s="625" t="str">
        <f>+IF(JULIO!T230=0,"",JULIO!T230)</f>
        <v>Vigencias Anteriores</v>
      </c>
      <c r="U230" s="160">
        <f>+ENERO!U230</f>
        <v>0</v>
      </c>
      <c r="V230" s="143">
        <f>JULIO!V230+AGOSTO!AL230</f>
        <v>0</v>
      </c>
      <c r="W230" s="143">
        <f>JULIO!W230+AGOSTO!AM230</f>
        <v>0</v>
      </c>
      <c r="X230" s="149">
        <f>SUM(U230:W230)</f>
        <v>0</v>
      </c>
      <c r="Y230" s="147">
        <f>JULIO!AA230</f>
        <v>0</v>
      </c>
      <c r="Z230" s="475">
        <v>0</v>
      </c>
      <c r="AA230" s="149">
        <f>SUM(Y230:Z230)</f>
        <v>0</v>
      </c>
      <c r="AB230" s="147">
        <f>JULIO!AD230</f>
        <v>0</v>
      </c>
      <c r="AC230" s="475">
        <v>0</v>
      </c>
      <c r="AD230" s="149">
        <f>SUM(AB230:AC230)</f>
        <v>0</v>
      </c>
      <c r="AE230" s="147">
        <f>JULIO!AG230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H231" s="562"/>
      <c r="I231" s="562"/>
      <c r="J231" s="562"/>
      <c r="K231" s="562"/>
      <c r="N231" s="10"/>
      <c r="P231" s="10"/>
      <c r="Q231" s="10"/>
      <c r="R231" s="10"/>
      <c r="S231" s="627" t="str">
        <f>+IF(JULIO!S231=0,"",JULIO!S231)</f>
        <v/>
      </c>
      <c r="T231" s="628" t="str">
        <f>+IF(JULIO!T231=0,"",JULIO!T231)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H232" s="562"/>
      <c r="I232" s="562"/>
      <c r="J232" s="562"/>
      <c r="K232" s="562"/>
      <c r="N232" s="10"/>
      <c r="P232" s="10"/>
      <c r="Q232" s="10"/>
      <c r="R232" s="10"/>
      <c r="S232" s="654" t="str">
        <f>+IF(JULIO!S232=0,"",JULIO!S232)</f>
        <v>D</v>
      </c>
      <c r="T232" s="655" t="str">
        <f>+IF(JULIO!T232=0,"",JULIO!T232)</f>
        <v>INVERSION</v>
      </c>
      <c r="U232" s="589">
        <f t="shared" ref="U232:AJ232" si="186">U234</f>
        <v>121563100</v>
      </c>
      <c r="V232" s="590">
        <f t="shared" si="186"/>
        <v>-1563100</v>
      </c>
      <c r="W232" s="590">
        <f t="shared" si="186"/>
        <v>85410140</v>
      </c>
      <c r="X232" s="591">
        <f t="shared" si="186"/>
        <v>205410140</v>
      </c>
      <c r="Y232" s="464">
        <f t="shared" si="186"/>
        <v>130336875</v>
      </c>
      <c r="Z232" s="590">
        <f t="shared" si="186"/>
        <v>12254849</v>
      </c>
      <c r="AA232" s="591">
        <f t="shared" si="186"/>
        <v>142591724</v>
      </c>
      <c r="AB232" s="464">
        <f t="shared" si="186"/>
        <v>130335646</v>
      </c>
      <c r="AC232" s="590">
        <f t="shared" si="186"/>
        <v>12254849</v>
      </c>
      <c r="AD232" s="591">
        <f t="shared" si="186"/>
        <v>142590495</v>
      </c>
      <c r="AE232" s="464">
        <f t="shared" si="186"/>
        <v>111821724</v>
      </c>
      <c r="AF232" s="590">
        <f t="shared" si="186"/>
        <v>2136487</v>
      </c>
      <c r="AG232" s="591">
        <f t="shared" si="186"/>
        <v>113958211</v>
      </c>
      <c r="AH232" s="464">
        <f t="shared" si="186"/>
        <v>62818416</v>
      </c>
      <c r="AI232" s="590">
        <f t="shared" si="186"/>
        <v>62819645</v>
      </c>
      <c r="AJ232" s="465">
        <f t="shared" si="186"/>
        <v>91451929</v>
      </c>
      <c r="AK232" s="648"/>
      <c r="AL232" s="464">
        <f>AL234</f>
        <v>0</v>
      </c>
      <c r="AM232" s="465">
        <f>AM234</f>
        <v>0</v>
      </c>
      <c r="AN232" s="10"/>
    </row>
    <row r="233" spans="1:64" s="467" customFormat="1" ht="15.75" x14ac:dyDescent="0.2">
      <c r="A233" s="623"/>
      <c r="B233" s="554"/>
      <c r="H233" s="562"/>
      <c r="I233" s="562"/>
      <c r="J233" s="562"/>
      <c r="K233" s="562"/>
      <c r="N233" s="10"/>
      <c r="P233" s="10"/>
      <c r="Q233" s="10"/>
      <c r="R233" s="10"/>
      <c r="S233" s="448" t="str">
        <f>+IF(JULIO!S233=0,"",JULIO!S233)</f>
        <v/>
      </c>
      <c r="T233" s="649" t="str">
        <f>+IF(JULIO!T233=0,"",JULIO!T233)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H234" s="562"/>
      <c r="I234" s="562"/>
      <c r="J234" s="562"/>
      <c r="K234" s="562"/>
      <c r="N234" s="10"/>
      <c r="P234" s="10"/>
      <c r="Q234" s="10"/>
      <c r="R234" s="10"/>
      <c r="S234" s="34">
        <f>+IF(JULIO!S234=0,"",JULIO!S234)</f>
        <v>8000000</v>
      </c>
      <c r="T234" s="158" t="str">
        <f>+IF(JULIO!T234=0,"",JULIO!T234)</f>
        <v>Programas de Inversión</v>
      </c>
      <c r="U234" s="157">
        <f t="shared" ref="U234:AJ234" si="187">U235+U243</f>
        <v>121563100</v>
      </c>
      <c r="V234" s="144">
        <f t="shared" si="187"/>
        <v>-1563100</v>
      </c>
      <c r="W234" s="144">
        <f t="shared" si="187"/>
        <v>85410140</v>
      </c>
      <c r="X234" s="152">
        <f t="shared" si="187"/>
        <v>205410140</v>
      </c>
      <c r="Y234" s="151">
        <f t="shared" si="187"/>
        <v>130336875</v>
      </c>
      <c r="Z234" s="144">
        <f t="shared" si="187"/>
        <v>12254849</v>
      </c>
      <c r="AA234" s="152">
        <f t="shared" si="187"/>
        <v>142591724</v>
      </c>
      <c r="AB234" s="151">
        <f t="shared" si="187"/>
        <v>130335646</v>
      </c>
      <c r="AC234" s="144">
        <f t="shared" si="187"/>
        <v>12254849</v>
      </c>
      <c r="AD234" s="152">
        <f t="shared" si="187"/>
        <v>142590495</v>
      </c>
      <c r="AE234" s="151">
        <f t="shared" si="187"/>
        <v>111821724</v>
      </c>
      <c r="AF234" s="144">
        <f t="shared" si="187"/>
        <v>2136487</v>
      </c>
      <c r="AG234" s="152">
        <f t="shared" si="187"/>
        <v>113958211</v>
      </c>
      <c r="AH234" s="151">
        <f t="shared" si="187"/>
        <v>62818416</v>
      </c>
      <c r="AI234" s="144">
        <f t="shared" si="187"/>
        <v>62819645</v>
      </c>
      <c r="AJ234" s="153">
        <f t="shared" si="187"/>
        <v>91451929</v>
      </c>
      <c r="AK234" s="10"/>
      <c r="AL234" s="151">
        <f>AL235+AL243</f>
        <v>0</v>
      </c>
      <c r="AM234" s="153">
        <f>AM235+AM243</f>
        <v>0</v>
      </c>
      <c r="AN234" s="10"/>
    </row>
    <row r="235" spans="1:64" s="467" customFormat="1" x14ac:dyDescent="0.2">
      <c r="A235" s="623"/>
      <c r="B235" s="554"/>
      <c r="H235" s="562"/>
      <c r="I235" s="562"/>
      <c r="J235" s="562"/>
      <c r="K235" s="562"/>
      <c r="N235" s="10"/>
      <c r="P235" s="10"/>
      <c r="Q235" s="10"/>
      <c r="R235" s="10"/>
      <c r="S235" s="155">
        <f>+IF(JULIO!S235=0,"",JULIO!S235)</f>
        <v>8001000</v>
      </c>
      <c r="T235" s="159" t="str">
        <f>+IF(JULIO!T235=0,"",JULIO!T235)</f>
        <v>Formación Bruta del Capital</v>
      </c>
      <c r="U235" s="29">
        <f t="shared" ref="U235:AJ235" si="188">SUM(U236:U241)</f>
        <v>0</v>
      </c>
      <c r="V235" s="17">
        <f t="shared" si="188"/>
        <v>0</v>
      </c>
      <c r="W235" s="17">
        <f t="shared" si="188"/>
        <v>85410140</v>
      </c>
      <c r="X235" s="20">
        <f t="shared" si="188"/>
        <v>85410140</v>
      </c>
      <c r="Y235" s="21">
        <f t="shared" si="188"/>
        <v>33605927</v>
      </c>
      <c r="Z235" s="169">
        <f t="shared" si="188"/>
        <v>12254849</v>
      </c>
      <c r="AA235" s="20">
        <f t="shared" si="188"/>
        <v>45860776</v>
      </c>
      <c r="AB235" s="21">
        <f t="shared" si="188"/>
        <v>33604698</v>
      </c>
      <c r="AC235" s="169">
        <f t="shared" si="188"/>
        <v>12254849</v>
      </c>
      <c r="AD235" s="20">
        <f t="shared" si="188"/>
        <v>45859547</v>
      </c>
      <c r="AE235" s="21">
        <f t="shared" si="188"/>
        <v>21922264</v>
      </c>
      <c r="AF235" s="169">
        <f t="shared" si="188"/>
        <v>700000</v>
      </c>
      <c r="AG235" s="20">
        <f t="shared" si="188"/>
        <v>22622264</v>
      </c>
      <c r="AH235" s="21">
        <f t="shared" si="188"/>
        <v>39549364</v>
      </c>
      <c r="AI235" s="17">
        <f t="shared" si="188"/>
        <v>39550593</v>
      </c>
      <c r="AJ235" s="18">
        <f t="shared" si="188"/>
        <v>62787876</v>
      </c>
      <c r="AK235" s="10"/>
      <c r="AL235" s="31">
        <f>SUM(AL236:AL241)</f>
        <v>0</v>
      </c>
      <c r="AM235" s="28">
        <f>SUM(AM236:AM241)</f>
        <v>0</v>
      </c>
      <c r="AN235" s="10"/>
    </row>
    <row r="236" spans="1:64" s="467" customFormat="1" x14ac:dyDescent="0.2">
      <c r="A236" s="623"/>
      <c r="B236" s="554"/>
      <c r="H236" s="562"/>
      <c r="I236" s="562"/>
      <c r="J236" s="562"/>
      <c r="K236" s="562"/>
      <c r="N236" s="10"/>
      <c r="P236" s="10"/>
      <c r="Q236" s="10"/>
      <c r="R236" s="10"/>
      <c r="S236" s="156" t="str">
        <f>+IF(JULIO!S236=0,"",JULIO!S236)</f>
        <v>8001000-1</v>
      </c>
      <c r="T236" s="55" t="str">
        <f>+IF(JULIO!T236=0,"",JULIO!T236)</f>
        <v>Subprogr.Construc. Remodelac. Adecuación y Apliac.1</v>
      </c>
      <c r="U236" s="29">
        <f>+ENERO!U236</f>
        <v>0</v>
      </c>
      <c r="V236" s="17">
        <f>JULIO!V236+AGOSTO!AL236</f>
        <v>0</v>
      </c>
      <c r="W236" s="17">
        <f>JULIO!W236+AGOSTO!AM236</f>
        <v>85410140</v>
      </c>
      <c r="X236" s="20">
        <f t="shared" ref="X236:X241" si="189">SUM(U236:W236)</f>
        <v>85410140</v>
      </c>
      <c r="Y236" s="21">
        <f>JULIO!AA236</f>
        <v>33605927</v>
      </c>
      <c r="Z236" s="457">
        <v>12254849</v>
      </c>
      <c r="AA236" s="20">
        <f t="shared" ref="AA236:AA241" si="190">SUM(Y236:Z236)</f>
        <v>45860776</v>
      </c>
      <c r="AB236" s="21">
        <f>JULIO!AD236</f>
        <v>33604698</v>
      </c>
      <c r="AC236" s="457">
        <v>12254849</v>
      </c>
      <c r="AD236" s="20">
        <f t="shared" ref="AD236:AD241" si="191">SUM(AB236:AC236)</f>
        <v>45859547</v>
      </c>
      <c r="AE236" s="21">
        <f>JULIO!AG236</f>
        <v>21922264</v>
      </c>
      <c r="AF236" s="457">
        <v>700000</v>
      </c>
      <c r="AG236" s="20">
        <f t="shared" ref="AG236:AG241" si="192">SUM(AE236:AF236)</f>
        <v>22622264</v>
      </c>
      <c r="AH236" s="21">
        <f t="shared" ref="AH236:AH241" si="193">X236-AA236</f>
        <v>39549364</v>
      </c>
      <c r="AI236" s="17">
        <f t="shared" ref="AI236:AI241" si="194">X236-AD236</f>
        <v>39550593</v>
      </c>
      <c r="AJ236" s="18">
        <f t="shared" ref="AJ236:AJ241" si="195">X236-AG236</f>
        <v>62787876</v>
      </c>
      <c r="AK236" s="10"/>
      <c r="AL236" s="455">
        <v>0</v>
      </c>
      <c r="AM236" s="458">
        <v>0</v>
      </c>
      <c r="AN236" s="10"/>
    </row>
    <row r="237" spans="1:64" s="467" customFormat="1" x14ac:dyDescent="0.2">
      <c r="A237" s="623"/>
      <c r="B237" s="554"/>
      <c r="H237" s="562"/>
      <c r="I237" s="562"/>
      <c r="J237" s="562"/>
      <c r="K237" s="562"/>
      <c r="N237" s="10"/>
      <c r="P237" s="10"/>
      <c r="Q237" s="10"/>
      <c r="R237" s="10"/>
      <c r="S237" s="156" t="str">
        <f>+IF(JULIO!S237=0,"",JULIO!S237)</f>
        <v>8001000-2</v>
      </c>
      <c r="T237" s="55" t="str">
        <f>+IF(JULIO!T237=0,"",JULIO!T237)</f>
        <v>Subprogr.Construc. Remodelac. Adecuación y Apliac.2</v>
      </c>
      <c r="U237" s="29">
        <f>+ENERO!U237</f>
        <v>0</v>
      </c>
      <c r="V237" s="17">
        <f>JULIO!V237+AGOSTO!AL237</f>
        <v>0</v>
      </c>
      <c r="W237" s="17">
        <f>JULIO!W237+AGOSTO!AM237</f>
        <v>0</v>
      </c>
      <c r="X237" s="20">
        <f t="shared" si="189"/>
        <v>0</v>
      </c>
      <c r="Y237" s="21">
        <f>JULIO!AA237</f>
        <v>0</v>
      </c>
      <c r="Z237" s="457">
        <v>0</v>
      </c>
      <c r="AA237" s="20">
        <f t="shared" si="190"/>
        <v>0</v>
      </c>
      <c r="AB237" s="21">
        <f>JULIO!AD237</f>
        <v>0</v>
      </c>
      <c r="AC237" s="457">
        <v>0</v>
      </c>
      <c r="AD237" s="20">
        <f t="shared" si="191"/>
        <v>0</v>
      </c>
      <c r="AE237" s="21">
        <f>JULIO!AG237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x14ac:dyDescent="0.2">
      <c r="A238" s="623"/>
      <c r="B238" s="554"/>
      <c r="H238" s="562"/>
      <c r="I238" s="562"/>
      <c r="J238" s="562"/>
      <c r="K238" s="562"/>
      <c r="N238" s="10"/>
      <c r="P238" s="10"/>
      <c r="Q238" s="10"/>
      <c r="R238" s="10"/>
      <c r="S238" s="156" t="str">
        <f>+IF(JULIO!S238=0,"",JULIO!S238)</f>
        <v>8001000-3</v>
      </c>
      <c r="T238" s="55" t="str">
        <f>+IF(JULIO!T238=0,"",JULIO!T238)</f>
        <v>Subprogr.Construc. Remodelac. Adecuación y Apliac.3</v>
      </c>
      <c r="U238" s="29">
        <f>+ENERO!U238</f>
        <v>0</v>
      </c>
      <c r="V238" s="17">
        <f>JULIO!V238+AGOSTO!AL238</f>
        <v>0</v>
      </c>
      <c r="W238" s="17">
        <f>JULIO!W238+AGOSTO!AM238</f>
        <v>0</v>
      </c>
      <c r="X238" s="20">
        <f t="shared" si="189"/>
        <v>0</v>
      </c>
      <c r="Y238" s="21">
        <f>JULIO!AA238</f>
        <v>0</v>
      </c>
      <c r="Z238" s="457">
        <v>0</v>
      </c>
      <c r="AA238" s="20">
        <f t="shared" si="190"/>
        <v>0</v>
      </c>
      <c r="AB238" s="21">
        <f>JULIO!AD238</f>
        <v>0</v>
      </c>
      <c r="AC238" s="457">
        <v>0</v>
      </c>
      <c r="AD238" s="20">
        <f t="shared" si="191"/>
        <v>0</v>
      </c>
      <c r="AE238" s="21">
        <f>JULIO!AG238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x14ac:dyDescent="0.2">
      <c r="A239" s="623"/>
      <c r="B239" s="554"/>
      <c r="H239" s="562"/>
      <c r="I239" s="562"/>
      <c r="J239" s="562"/>
      <c r="K239" s="562"/>
      <c r="N239" s="10"/>
      <c r="P239" s="10"/>
      <c r="Q239" s="10"/>
      <c r="S239" s="156" t="str">
        <f>+IF(JULIO!S239=0,"",JULIO!S239)</f>
        <v>8001000-4</v>
      </c>
      <c r="T239" s="55" t="str">
        <f>+IF(JULIO!T239=0,"",JULIO!T239)</f>
        <v>Subprogr.Construc. Remodelac. Adecuación y Apliac.4</v>
      </c>
      <c r="U239" s="29">
        <f>+ENERO!U239</f>
        <v>0</v>
      </c>
      <c r="V239" s="17">
        <f>JULIO!V239+AGOSTO!AL239</f>
        <v>0</v>
      </c>
      <c r="W239" s="17">
        <f>JULIO!W239+AGOSTO!AM239</f>
        <v>0</v>
      </c>
      <c r="X239" s="20">
        <f t="shared" si="189"/>
        <v>0</v>
      </c>
      <c r="Y239" s="21">
        <f>JULIO!AA239</f>
        <v>0</v>
      </c>
      <c r="Z239" s="457">
        <v>0</v>
      </c>
      <c r="AA239" s="20">
        <f t="shared" si="190"/>
        <v>0</v>
      </c>
      <c r="AB239" s="21">
        <f>JULIO!AD239</f>
        <v>0</v>
      </c>
      <c r="AC239" s="457">
        <v>0</v>
      </c>
      <c r="AD239" s="20">
        <f t="shared" si="191"/>
        <v>0</v>
      </c>
      <c r="AE239" s="21">
        <f>JULIO!AG239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x14ac:dyDescent="0.2">
      <c r="A240" s="623"/>
      <c r="B240" s="554"/>
      <c r="H240" s="562"/>
      <c r="I240" s="562"/>
      <c r="J240" s="562"/>
      <c r="K240" s="562"/>
      <c r="N240" s="10"/>
      <c r="P240" s="10"/>
      <c r="Q240" s="10"/>
      <c r="S240" s="156" t="str">
        <f>+IF(JULIO!S240=0,"",JULIO!S240)</f>
        <v>8001000-7</v>
      </c>
      <c r="T240" s="55" t="str">
        <f>+IF(JULIO!T240=0,"",JULIO!T240)</f>
        <v>Subprogr.Construc. Remodelac. Adecuación y Apliac.5</v>
      </c>
      <c r="U240" s="29">
        <f>+ENERO!U240</f>
        <v>0</v>
      </c>
      <c r="V240" s="17">
        <f>JULIO!V240+AGOSTO!AL240</f>
        <v>0</v>
      </c>
      <c r="W240" s="17">
        <f>JULIO!W240+AGOSTO!AM240</f>
        <v>0</v>
      </c>
      <c r="X240" s="20">
        <f t="shared" si="189"/>
        <v>0</v>
      </c>
      <c r="Y240" s="21">
        <f>JULIO!AA240</f>
        <v>0</v>
      </c>
      <c r="Z240" s="457">
        <v>0</v>
      </c>
      <c r="AA240" s="20">
        <f t="shared" si="190"/>
        <v>0</v>
      </c>
      <c r="AB240" s="21">
        <f>JULIO!AD240</f>
        <v>0</v>
      </c>
      <c r="AC240" s="457">
        <v>0</v>
      </c>
      <c r="AD240" s="20">
        <f t="shared" si="191"/>
        <v>0</v>
      </c>
      <c r="AE240" s="21">
        <f>JULIO!AG240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562"/>
      <c r="I241" s="562"/>
      <c r="J241" s="562"/>
      <c r="K241" s="562"/>
      <c r="L241" s="467"/>
      <c r="M241" s="467"/>
      <c r="N241" s="10"/>
      <c r="O241" s="467"/>
      <c r="P241" s="10"/>
      <c r="Q241" s="10"/>
      <c r="S241" s="656">
        <f>+IF(JULIO!S241=0,"",JULIO!S241)</f>
        <v>8001999</v>
      </c>
      <c r="T241" s="55" t="str">
        <f>+IF(JULIO!T241=0,"",JULIO!T241)</f>
        <v>Vigencias Anteriores</v>
      </c>
      <c r="U241" s="29">
        <f>+ENERO!U241</f>
        <v>0</v>
      </c>
      <c r="V241" s="17">
        <f>JULIO!V241+AGOSTO!AL241</f>
        <v>0</v>
      </c>
      <c r="W241" s="17">
        <f>JULIO!W241+AGOSTO!AM241</f>
        <v>0</v>
      </c>
      <c r="X241" s="20">
        <f t="shared" si="189"/>
        <v>0</v>
      </c>
      <c r="Y241" s="21">
        <f>JULIO!AA241</f>
        <v>0</v>
      </c>
      <c r="Z241" s="457">
        <v>0</v>
      </c>
      <c r="AA241" s="20">
        <f t="shared" si="190"/>
        <v>0</v>
      </c>
      <c r="AB241" s="21">
        <f>JULIO!AD241</f>
        <v>0</v>
      </c>
      <c r="AC241" s="457">
        <v>0</v>
      </c>
      <c r="AD241" s="20">
        <f t="shared" si="191"/>
        <v>0</v>
      </c>
      <c r="AE241" s="21">
        <f>JULIO!AG241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562"/>
      <c r="I242" s="562"/>
      <c r="J242" s="562"/>
      <c r="K242" s="562"/>
      <c r="L242" s="467"/>
      <c r="M242" s="467"/>
      <c r="N242" s="10"/>
      <c r="O242" s="467"/>
      <c r="P242" s="10"/>
      <c r="Q242" s="10"/>
      <c r="S242" s="448" t="str">
        <f>+IF(JULIO!S242=0,"",JULIO!S242)</f>
        <v/>
      </c>
      <c r="T242" s="649" t="str">
        <f>+IF(JULIO!T242=0,"",JULIO!T242)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562"/>
      <c r="I243" s="562"/>
      <c r="J243" s="562"/>
      <c r="K243" s="562"/>
      <c r="L243" s="467"/>
      <c r="M243" s="467"/>
      <c r="N243" s="10"/>
      <c r="O243" s="467"/>
      <c r="P243" s="10"/>
      <c r="Q243" s="10"/>
      <c r="S243" s="155">
        <f>+IF(JULIO!S243=0,"",JULIO!S243)</f>
        <v>8002001</v>
      </c>
      <c r="T243" s="159" t="str">
        <f>+IF(JULIO!T243=0,"",JULIO!T243)</f>
        <v>Gastos Operativos de Inversion   (Programas Especiales)</v>
      </c>
      <c r="U243" s="29">
        <f t="shared" ref="U243:AJ243" si="196">SUM(U244:U256)</f>
        <v>121563100</v>
      </c>
      <c r="V243" s="17">
        <f t="shared" si="196"/>
        <v>-1563100</v>
      </c>
      <c r="W243" s="17">
        <f t="shared" si="196"/>
        <v>0</v>
      </c>
      <c r="X243" s="20">
        <f t="shared" si="196"/>
        <v>120000000</v>
      </c>
      <c r="Y243" s="21">
        <f t="shared" si="196"/>
        <v>96730948</v>
      </c>
      <c r="Z243" s="169">
        <f t="shared" si="196"/>
        <v>0</v>
      </c>
      <c r="AA243" s="20">
        <f t="shared" si="196"/>
        <v>96730948</v>
      </c>
      <c r="AB243" s="21">
        <f t="shared" si="196"/>
        <v>96730948</v>
      </c>
      <c r="AC243" s="169">
        <f t="shared" si="196"/>
        <v>0</v>
      </c>
      <c r="AD243" s="20">
        <f t="shared" si="196"/>
        <v>96730948</v>
      </c>
      <c r="AE243" s="21">
        <f t="shared" si="196"/>
        <v>89899460</v>
      </c>
      <c r="AF243" s="169">
        <f t="shared" si="196"/>
        <v>1436487</v>
      </c>
      <c r="AG243" s="20">
        <f t="shared" si="196"/>
        <v>91335947</v>
      </c>
      <c r="AH243" s="21">
        <f t="shared" si="196"/>
        <v>23269052</v>
      </c>
      <c r="AI243" s="17">
        <f t="shared" si="196"/>
        <v>23269052</v>
      </c>
      <c r="AJ243" s="18">
        <f t="shared" si="196"/>
        <v>28664053</v>
      </c>
      <c r="AK243" s="10"/>
      <c r="AL243" s="21">
        <f>SUM(AL244:AL256)</f>
        <v>0</v>
      </c>
      <c r="AM243" s="18">
        <f>SUM(AM244:AM256)</f>
        <v>0</v>
      </c>
    </row>
    <row r="244" spans="1:70" x14ac:dyDescent="0.2">
      <c r="A244" s="623"/>
      <c r="B244" s="554"/>
      <c r="C244" s="467"/>
      <c r="D244" s="467"/>
      <c r="E244" s="467"/>
      <c r="F244" s="467"/>
      <c r="G244" s="467"/>
      <c r="H244" s="562"/>
      <c r="I244" s="562"/>
      <c r="J244" s="562"/>
      <c r="K244" s="562"/>
      <c r="L244" s="467"/>
      <c r="M244" s="467"/>
      <c r="N244" s="10"/>
      <c r="O244" s="467"/>
      <c r="P244" s="10"/>
      <c r="Q244" s="10"/>
      <c r="S244" s="156" t="str">
        <f>+IF(JULIO!S244=0,"",JULIO!S244)</f>
        <v>8002100-1</v>
      </c>
      <c r="T244" s="55" t="str">
        <f>+IF(JULIO!T244=0,"",JULIO!T244)</f>
        <v>Salud Pública</v>
      </c>
      <c r="U244" s="29">
        <f>+ENERO!U244</f>
        <v>120000000</v>
      </c>
      <c r="V244" s="17">
        <f>JULIO!V244+AGOSTO!AL244</f>
        <v>0</v>
      </c>
      <c r="W244" s="17">
        <f>JULIO!W244+AGOSTO!AM244</f>
        <v>0</v>
      </c>
      <c r="X244" s="20">
        <f t="shared" ref="X244:X256" si="197">SUM(U244:W244)</f>
        <v>120000000</v>
      </c>
      <c r="Y244" s="21">
        <f>JULIO!AA244</f>
        <v>96730948</v>
      </c>
      <c r="Z244" s="457">
        <v>0</v>
      </c>
      <c r="AA244" s="20">
        <f t="shared" ref="AA244:AA256" si="198">SUM(Y244:Z244)</f>
        <v>96730948</v>
      </c>
      <c r="AB244" s="21">
        <f>JULIO!AD244</f>
        <v>96730948</v>
      </c>
      <c r="AC244" s="457">
        <v>0</v>
      </c>
      <c r="AD244" s="20">
        <f t="shared" ref="AD244:AD256" si="199">SUM(AB244:AC244)</f>
        <v>96730948</v>
      </c>
      <c r="AE244" s="21">
        <f>JULIO!AG244</f>
        <v>89899460</v>
      </c>
      <c r="AF244" s="457">
        <v>1436487</v>
      </c>
      <c r="AG244" s="20">
        <f t="shared" ref="AG244:AG256" si="200">SUM(AE244:AF244)</f>
        <v>91335947</v>
      </c>
      <c r="AH244" s="21">
        <f t="shared" ref="AH244:AH256" si="201">X244-AA244</f>
        <v>23269052</v>
      </c>
      <c r="AI244" s="17">
        <f t="shared" ref="AI244:AI256" si="202">X244-AD244</f>
        <v>23269052</v>
      </c>
      <c r="AJ244" s="18">
        <f t="shared" ref="AJ244:AJ256" si="203">X244-AG244</f>
        <v>28664053</v>
      </c>
      <c r="AK244" s="10"/>
      <c r="AL244" s="455">
        <v>0</v>
      </c>
      <c r="AM244" s="458">
        <v>0</v>
      </c>
    </row>
    <row r="245" spans="1:70" x14ac:dyDescent="0.2">
      <c r="A245" s="623"/>
      <c r="B245" s="554"/>
      <c r="C245" s="467"/>
      <c r="D245" s="467"/>
      <c r="E245" s="467"/>
      <c r="F245" s="467"/>
      <c r="G245" s="467"/>
      <c r="H245" s="562"/>
      <c r="I245" s="562"/>
      <c r="J245" s="562"/>
      <c r="K245" s="562"/>
      <c r="L245" s="467"/>
      <c r="M245" s="467"/>
      <c r="N245" s="10"/>
      <c r="O245" s="467"/>
      <c r="P245" s="10"/>
      <c r="Q245" s="10"/>
      <c r="S245" s="156" t="str">
        <f>+IF(JULIO!S245=0,"",JULIO!S245)</f>
        <v>8002100-2</v>
      </c>
      <c r="T245" s="55" t="str">
        <f>+IF(JULIO!T245=0,"",JULIO!T245)</f>
        <v>Programas Especial 01</v>
      </c>
      <c r="U245" s="29">
        <f>+ENERO!U245</f>
        <v>0</v>
      </c>
      <c r="V245" s="17">
        <f>JULIO!V245+AGOSTO!AL245</f>
        <v>0</v>
      </c>
      <c r="W245" s="17">
        <f>JULIO!W245+AGOSTO!AM245</f>
        <v>0</v>
      </c>
      <c r="X245" s="20">
        <f t="shared" si="197"/>
        <v>0</v>
      </c>
      <c r="Y245" s="21">
        <f>JULIO!AA245</f>
        <v>0</v>
      </c>
      <c r="Z245" s="457">
        <v>0</v>
      </c>
      <c r="AA245" s="20">
        <f t="shared" si="198"/>
        <v>0</v>
      </c>
      <c r="AB245" s="21">
        <f>JULIO!AD245</f>
        <v>0</v>
      </c>
      <c r="AC245" s="457">
        <v>0</v>
      </c>
      <c r="AD245" s="20">
        <f t="shared" si="199"/>
        <v>0</v>
      </c>
      <c r="AE245" s="21">
        <f>JULIO!AG245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562"/>
      <c r="I246" s="562"/>
      <c r="J246" s="562"/>
      <c r="K246" s="562"/>
      <c r="L246" s="467"/>
      <c r="M246" s="467"/>
      <c r="N246" s="10"/>
      <c r="O246" s="467"/>
      <c r="P246" s="10"/>
      <c r="Q246" s="10"/>
      <c r="S246" s="156" t="str">
        <f>+IF(JULIO!S246=0,"",JULIO!S246)</f>
        <v>8002100-3</v>
      </c>
      <c r="T246" s="55" t="str">
        <f>+IF(JULIO!T246=0,"",JULIO!T246)</f>
        <v>Programas Especial 02</v>
      </c>
      <c r="U246" s="29">
        <f>+ENERO!U246</f>
        <v>0</v>
      </c>
      <c r="V246" s="17">
        <f>JULIO!V246+AGOSTO!AL246</f>
        <v>0</v>
      </c>
      <c r="W246" s="17">
        <f>JULIO!W246+AGOSTO!AM246</f>
        <v>0</v>
      </c>
      <c r="X246" s="20">
        <f t="shared" si="197"/>
        <v>0</v>
      </c>
      <c r="Y246" s="21">
        <f>JULIO!AA246</f>
        <v>0</v>
      </c>
      <c r="Z246" s="457">
        <v>0</v>
      </c>
      <c r="AA246" s="20">
        <f t="shared" si="198"/>
        <v>0</v>
      </c>
      <c r="AB246" s="21">
        <f>JULIO!AD246</f>
        <v>0</v>
      </c>
      <c r="AC246" s="457">
        <v>0</v>
      </c>
      <c r="AD246" s="20">
        <f t="shared" si="199"/>
        <v>0</v>
      </c>
      <c r="AE246" s="21">
        <f>JULIO!AG246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562"/>
      <c r="I247" s="562"/>
      <c r="J247" s="562"/>
      <c r="K247" s="562"/>
      <c r="L247" s="467"/>
      <c r="M247" s="467"/>
      <c r="N247" s="10"/>
      <c r="O247" s="467"/>
      <c r="P247" s="10"/>
      <c r="Q247" s="10"/>
      <c r="S247" s="156" t="str">
        <f>+IF(JULIO!S247=0,"",JULIO!S247)</f>
        <v>8002100-4</v>
      </c>
      <c r="T247" s="55" t="str">
        <f>+IF(JULIO!T247=0,"",JULIO!T247)</f>
        <v>Programas Especial 03</v>
      </c>
      <c r="U247" s="29">
        <f>+ENERO!U247</f>
        <v>0</v>
      </c>
      <c r="V247" s="17">
        <f>JULIO!V247+AGOSTO!AL247</f>
        <v>0</v>
      </c>
      <c r="W247" s="17">
        <f>JULIO!W247+AGOSTO!AM247</f>
        <v>0</v>
      </c>
      <c r="X247" s="20">
        <f t="shared" si="197"/>
        <v>0</v>
      </c>
      <c r="Y247" s="21">
        <f>JULIO!AA247</f>
        <v>0</v>
      </c>
      <c r="Z247" s="457">
        <v>0</v>
      </c>
      <c r="AA247" s="20">
        <f t="shared" si="198"/>
        <v>0</v>
      </c>
      <c r="AB247" s="21">
        <f>JULIO!AD247</f>
        <v>0</v>
      </c>
      <c r="AC247" s="457">
        <v>0</v>
      </c>
      <c r="AD247" s="20">
        <f t="shared" si="199"/>
        <v>0</v>
      </c>
      <c r="AE247" s="21">
        <f>JULIO!AG247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562"/>
      <c r="I248" s="562"/>
      <c r="J248" s="562"/>
      <c r="K248" s="562"/>
      <c r="L248" s="467"/>
      <c r="M248" s="467"/>
      <c r="N248" s="10"/>
      <c r="O248" s="467"/>
      <c r="P248" s="10"/>
      <c r="Q248" s="10"/>
      <c r="S248" s="156" t="str">
        <f>+IF(JULIO!S248=0,"",JULIO!S248)</f>
        <v>8002100-5</v>
      </c>
      <c r="T248" s="55" t="str">
        <f>+IF(JULIO!T248=0,"",JULIO!T248)</f>
        <v>Programas Especial 04</v>
      </c>
      <c r="U248" s="29">
        <f>+ENERO!U248</f>
        <v>0</v>
      </c>
      <c r="V248" s="17">
        <f>JULIO!V248+AGOSTO!AL248</f>
        <v>0</v>
      </c>
      <c r="W248" s="17">
        <f>JULIO!W248+AGOSTO!AM248</f>
        <v>0</v>
      </c>
      <c r="X248" s="20">
        <f t="shared" si="197"/>
        <v>0</v>
      </c>
      <c r="Y248" s="21">
        <f>JULIO!AA248</f>
        <v>0</v>
      </c>
      <c r="Z248" s="457">
        <v>0</v>
      </c>
      <c r="AA248" s="20">
        <f t="shared" si="198"/>
        <v>0</v>
      </c>
      <c r="AB248" s="21">
        <f>JULIO!AD248</f>
        <v>0</v>
      </c>
      <c r="AC248" s="457">
        <v>0</v>
      </c>
      <c r="AD248" s="20">
        <f t="shared" si="199"/>
        <v>0</v>
      </c>
      <c r="AE248" s="21">
        <f>JULIO!AG248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562"/>
      <c r="I249" s="562"/>
      <c r="J249" s="562"/>
      <c r="K249" s="562"/>
      <c r="L249" s="467"/>
      <c r="M249" s="467"/>
      <c r="N249" s="10"/>
      <c r="O249" s="467"/>
      <c r="P249" s="10"/>
      <c r="Q249" s="10"/>
      <c r="S249" s="156" t="str">
        <f>+IF(JULIO!S249=0,"",JULIO!S249)</f>
        <v>8002100-6</v>
      </c>
      <c r="T249" s="55" t="str">
        <f>+IF(JULIO!T249=0,"",JULIO!T249)</f>
        <v>Programas Especial 05</v>
      </c>
      <c r="U249" s="29">
        <f>+ENERO!U249</f>
        <v>0</v>
      </c>
      <c r="V249" s="17">
        <f>JULIO!V249+AGOSTO!AL249</f>
        <v>0</v>
      </c>
      <c r="W249" s="17">
        <f>JULIO!W249+AGOSTO!AM249</f>
        <v>0</v>
      </c>
      <c r="X249" s="20">
        <f t="shared" si="197"/>
        <v>0</v>
      </c>
      <c r="Y249" s="21">
        <f>JULIO!AA249</f>
        <v>0</v>
      </c>
      <c r="Z249" s="457">
        <v>0</v>
      </c>
      <c r="AA249" s="20">
        <f t="shared" si="198"/>
        <v>0</v>
      </c>
      <c r="AB249" s="21">
        <f>JULIO!AD249</f>
        <v>0</v>
      </c>
      <c r="AC249" s="457">
        <v>0</v>
      </c>
      <c r="AD249" s="20">
        <f t="shared" si="199"/>
        <v>0</v>
      </c>
      <c r="AE249" s="21">
        <f>JULIO!AG249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562"/>
      <c r="I250" s="562"/>
      <c r="J250" s="562"/>
      <c r="K250" s="562"/>
      <c r="L250" s="467"/>
      <c r="M250" s="467"/>
      <c r="N250" s="10"/>
      <c r="O250" s="467"/>
      <c r="P250" s="10"/>
      <c r="Q250" s="10"/>
      <c r="S250" s="156" t="str">
        <f>+IF(JULIO!S250=0,"",JULIO!S250)</f>
        <v>8002100-7</v>
      </c>
      <c r="T250" s="55" t="str">
        <f>+IF(JULIO!T250=0,"",JULIO!T250)</f>
        <v>Programas Especial 06</v>
      </c>
      <c r="U250" s="29">
        <f>+ENERO!U250</f>
        <v>0</v>
      </c>
      <c r="V250" s="17">
        <f>JULIO!V250+AGOSTO!AL250</f>
        <v>0</v>
      </c>
      <c r="W250" s="17">
        <f>JULIO!W250+AGOSTO!AM250</f>
        <v>0</v>
      </c>
      <c r="X250" s="20">
        <f>SUM(U250:W250)</f>
        <v>0</v>
      </c>
      <c r="Y250" s="21">
        <f>JULIO!AA250</f>
        <v>0</v>
      </c>
      <c r="Z250" s="457">
        <v>0</v>
      </c>
      <c r="AA250" s="20">
        <f>SUM(Y250:Z250)</f>
        <v>0</v>
      </c>
      <c r="AB250" s="21">
        <f>JULIO!AD250</f>
        <v>0</v>
      </c>
      <c r="AC250" s="457">
        <v>0</v>
      </c>
      <c r="AD250" s="20">
        <f>SUM(AB250:AC250)</f>
        <v>0</v>
      </c>
      <c r="AE250" s="21">
        <f>JULIO!AG250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562"/>
      <c r="I251" s="562"/>
      <c r="J251" s="562"/>
      <c r="K251" s="562"/>
      <c r="L251" s="467"/>
      <c r="M251" s="467"/>
      <c r="N251" s="10"/>
      <c r="O251" s="467"/>
      <c r="P251" s="10"/>
      <c r="Q251" s="10"/>
      <c r="S251" s="156" t="str">
        <f>+IF(JULIO!S251=0,"",JULIO!S251)</f>
        <v>8002100-8</v>
      </c>
      <c r="T251" s="55" t="str">
        <f>+IF(JULIO!T251=0,"",JULIO!T251)</f>
        <v>Programas Especial 07</v>
      </c>
      <c r="U251" s="29">
        <f>+ENERO!U251</f>
        <v>0</v>
      </c>
      <c r="V251" s="17">
        <f>JULIO!V251+AGOSTO!AL251</f>
        <v>0</v>
      </c>
      <c r="W251" s="17">
        <f>JULIO!W251+AGOSTO!AM251</f>
        <v>0</v>
      </c>
      <c r="X251" s="20">
        <f>SUM(U251:W251)</f>
        <v>0</v>
      </c>
      <c r="Y251" s="21">
        <f>JULIO!AA251</f>
        <v>0</v>
      </c>
      <c r="Z251" s="457">
        <v>0</v>
      </c>
      <c r="AA251" s="20">
        <f>SUM(Y251:Z251)</f>
        <v>0</v>
      </c>
      <c r="AB251" s="21">
        <f>JULIO!AD251</f>
        <v>0</v>
      </c>
      <c r="AC251" s="457">
        <v>0</v>
      </c>
      <c r="AD251" s="20">
        <f>SUM(AB251:AC251)</f>
        <v>0</v>
      </c>
      <c r="AE251" s="21">
        <f>JULIO!AG251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562"/>
      <c r="I252" s="562"/>
      <c r="J252" s="562"/>
      <c r="K252" s="562"/>
      <c r="L252" s="467"/>
      <c r="M252" s="467"/>
      <c r="N252" s="10"/>
      <c r="O252" s="467"/>
      <c r="P252" s="10"/>
      <c r="Q252" s="10"/>
      <c r="S252" s="156" t="str">
        <f>+IF(JULIO!S252=0,"",JULIO!S252)</f>
        <v>8002100-9</v>
      </c>
      <c r="T252" s="55" t="str">
        <f>+IF(JULIO!T252=0,"",JULIO!T252)</f>
        <v>Programas Especial 08</v>
      </c>
      <c r="U252" s="29">
        <f>+ENERO!U252</f>
        <v>0</v>
      </c>
      <c r="V252" s="17">
        <f>JULIO!V252+AGOSTO!AL252</f>
        <v>0</v>
      </c>
      <c r="W252" s="17">
        <f>JULIO!W252+AGOSTO!AM252</f>
        <v>0</v>
      </c>
      <c r="X252" s="20">
        <f>SUM(U252:W252)</f>
        <v>0</v>
      </c>
      <c r="Y252" s="21">
        <f>JULIO!AA252</f>
        <v>0</v>
      </c>
      <c r="Z252" s="457">
        <v>0</v>
      </c>
      <c r="AA252" s="20">
        <f>SUM(Y252:Z252)</f>
        <v>0</v>
      </c>
      <c r="AB252" s="21">
        <f>JULIO!AD252</f>
        <v>0</v>
      </c>
      <c r="AC252" s="457">
        <v>0</v>
      </c>
      <c r="AD252" s="20">
        <f>SUM(AB252:AC252)</f>
        <v>0</v>
      </c>
      <c r="AE252" s="21">
        <f>JULIO!AG252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562"/>
      <c r="I253" s="562"/>
      <c r="J253" s="562"/>
      <c r="K253" s="562"/>
      <c r="L253" s="467"/>
      <c r="M253" s="467"/>
      <c r="N253" s="10"/>
      <c r="O253" s="467"/>
      <c r="P253" s="10"/>
      <c r="Q253" s="10"/>
      <c r="S253" s="156" t="str">
        <f>+IF(JULIO!S253=0,"",JULIO!S253)</f>
        <v>8002100-10</v>
      </c>
      <c r="T253" s="55" t="str">
        <f>+IF(JULIO!T253=0,"",JULIO!T253)</f>
        <v>Programas Especial 09</v>
      </c>
      <c r="U253" s="29">
        <f>+ENERO!U253</f>
        <v>0</v>
      </c>
      <c r="V253" s="17">
        <f>JULIO!V253+AGOSTO!AL253</f>
        <v>0</v>
      </c>
      <c r="W253" s="17">
        <f>JULIO!W253+AGOSTO!AM253</f>
        <v>0</v>
      </c>
      <c r="X253" s="20">
        <f>SUM(U253:W253)</f>
        <v>0</v>
      </c>
      <c r="Y253" s="21">
        <f>JULIO!AA253</f>
        <v>0</v>
      </c>
      <c r="Z253" s="457">
        <v>0</v>
      </c>
      <c r="AA253" s="20">
        <f>SUM(Y253:Z253)</f>
        <v>0</v>
      </c>
      <c r="AB253" s="21">
        <f>JULIO!AD253</f>
        <v>0</v>
      </c>
      <c r="AC253" s="457">
        <v>0</v>
      </c>
      <c r="AD253" s="20">
        <f>SUM(AB253:AC253)</f>
        <v>0</v>
      </c>
      <c r="AE253" s="21">
        <f>JULIO!AG253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562"/>
      <c r="I254" s="562"/>
      <c r="J254" s="562"/>
      <c r="K254" s="562"/>
      <c r="L254" s="467"/>
      <c r="M254" s="467"/>
      <c r="N254" s="10"/>
      <c r="O254" s="467"/>
      <c r="P254" s="10"/>
      <c r="Q254" s="10"/>
      <c r="S254" s="156" t="str">
        <f>+IF(JULIO!S254=0,"",JULIO!S254)</f>
        <v>8002100-11</v>
      </c>
      <c r="T254" s="55" t="str">
        <f>+IF(JULIO!T254=0,"",JULIO!T254)</f>
        <v>Programas Especial 10</v>
      </c>
      <c r="U254" s="29">
        <f>+ENERO!U254</f>
        <v>0</v>
      </c>
      <c r="V254" s="17">
        <f>JULIO!V254+AGOSTO!AL254</f>
        <v>0</v>
      </c>
      <c r="W254" s="17">
        <f>JULIO!W254+AGOSTO!AM254</f>
        <v>0</v>
      </c>
      <c r="X254" s="20">
        <f>SUM(U254:W254)</f>
        <v>0</v>
      </c>
      <c r="Y254" s="21">
        <f>JULIO!AA254</f>
        <v>0</v>
      </c>
      <c r="Z254" s="457">
        <v>0</v>
      </c>
      <c r="AA254" s="20">
        <f>SUM(Y254:Z254)</f>
        <v>0</v>
      </c>
      <c r="AB254" s="21">
        <f>JULIO!AD254</f>
        <v>0</v>
      </c>
      <c r="AC254" s="457">
        <v>0</v>
      </c>
      <c r="AD254" s="20">
        <f>SUM(AB254:AC254)</f>
        <v>0</v>
      </c>
      <c r="AE254" s="21">
        <f>JULIO!AG254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562"/>
      <c r="I255" s="562"/>
      <c r="J255" s="562"/>
      <c r="K255" s="562"/>
      <c r="L255" s="467"/>
      <c r="M255" s="467"/>
      <c r="N255" s="10"/>
      <c r="O255" s="467"/>
      <c r="P255" s="10"/>
      <c r="Q255" s="10"/>
      <c r="S255" s="156" t="str">
        <f>+IF(JULIO!S255=0,"",JULIO!S255)</f>
        <v>8002100-12</v>
      </c>
      <c r="T255" s="55" t="str">
        <f>+IF(JULIO!T255=0,"",JULIO!T255)</f>
        <v>Programas Especial 11</v>
      </c>
      <c r="U255" s="29">
        <f>+ENERO!U255</f>
        <v>0</v>
      </c>
      <c r="V255" s="17">
        <f>JULIO!V255+AGOSTO!AL255</f>
        <v>0</v>
      </c>
      <c r="W255" s="17">
        <f>JULIO!W255+AGOSTO!AM255</f>
        <v>0</v>
      </c>
      <c r="X255" s="20">
        <f t="shared" si="197"/>
        <v>0</v>
      </c>
      <c r="Y255" s="21">
        <f>JULIO!AA255</f>
        <v>0</v>
      </c>
      <c r="Z255" s="457">
        <v>0</v>
      </c>
      <c r="AA255" s="20">
        <f t="shared" si="198"/>
        <v>0</v>
      </c>
      <c r="AB255" s="21">
        <f>JULIO!AD255</f>
        <v>0</v>
      </c>
      <c r="AC255" s="457">
        <v>0</v>
      </c>
      <c r="AD255" s="20">
        <f t="shared" si="199"/>
        <v>0</v>
      </c>
      <c r="AE255" s="21">
        <f>JULIO!AG255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562"/>
      <c r="I256" s="562"/>
      <c r="J256" s="562"/>
      <c r="K256" s="562"/>
      <c r="L256" s="467"/>
      <c r="M256" s="467"/>
      <c r="N256" s="10"/>
      <c r="O256" s="467"/>
      <c r="P256" s="10"/>
      <c r="Q256" s="10"/>
      <c r="S256" s="657">
        <f>+IF(JULIO!S256=0,"",JULIO!S256)</f>
        <v>8002999</v>
      </c>
      <c r="T256" s="658" t="str">
        <f>+IF(JULIO!T256=0,"",JULIO!T256)</f>
        <v>Vigencias Anteriores</v>
      </c>
      <c r="U256" s="160">
        <f>+ENERO!U256</f>
        <v>1563100</v>
      </c>
      <c r="V256" s="143">
        <f>JULIO!V256+AGOSTO!AL256</f>
        <v>-1563100</v>
      </c>
      <c r="W256" s="143">
        <f>JULIO!W256+AGOSTO!AM256</f>
        <v>0</v>
      </c>
      <c r="X256" s="149">
        <f t="shared" si="197"/>
        <v>0</v>
      </c>
      <c r="Y256" s="147">
        <f>JULIO!AA256</f>
        <v>0</v>
      </c>
      <c r="Z256" s="475">
        <v>0</v>
      </c>
      <c r="AA256" s="149">
        <f t="shared" si="198"/>
        <v>0</v>
      </c>
      <c r="AB256" s="147">
        <f>JULIO!AD256</f>
        <v>0</v>
      </c>
      <c r="AC256" s="475">
        <v>0</v>
      </c>
      <c r="AD256" s="149">
        <f t="shared" si="199"/>
        <v>0</v>
      </c>
      <c r="AE256" s="147">
        <f>JULIO!AG256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562"/>
      <c r="I257" s="562"/>
      <c r="J257" s="562"/>
      <c r="K257" s="562"/>
      <c r="L257" s="467"/>
      <c r="M257" s="467"/>
      <c r="N257" s="10"/>
      <c r="O257" s="467"/>
      <c r="P257" s="10"/>
      <c r="Q257" s="10"/>
      <c r="S257" s="643" t="str">
        <f>+IF(JULIO!S257=0,"",JULIO!S257)</f>
        <v/>
      </c>
      <c r="T257" s="357" t="str">
        <f>+IF(JULIO!T257=0,"",JULIO!T257)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+IF(JULIO!S258=0,"",JULIO!S258)</f>
        <v>E</v>
      </c>
      <c r="T258" s="664" t="str">
        <f>+IF(JULIO!T258=0,"",JULIO!T258)</f>
        <v>DISPONIBILIDAD FINAL</v>
      </c>
      <c r="U258" s="415">
        <f>+(C10+C17+C108)-(U10+U207+U220+U232)</f>
        <v>0</v>
      </c>
      <c r="V258" s="415">
        <f t="shared" ref="V258:AJ258" si="204">+(D10+D17+D108)-(V10+V207+V220+V232)</f>
        <v>0</v>
      </c>
      <c r="W258" s="415">
        <f t="shared" si="204"/>
        <v>0</v>
      </c>
      <c r="X258" s="415">
        <f t="shared" si="204"/>
        <v>0</v>
      </c>
      <c r="Y258" s="415">
        <f t="shared" si="204"/>
        <v>378535551</v>
      </c>
      <c r="Z258" s="415">
        <f t="shared" si="204"/>
        <v>15724649</v>
      </c>
      <c r="AA258" s="415">
        <f t="shared" si="204"/>
        <v>394260200</v>
      </c>
      <c r="AB258" s="415">
        <f t="shared" si="204"/>
        <v>-33778933</v>
      </c>
      <c r="AC258" s="415">
        <f t="shared" si="204"/>
        <v>21549747</v>
      </c>
      <c r="AD258" s="415">
        <f t="shared" si="204"/>
        <v>-12229186</v>
      </c>
      <c r="AE258" s="415">
        <f t="shared" si="204"/>
        <v>-808448676</v>
      </c>
      <c r="AF258" s="415">
        <f t="shared" si="204"/>
        <v>1226140973</v>
      </c>
      <c r="AG258" s="415">
        <f t="shared" si="204"/>
        <v>-2117149437</v>
      </c>
      <c r="AH258" s="415">
        <f t="shared" si="204"/>
        <v>-1458422102</v>
      </c>
      <c r="AI258" s="415">
        <f t="shared" si="204"/>
        <v>-1458450646</v>
      </c>
      <c r="AJ258" s="415">
        <f t="shared" si="204"/>
        <v>-1721984898</v>
      </c>
      <c r="AK258" s="10"/>
      <c r="AL258" s="415">
        <v>0</v>
      </c>
      <c r="AM258" s="416">
        <v>0</v>
      </c>
    </row>
    <row r="259" spans="1:39" ht="17.25" thickBot="1" x14ac:dyDescent="0.25">
      <c r="S259" s="982" t="str">
        <f>+IF(JULIO!S259=0,"",JULIO!S259)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144157141</v>
      </c>
      <c r="AF259" s="133">
        <f t="shared" si="205"/>
        <v>367150</v>
      </c>
      <c r="AG259" s="146">
        <f t="shared" si="205"/>
        <v>144524291</v>
      </c>
      <c r="AH259" s="145">
        <f t="shared" si="205"/>
        <v>466000</v>
      </c>
      <c r="AI259" s="133">
        <f t="shared" si="205"/>
        <v>466000</v>
      </c>
      <c r="AJ259" s="134">
        <f t="shared" si="205"/>
        <v>1395200</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 right="0" top="0.43307086614173229" bottom="0.39370078740157483" header="0.23622047244094491" footer="0.23622047244094491"/>
  <pageSetup paperSize="9" scale="45"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0"/>
  <sheetViews>
    <sheetView showGridLines="0" topLeftCell="AB1" zoomScaleNormal="100"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710937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1.5703125" style="339" customWidth="1"/>
    <col min="65" max="65" width="76" style="339" customWidth="1"/>
    <col min="66" max="66" width="17.140625" style="339" customWidth="1"/>
    <col min="67" max="67" width="14.7109375" style="339" customWidth="1"/>
    <col min="68" max="68" width="17" style="339" customWidth="1"/>
    <col min="69" max="69" width="22"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9</v>
      </c>
      <c r="AP2" s="349" t="s">
        <v>8</v>
      </c>
      <c r="AQ2" s="350"/>
      <c r="AR2" s="4"/>
      <c r="AS2" s="4"/>
      <c r="AT2" s="4"/>
      <c r="AU2" s="4"/>
      <c r="AV2" s="4"/>
      <c r="AW2" s="4"/>
      <c r="AX2" s="4"/>
      <c r="AY2" s="4"/>
      <c r="AZ2" s="5"/>
      <c r="BB2" s="952" t="s">
        <v>423</v>
      </c>
      <c r="BC2" s="969"/>
      <c r="BD2" s="69" t="s">
        <v>409</v>
      </c>
      <c r="BE2" s="347" t="str">
        <f>+L3</f>
        <v>SEPTIEMBRE</v>
      </c>
      <c r="BF2" s="340"/>
      <c r="BG2" s="952" t="s">
        <v>424</v>
      </c>
      <c r="BH2" s="969"/>
      <c r="BI2" s="969"/>
      <c r="BJ2" s="69" t="s">
        <v>409</v>
      </c>
      <c r="BK2" s="347" t="str">
        <f>+BE2</f>
        <v>SEPTIEMBRE</v>
      </c>
      <c r="BM2" s="952" t="s">
        <v>424</v>
      </c>
      <c r="BN2" s="969"/>
      <c r="BO2" s="969"/>
      <c r="BP2" s="69" t="s">
        <v>409</v>
      </c>
      <c r="BQ2" s="347" t="str">
        <f>+BK2</f>
        <v>SEPTIEMBRE</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393</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SEPTIEMBRE</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2.25" thickTop="1"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1007" t="s">
        <v>386</v>
      </c>
      <c r="BG5" s="689" t="s">
        <v>34</v>
      </c>
      <c r="BH5" s="977" t="str">
        <f>+CONCATENATE("ACUMULADO ",N3)</f>
        <v>ACUMULADO 2014</v>
      </c>
      <c r="BI5" s="978"/>
      <c r="BJ5" s="978"/>
      <c r="BK5" s="1004"/>
      <c r="BL5" s="1005" t="s">
        <v>387</v>
      </c>
      <c r="BM5" s="975" t="s">
        <v>34</v>
      </c>
      <c r="BN5" s="379" t="str">
        <f>+CONCATENATE("ACUMULADO ",BQ3)</f>
        <v>ACUMULADO 2014</v>
      </c>
      <c r="BO5" s="380"/>
      <c r="BP5" s="381"/>
      <c r="BQ5" s="690"/>
    </row>
    <row r="6" spans="1:69" ht="30.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SEPTIEMBRE</v>
      </c>
      <c r="AS6" s="387" t="str">
        <f>AR6</f>
        <v>SEPTIEMBRE</v>
      </c>
      <c r="AT6" s="387" t="str">
        <f>AR6</f>
        <v>SEPTIEMBRE</v>
      </c>
      <c r="AU6" s="387" t="s">
        <v>16</v>
      </c>
      <c r="AV6" s="387" t="s">
        <v>31</v>
      </c>
      <c r="AW6" s="387"/>
      <c r="AX6" s="387"/>
      <c r="AY6" s="387" t="s">
        <v>16</v>
      </c>
      <c r="AZ6" s="388" t="s">
        <v>31</v>
      </c>
      <c r="BB6" s="389"/>
      <c r="BC6" s="390" t="s">
        <v>47</v>
      </c>
      <c r="BD6" s="391" t="s">
        <v>48</v>
      </c>
      <c r="BE6" s="392" t="s">
        <v>49</v>
      </c>
      <c r="BF6" s="1008"/>
      <c r="BG6" s="691"/>
      <c r="BH6" s="692" t="s">
        <v>47</v>
      </c>
      <c r="BI6" s="692" t="s">
        <v>50</v>
      </c>
      <c r="BJ6" s="692" t="s">
        <v>51</v>
      </c>
      <c r="BK6" s="693" t="s">
        <v>52</v>
      </c>
      <c r="BL6" s="1006"/>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301926804</v>
      </c>
      <c r="AS7" s="401">
        <f>L22</f>
        <v>167816768</v>
      </c>
      <c r="AT7" s="15"/>
      <c r="AU7" s="402">
        <f t="shared" ref="AU7:AU17" si="0">IF(AQ7=0," ",AR7/AQ7)</f>
        <v>1.2824032122762978</v>
      </c>
      <c r="AV7" s="402">
        <f t="shared" ref="AV7:AV17" si="1">IF(AQ7=0," ",AS7/AQ7)</f>
        <v>0.71278455409022312</v>
      </c>
      <c r="AW7" s="401">
        <f>I23/AO$2*12+I24</f>
        <v>371840164.66666669</v>
      </c>
      <c r="AX7" s="401">
        <f>L23/AO$2*12+L24</f>
        <v>193026783.33333331</v>
      </c>
      <c r="AY7" s="401">
        <f t="shared" ref="AY7:AY16" si="2">AW7-AQ7</f>
        <v>136401886.66666669</v>
      </c>
      <c r="AZ7" s="403">
        <f t="shared" ref="AZ7:AZ16" si="3">AX7-AQ7</f>
        <v>-42411494.666666687</v>
      </c>
      <c r="BB7" s="404" t="s">
        <v>55</v>
      </c>
      <c r="BC7" s="72">
        <f>F10</f>
        <v>133074115</v>
      </c>
      <c r="BD7" s="73">
        <f>I10</f>
        <v>133074115</v>
      </c>
      <c r="BE7" s="74">
        <f>K10</f>
        <v>0</v>
      </c>
      <c r="BF7" s="71">
        <f>+BE7+AGOSTO!BE7+JULIO!BE7+JUNIO!BF7</f>
        <v>133074115</v>
      </c>
      <c r="BG7" s="109" t="s">
        <v>56</v>
      </c>
      <c r="BH7" s="135">
        <f>+SUM(BH8:BH11)</f>
        <v>3159128778</v>
      </c>
      <c r="BI7" s="135">
        <f>+SUM(BI8:BI11)</f>
        <v>2109266052</v>
      </c>
      <c r="BJ7" s="135">
        <f>+SUM(BJ8:BJ11)</f>
        <v>2108996050</v>
      </c>
      <c r="BK7" s="135">
        <f>+SUM(BK8:BK11)</f>
        <v>215288210</v>
      </c>
      <c r="BL7" s="44">
        <f>+BK7+AGOSTO!BK7+JULIO!BK7+JUNIO!BL7</f>
        <v>1963458255</v>
      </c>
      <c r="BM7" s="79" t="s">
        <v>56</v>
      </c>
      <c r="BN7" s="80">
        <f>BN8+BN15+BN22</f>
        <v>3159128778</v>
      </c>
      <c r="BO7" s="81">
        <f>BO8+BO15+BO22</f>
        <v>2109266052</v>
      </c>
      <c r="BP7" s="81">
        <f>BP8+BP15+BP22</f>
        <v>2108996050</v>
      </c>
      <c r="BQ7" s="82">
        <f>BQ8+BQ15+BQ22</f>
        <v>215288210</v>
      </c>
    </row>
    <row r="8" spans="1:69" s="10" customFormat="1" ht="24" thickBot="1" x14ac:dyDescent="0.3">
      <c r="A8" s="405">
        <f>+IF(AGOSTO!A8=0,"",AGOSTO!A8)</f>
        <v>1</v>
      </c>
      <c r="B8" s="670" t="str">
        <f>+IF(AGOSTO!B8=0,"",AGOSTO!B8)</f>
        <v>INGRESOS</v>
      </c>
      <c r="C8" s="407">
        <f>C10+C17+C108</f>
        <v>3631501012</v>
      </c>
      <c r="D8" s="407">
        <f t="shared" ref="D8:N8" si="4">D10+D17+D108</f>
        <v>0</v>
      </c>
      <c r="E8" s="407">
        <f t="shared" si="4"/>
        <v>207633323</v>
      </c>
      <c r="F8" s="407">
        <f t="shared" si="4"/>
        <v>3839134335</v>
      </c>
      <c r="G8" s="407">
        <f t="shared" si="4"/>
        <v>2774972433</v>
      </c>
      <c r="H8" s="407">
        <f t="shared" si="4"/>
        <v>457346609</v>
      </c>
      <c r="I8" s="407">
        <f t="shared" si="4"/>
        <v>3232319042</v>
      </c>
      <c r="J8" s="407">
        <f t="shared" si="4"/>
        <v>2368454503</v>
      </c>
      <c r="K8" s="407">
        <f t="shared" si="4"/>
        <v>424841775</v>
      </c>
      <c r="L8" s="407">
        <f t="shared" si="4"/>
        <v>2793296278</v>
      </c>
      <c r="M8" s="407">
        <f t="shared" si="4"/>
        <v>606815293</v>
      </c>
      <c r="N8" s="408">
        <f t="shared" si="4"/>
        <v>1045838057</v>
      </c>
      <c r="O8" s="409"/>
      <c r="P8" s="410">
        <f>P10+P17+P108</f>
        <v>0</v>
      </c>
      <c r="Q8" s="408">
        <f>Q10+Q17+Q108</f>
        <v>0</v>
      </c>
      <c r="S8" s="206" t="str">
        <f>+IF(AGOSTO!S8=0,"",AGOSTO!S8)</f>
        <v/>
      </c>
      <c r="T8" s="411" t="str">
        <f>+IF(AGOSTO!T8=0,"",AGOSTO!T8)</f>
        <v>GASTOS</v>
      </c>
      <c r="U8" s="412">
        <f t="shared" ref="U8:AM8" si="5">U10+U207+U220+U232</f>
        <v>3631501012</v>
      </c>
      <c r="V8" s="413">
        <f t="shared" si="5"/>
        <v>0</v>
      </c>
      <c r="W8" s="413">
        <f t="shared" si="5"/>
        <v>207633323</v>
      </c>
      <c r="X8" s="414">
        <f t="shared" si="5"/>
        <v>3839134335</v>
      </c>
      <c r="Y8" s="415">
        <f t="shared" si="5"/>
        <v>2380712233</v>
      </c>
      <c r="Z8" s="413">
        <f t="shared" si="5"/>
        <v>286305447</v>
      </c>
      <c r="AA8" s="414">
        <f t="shared" si="5"/>
        <v>2667017680</v>
      </c>
      <c r="AB8" s="415">
        <f t="shared" si="5"/>
        <v>2380683689</v>
      </c>
      <c r="AC8" s="413">
        <f t="shared" si="5"/>
        <v>286035446</v>
      </c>
      <c r="AD8" s="414">
        <f t="shared" si="5"/>
        <v>2666719135</v>
      </c>
      <c r="AE8" s="415">
        <f t="shared" si="5"/>
        <v>2117149437</v>
      </c>
      <c r="AF8" s="413">
        <f t="shared" si="5"/>
        <v>296725406</v>
      </c>
      <c r="AG8" s="414">
        <f t="shared" si="5"/>
        <v>2413874843</v>
      </c>
      <c r="AH8" s="415">
        <f t="shared" si="5"/>
        <v>1172116655</v>
      </c>
      <c r="AI8" s="413">
        <f t="shared" si="5"/>
        <v>1172415200</v>
      </c>
      <c r="AJ8" s="416">
        <f t="shared" si="5"/>
        <v>1425259492</v>
      </c>
      <c r="AL8" s="417">
        <f t="shared" si="5"/>
        <v>0</v>
      </c>
      <c r="AM8" s="418">
        <f t="shared" si="5"/>
        <v>0</v>
      </c>
      <c r="AO8" s="23"/>
      <c r="AP8" s="13" t="s">
        <v>58</v>
      </c>
      <c r="AQ8" s="14">
        <f>F25</f>
        <v>2553198704</v>
      </c>
      <c r="AR8" s="14">
        <f>I25</f>
        <v>2053434189</v>
      </c>
      <c r="AS8" s="14">
        <f>L25</f>
        <v>1818809743</v>
      </c>
      <c r="AT8" s="15"/>
      <c r="AU8" s="419">
        <f t="shared" si="0"/>
        <v>0.80425945140225952</v>
      </c>
      <c r="AV8" s="419">
        <f t="shared" si="1"/>
        <v>0.71236513638775523</v>
      </c>
      <c r="AW8" s="14">
        <f>I26/AO$2*12+I27</f>
        <v>2665652569</v>
      </c>
      <c r="AX8" s="14">
        <f>L26/AO$2*12+L27</f>
        <v>2352819974.3333335</v>
      </c>
      <c r="AY8" s="14">
        <f t="shared" si="2"/>
        <v>112453865</v>
      </c>
      <c r="AZ8" s="420">
        <f t="shared" si="3"/>
        <v>-200378729.66666651</v>
      </c>
      <c r="BB8" s="167" t="s">
        <v>59</v>
      </c>
      <c r="BC8" s="83">
        <f>BC9+BC19</f>
        <v>3390927588</v>
      </c>
      <c r="BD8" s="84">
        <f>BD9+BD19</f>
        <v>2580409623</v>
      </c>
      <c r="BE8" s="85">
        <f>BE9+BE19</f>
        <v>262614394</v>
      </c>
      <c r="BF8" s="71">
        <f>+BE8+AGOSTO!BE8+JULIO!BE8+JUNIO!BF8</f>
        <v>2141386859</v>
      </c>
      <c r="BG8" s="86" t="s">
        <v>60</v>
      </c>
      <c r="BH8" s="87">
        <f>BN9+BN13</f>
        <v>2162482035</v>
      </c>
      <c r="BI8" s="87">
        <f>BO9+BO13</f>
        <v>1465375289</v>
      </c>
      <c r="BJ8" s="87">
        <f>BP9+BP13</f>
        <v>1465375289</v>
      </c>
      <c r="BK8" s="87">
        <f>BQ9+BQ13</f>
        <v>146901877</v>
      </c>
      <c r="BL8" s="44">
        <f>+BK8+AGOSTO!BK8+JULIO!BK8+JUNIO!BL8</f>
        <v>1393882333</v>
      </c>
      <c r="BM8" s="89" t="s">
        <v>61</v>
      </c>
      <c r="BN8" s="90">
        <f>BN9+BN14+BN13</f>
        <v>2338916990</v>
      </c>
      <c r="BO8" s="87">
        <f>BO9+BO14+BO13</f>
        <v>1549406908</v>
      </c>
      <c r="BP8" s="87">
        <f>BP9+BP14+BP13</f>
        <v>1549406908</v>
      </c>
      <c r="BQ8" s="88">
        <f>BQ9+BQ14+BQ13</f>
        <v>154607906</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32860005</v>
      </c>
      <c r="AS9" s="14">
        <f>L28+L75</f>
        <v>32860005</v>
      </c>
      <c r="AT9" s="15"/>
      <c r="AU9" s="429">
        <f t="shared" si="0"/>
        <v>29.872731818181819</v>
      </c>
      <c r="AV9" s="429">
        <f t="shared" si="1"/>
        <v>29.872731818181819</v>
      </c>
      <c r="AW9" s="430">
        <f>(I30+I33+I36+I76)/AO$2*12+I31+I34+I37+I38+I39+I40+I77</f>
        <v>43813340</v>
      </c>
      <c r="AX9" s="430">
        <f>(L30+L33+L36+L76)/AO$2*12+L31+L34+L37+L38+L39+L40+L77</f>
        <v>43813340</v>
      </c>
      <c r="AY9" s="430">
        <f t="shared" si="2"/>
        <v>42713340</v>
      </c>
      <c r="AZ9" s="431">
        <f t="shared" si="3"/>
        <v>42713340</v>
      </c>
      <c r="BB9" s="432" t="s">
        <v>456</v>
      </c>
      <c r="BC9" s="91">
        <f>BC10+BC18</f>
        <v>3275748559</v>
      </c>
      <c r="BD9" s="92">
        <f>BD10+BD18</f>
        <v>2465014883</v>
      </c>
      <c r="BE9" s="93">
        <f>BE10+BE18</f>
        <v>257659451</v>
      </c>
      <c r="BF9" s="71">
        <f>+BE9+AGOSTO!BE9+JULIO!BE9+JUNIO!BF9</f>
        <v>2025992119</v>
      </c>
      <c r="BG9" s="95" t="s">
        <v>64</v>
      </c>
      <c r="BH9" s="96">
        <f t="shared" ref="BH9:BK10" si="6">BN14</f>
        <v>176434955</v>
      </c>
      <c r="BI9" s="96">
        <f t="shared" si="6"/>
        <v>84031619</v>
      </c>
      <c r="BJ9" s="96">
        <f t="shared" si="6"/>
        <v>84031619</v>
      </c>
      <c r="BK9" s="96">
        <f t="shared" si="6"/>
        <v>7706029</v>
      </c>
      <c r="BL9" s="44">
        <f>+BK9+AGOSTO!BK9+JULIO!BK9+JUNIO!BL9</f>
        <v>71903306</v>
      </c>
      <c r="BM9" s="164" t="s">
        <v>65</v>
      </c>
      <c r="BN9" s="98">
        <f>SUM(BN10:BN12)</f>
        <v>1595742067</v>
      </c>
      <c r="BO9" s="96">
        <f>SUM(BO10:BO12)</f>
        <v>1090609855</v>
      </c>
      <c r="BP9" s="96">
        <f>SUM(BP10:BP12)</f>
        <v>1090609855</v>
      </c>
      <c r="BQ9" s="97">
        <f>SUM(BQ10:BQ12)</f>
        <v>121789904</v>
      </c>
    </row>
    <row r="10" spans="1:69" s="10" customFormat="1" ht="19.5" x14ac:dyDescent="0.25">
      <c r="A10" s="433">
        <f>+IF(AGOSTO!A10=0,"",AGOSTO!A10)</f>
        <v>10</v>
      </c>
      <c r="B10" s="434" t="str">
        <f>+IF(AGOSTO!B10=0,"",AGOSTO!B10)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+IF(AGOSTO!S10=0,"",AGOSTO!S10)</f>
        <v>A</v>
      </c>
      <c r="T10" s="439" t="str">
        <f>+IF(AGOSTO!T10=0,"",AGOSTO!T10)</f>
        <v>GASTOS DE FUNCIONAMIENTO</v>
      </c>
      <c r="U10" s="440">
        <f t="shared" ref="U10:AJ10" si="8">U12+U110+U170+U193</f>
        <v>3509937912</v>
      </c>
      <c r="V10" s="441">
        <f t="shared" si="8"/>
        <v>1563100</v>
      </c>
      <c r="W10" s="441">
        <f t="shared" si="8"/>
        <v>122223183</v>
      </c>
      <c r="X10" s="444">
        <f t="shared" si="8"/>
        <v>3633724195</v>
      </c>
      <c r="Y10" s="443">
        <f t="shared" si="8"/>
        <v>2238120509</v>
      </c>
      <c r="Z10" s="441">
        <f t="shared" si="8"/>
        <v>246756083</v>
      </c>
      <c r="AA10" s="444">
        <f t="shared" si="8"/>
        <v>2484876592</v>
      </c>
      <c r="AB10" s="443">
        <f t="shared" si="8"/>
        <v>2238093194</v>
      </c>
      <c r="AC10" s="441">
        <f t="shared" si="8"/>
        <v>246486082</v>
      </c>
      <c r="AD10" s="444">
        <f t="shared" si="8"/>
        <v>2484579276</v>
      </c>
      <c r="AE10" s="443">
        <f t="shared" si="8"/>
        <v>2003191226</v>
      </c>
      <c r="AF10" s="441">
        <f t="shared" si="8"/>
        <v>239877833</v>
      </c>
      <c r="AG10" s="444">
        <f t="shared" si="8"/>
        <v>2243069059</v>
      </c>
      <c r="AH10" s="443">
        <f t="shared" si="8"/>
        <v>1148847603</v>
      </c>
      <c r="AI10" s="441">
        <f t="shared" si="8"/>
        <v>1149144919</v>
      </c>
      <c r="AJ10" s="442">
        <f t="shared" si="8"/>
        <v>1390655136</v>
      </c>
      <c r="AL10" s="445">
        <f>AL12+AL110+AL170+AL193</f>
        <v>0</v>
      </c>
      <c r="AM10" s="446">
        <f>AM12+AM110+AM170+AM193</f>
        <v>0</v>
      </c>
      <c r="AO10" s="428"/>
      <c r="AP10" s="13" t="s">
        <v>67</v>
      </c>
      <c r="AQ10" s="14">
        <f>F42</f>
        <v>125397398</v>
      </c>
      <c r="AR10" s="14">
        <f>I42</f>
        <v>81143316</v>
      </c>
      <c r="AS10" s="14">
        <f>L42</f>
        <v>53022786</v>
      </c>
      <c r="AT10" s="15"/>
      <c r="AU10" s="429">
        <f t="shared" si="0"/>
        <v>0.64708931201267827</v>
      </c>
      <c r="AV10" s="429">
        <f t="shared" si="1"/>
        <v>0.42283800816983458</v>
      </c>
      <c r="AW10" s="430">
        <f>I43/AO$2*12+I44</f>
        <v>108191088</v>
      </c>
      <c r="AX10" s="430">
        <f>L43/AO$2*12+L44</f>
        <v>70697048</v>
      </c>
      <c r="AY10" s="430">
        <f t="shared" si="2"/>
        <v>-17206310</v>
      </c>
      <c r="AZ10" s="431">
        <f t="shared" si="3"/>
        <v>-54700350</v>
      </c>
      <c r="BB10" s="447" t="s">
        <v>457</v>
      </c>
      <c r="BC10" s="91">
        <f>BC11+BC12+BC13+BC14+BC16+BC17+BC15</f>
        <v>3023223118</v>
      </c>
      <c r="BD10" s="92">
        <f>BD11+BD12+BD13+BD14+BD16+BD17+BD15</f>
        <v>2275620837</v>
      </c>
      <c r="BE10" s="93">
        <f>BE11+BE12+BE13+BE14+BE16+BE17+BE15</f>
        <v>236615664</v>
      </c>
      <c r="BF10" s="71">
        <f>+BE10+AGOSTO!BE10+JULIO!BE10+JUNIO!BF10</f>
        <v>1836598073</v>
      </c>
      <c r="BG10" s="86" t="s">
        <v>68</v>
      </c>
      <c r="BH10" s="99">
        <f t="shared" si="6"/>
        <v>622444299</v>
      </c>
      <c r="BI10" s="99">
        <f t="shared" si="6"/>
        <v>463028206</v>
      </c>
      <c r="BJ10" s="99">
        <f t="shared" si="6"/>
        <v>462758204</v>
      </c>
      <c r="BK10" s="99">
        <f t="shared" si="6"/>
        <v>52127556</v>
      </c>
      <c r="BL10" s="44">
        <f>+BK10+AGOSTO!BK10+JULIO!BK10+JUNIO!BL10</f>
        <v>403802736</v>
      </c>
      <c r="BM10" s="161" t="s">
        <v>470</v>
      </c>
      <c r="BN10" s="101">
        <f>X17+X66</f>
        <v>1269481968</v>
      </c>
      <c r="BO10" s="99">
        <f>AA17+AA66</f>
        <v>953979184</v>
      </c>
      <c r="BP10" s="99">
        <f>AD17+AD66</f>
        <v>953979184</v>
      </c>
      <c r="BQ10" s="100">
        <f>AF17+AF66</f>
        <v>106502921</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0.75</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1836655140</v>
      </c>
      <c r="BE11" s="93">
        <f>K26</f>
        <v>207960835</v>
      </c>
      <c r="BF11" s="71">
        <f>+BE11+AGOSTO!BE11+JULIO!BE11+JUNIO!BF11</f>
        <v>1602030694</v>
      </c>
      <c r="BG11" s="86" t="s">
        <v>69</v>
      </c>
      <c r="BH11" s="102">
        <f>BN22</f>
        <v>197767489</v>
      </c>
      <c r="BI11" s="102">
        <f>BO22</f>
        <v>96830938</v>
      </c>
      <c r="BJ11" s="102">
        <f>BP22</f>
        <v>96830938</v>
      </c>
      <c r="BK11" s="102">
        <f>BQ22</f>
        <v>8552748</v>
      </c>
      <c r="BL11" s="44">
        <f>+BK11+AGOSTO!BK11+JULIO!BK11+JUNIO!BL11</f>
        <v>93869880</v>
      </c>
      <c r="BM11" s="162" t="s">
        <v>471</v>
      </c>
      <c r="BN11" s="104">
        <f>X18+X67</f>
        <v>136976782</v>
      </c>
      <c r="BO11" s="102">
        <f>AA18+AA67</f>
        <v>79590165</v>
      </c>
      <c r="BP11" s="102">
        <f>AD18+AD67</f>
        <v>79590165</v>
      </c>
      <c r="BQ11" s="103">
        <f>AF18+AF67</f>
        <v>10086531</v>
      </c>
    </row>
    <row r="12" spans="1:69" s="10" customFormat="1" ht="25.5" x14ac:dyDescent="0.25">
      <c r="A12" s="203">
        <f>+IF(AGOSTO!A12=0,"",AGOSTO!A12)</f>
        <v>1001</v>
      </c>
      <c r="B12" s="251" t="str">
        <f>+IF(AGOSTO!B12=0,"",AGOSTO!B12)</f>
        <v>Bienestar Social (Caja, Bancos, Inversiones Tempor.) a Dic-31-2013</v>
      </c>
      <c r="C12" s="283">
        <f>+ENERO!C12</f>
        <v>0</v>
      </c>
      <c r="D12" s="456">
        <f>AGOSTO!D12+SEPTIEMBRE!P12</f>
        <v>0</v>
      </c>
      <c r="E12" s="456">
        <f>AGOSTO!E12+SEPTIEMBRE!Q12</f>
        <v>0</v>
      </c>
      <c r="F12" s="170">
        <f>SUM(C12:E12)</f>
        <v>0</v>
      </c>
      <c r="G12" s="283">
        <f>AGOSTO!I12</f>
        <v>0</v>
      </c>
      <c r="H12" s="154">
        <v>0</v>
      </c>
      <c r="I12" s="170">
        <f>SUM(G12:H12)</f>
        <v>0</v>
      </c>
      <c r="J12" s="283">
        <f>AGOSTO!L12</f>
        <v>0</v>
      </c>
      <c r="K12" s="154">
        <v>0</v>
      </c>
      <c r="L12" s="170">
        <f>SUM(J12:K12)</f>
        <v>0</v>
      </c>
      <c r="M12" s="283">
        <f>F12-I12</f>
        <v>0</v>
      </c>
      <c r="N12" s="170">
        <f>F12-L12</f>
        <v>0</v>
      </c>
      <c r="O12" s="365"/>
      <c r="P12" s="455">
        <v>0</v>
      </c>
      <c r="Q12" s="458">
        <v>0</v>
      </c>
      <c r="S12" s="459">
        <f>+IF(AGOSTO!S12=0,"",AGOSTO!S12)</f>
        <v>1000000</v>
      </c>
      <c r="T12" s="460" t="str">
        <f>+IF(AGOSTO!T12=0,"",AGOSTO!T12)</f>
        <v>GASTOS DE PERSONAL</v>
      </c>
      <c r="U12" s="461">
        <f t="shared" ref="U12:AJ12" si="9">U14+U63</f>
        <v>2360005696</v>
      </c>
      <c r="V12" s="462">
        <f t="shared" si="9"/>
        <v>0</v>
      </c>
      <c r="W12" s="462">
        <f t="shared" si="9"/>
        <v>19989110</v>
      </c>
      <c r="X12" s="463">
        <f t="shared" si="9"/>
        <v>2379994806</v>
      </c>
      <c r="Y12" s="445">
        <f t="shared" si="9"/>
        <v>1432076165</v>
      </c>
      <c r="Z12" s="462">
        <f t="shared" si="9"/>
        <v>157943559</v>
      </c>
      <c r="AA12" s="463">
        <f t="shared" si="9"/>
        <v>1590019724</v>
      </c>
      <c r="AB12" s="445">
        <f t="shared" si="9"/>
        <v>1432076165</v>
      </c>
      <c r="AC12" s="462">
        <f t="shared" si="9"/>
        <v>157943559</v>
      </c>
      <c r="AD12" s="463">
        <f t="shared" si="9"/>
        <v>1590019724</v>
      </c>
      <c r="AE12" s="445">
        <f t="shared" si="9"/>
        <v>1351743249</v>
      </c>
      <c r="AF12" s="462">
        <f t="shared" si="9"/>
        <v>154607906</v>
      </c>
      <c r="AG12" s="463">
        <f t="shared" si="9"/>
        <v>1506351155</v>
      </c>
      <c r="AH12" s="445">
        <f t="shared" si="9"/>
        <v>789975082</v>
      </c>
      <c r="AI12" s="462">
        <f t="shared" si="9"/>
        <v>789975082</v>
      </c>
      <c r="AJ12" s="446">
        <f t="shared" si="9"/>
        <v>873643651</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209740082</v>
      </c>
      <c r="BE12" s="93">
        <f>K23</f>
        <v>17467633</v>
      </c>
      <c r="BF12" s="71">
        <f>+BE12+AGOSTO!BE12+JULIO!BE12+JUNIO!BF12</f>
        <v>75630046</v>
      </c>
      <c r="BG12" s="466" t="s">
        <v>412</v>
      </c>
      <c r="BH12" s="102">
        <f>BN25</f>
        <v>328675926</v>
      </c>
      <c r="BI12" s="102">
        <f>BO25</f>
        <v>230157049</v>
      </c>
      <c r="BJ12" s="102">
        <f>BP25</f>
        <v>230129735</v>
      </c>
      <c r="BK12" s="102">
        <f>BQ25</f>
        <v>24589623</v>
      </c>
      <c r="BL12" s="44">
        <f>+BK12+AGOSTO!BK12+JULIO!BK12+JUNIO!BL12</f>
        <v>135086513</v>
      </c>
      <c r="BM12" s="163" t="s">
        <v>472</v>
      </c>
      <c r="BN12" s="104">
        <f>X16+X65-X81-X33-BN10-BN11</f>
        <v>189283317</v>
      </c>
      <c r="BO12" s="102">
        <f>AA16+AA65-AA81-AA33-BO10-BO11</f>
        <v>57040506</v>
      </c>
      <c r="BP12" s="102">
        <f>AD16+AD65-AD81-AD33-BP10-BP11</f>
        <v>57040506</v>
      </c>
      <c r="BQ12" s="103">
        <f>AF16+AF65-AF81-AF33-BQ10-BQ11</f>
        <v>5200452</v>
      </c>
    </row>
    <row r="13" spans="1:69" s="10" customFormat="1" ht="25.5" x14ac:dyDescent="0.25">
      <c r="A13" s="203">
        <f>+IF(AGOSTO!A13=0,"",AGOSTO!A13)</f>
        <v>1002</v>
      </c>
      <c r="B13" s="251" t="str">
        <f>+IF(AGOSTO!B13=0,"",AGOSTO!B13)</f>
        <v>Fondo Vivienda (Caja, Bancos, Inversiones Tempor.) a Dic-31-2013</v>
      </c>
      <c r="C13" s="283">
        <f>+ENERO!C13</f>
        <v>0</v>
      </c>
      <c r="D13" s="456">
        <f>AGOSTO!D13+SEPTIEMBRE!P13</f>
        <v>0</v>
      </c>
      <c r="E13" s="456">
        <f>AGOSTO!E13+SEPTIEMBRE!Q13</f>
        <v>0</v>
      </c>
      <c r="F13" s="170">
        <f>SUM(C13:E13)</f>
        <v>0</v>
      </c>
      <c r="G13" s="283">
        <f>AGOSTO!I13</f>
        <v>0</v>
      </c>
      <c r="H13" s="154">
        <v>0</v>
      </c>
      <c r="I13" s="170">
        <f>SUM(G13:H13)</f>
        <v>0</v>
      </c>
      <c r="J13" s="283">
        <f>AGOSTO!L13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71">
        <f>+BE13+AGOSTO!BE13+JULIO!BE13+JUNIO!BF13</f>
        <v>0</v>
      </c>
      <c r="BG13" s="109" t="s">
        <v>72</v>
      </c>
      <c r="BH13" s="102">
        <f t="shared" ref="BH13:BK15" si="10">BN29</f>
        <v>205410140</v>
      </c>
      <c r="BI13" s="102">
        <f t="shared" si="10"/>
        <v>182141088</v>
      </c>
      <c r="BJ13" s="102">
        <f t="shared" si="10"/>
        <v>182139859</v>
      </c>
      <c r="BK13" s="102">
        <f t="shared" si="10"/>
        <v>56847573</v>
      </c>
      <c r="BL13" s="44">
        <f>+BK13+AGOSTO!BK13+JULIO!BK13+JUNIO!BL13</f>
        <v>170805784</v>
      </c>
      <c r="BM13" s="166" t="s">
        <v>473</v>
      </c>
      <c r="BN13" s="101">
        <f>X43-X55+X57-X61+X90-X102+X104-X108</f>
        <v>566739968</v>
      </c>
      <c r="BO13" s="99">
        <f>AA43-AA55+AA57-AA61+AA90-AA102+AA104-AA108</f>
        <v>374765434</v>
      </c>
      <c r="BP13" s="99">
        <f>AD43-AD55+AD57-AD61+AD90-AD102+AD104-AD108</f>
        <v>374765434</v>
      </c>
      <c r="BQ13" s="100">
        <f>AF43-AF55+AF57-AF61+AF90-AF102+AF104-AF108</f>
        <v>25111973</v>
      </c>
    </row>
    <row r="14" spans="1:69" s="10" customFormat="1" ht="15.75" x14ac:dyDescent="0.25">
      <c r="A14" s="203">
        <f>+IF(AGOSTO!A14=0,"",AGOSTO!A14)</f>
        <v>1003</v>
      </c>
      <c r="B14" s="251" t="str">
        <f>+IF(AGOSTO!B14=0,"",AGOSTO!B14)</f>
        <v>Fondos Comunes y Especiales (Caja, Bancos, Invers. Tempor.) a Dic-31-2013</v>
      </c>
      <c r="C14" s="283">
        <f>+ENERO!C14</f>
        <v>80000000</v>
      </c>
      <c r="D14" s="456">
        <f>AGOSTO!D14+SEPTIEMBRE!P14</f>
        <v>0</v>
      </c>
      <c r="E14" s="456">
        <f>AGOSTO!E14+SEPTIEMBRE!Q14</f>
        <v>33074115</v>
      </c>
      <c r="F14" s="170">
        <f>SUM(C14:E14)</f>
        <v>113074115</v>
      </c>
      <c r="G14" s="283">
        <f>AGOSTO!I14</f>
        <v>113074115</v>
      </c>
      <c r="H14" s="154">
        <v>0</v>
      </c>
      <c r="I14" s="170">
        <f>SUM(G14:H14)</f>
        <v>113074115</v>
      </c>
      <c r="J14" s="283">
        <f>AGOSTO!L14</f>
        <v>113074115</v>
      </c>
      <c r="K14" s="154">
        <v>0</v>
      </c>
      <c r="L14" s="170">
        <f>SUM(J14:K14)</f>
        <v>113074115</v>
      </c>
      <c r="M14" s="283">
        <f>F14-I14</f>
        <v>0</v>
      </c>
      <c r="N14" s="170">
        <f>F14-L14</f>
        <v>0</v>
      </c>
      <c r="O14" s="467"/>
      <c r="P14" s="455">
        <v>0</v>
      </c>
      <c r="Q14" s="458">
        <v>0</v>
      </c>
      <c r="S14" s="469">
        <f>+IF(AGOSTO!S14=0,"",AGOSTO!S14)</f>
        <v>1010000</v>
      </c>
      <c r="T14" s="470" t="str">
        <f>+IF(AGOSTO!T14=0,"",AGOSTO!T14)</f>
        <v>Gastos de Administración</v>
      </c>
      <c r="U14" s="157">
        <f t="shared" ref="U14:AJ14" si="11">U16+U35+U43+U57</f>
        <v>703883287</v>
      </c>
      <c r="V14" s="144">
        <f t="shared" si="11"/>
        <v>-5657703</v>
      </c>
      <c r="W14" s="144">
        <f t="shared" si="11"/>
        <v>1200000</v>
      </c>
      <c r="X14" s="152">
        <f t="shared" si="11"/>
        <v>699425584</v>
      </c>
      <c r="Y14" s="151">
        <f t="shared" si="11"/>
        <v>392540230</v>
      </c>
      <c r="Z14" s="144">
        <f t="shared" si="11"/>
        <v>48683329</v>
      </c>
      <c r="AA14" s="152">
        <f t="shared" si="11"/>
        <v>441223559</v>
      </c>
      <c r="AB14" s="151">
        <f t="shared" si="11"/>
        <v>392540230</v>
      </c>
      <c r="AC14" s="144">
        <f t="shared" si="11"/>
        <v>48683329</v>
      </c>
      <c r="AD14" s="152">
        <f t="shared" si="11"/>
        <v>441223559</v>
      </c>
      <c r="AE14" s="151">
        <f t="shared" si="11"/>
        <v>377402685</v>
      </c>
      <c r="AF14" s="144">
        <f t="shared" si="11"/>
        <v>45236510</v>
      </c>
      <c r="AG14" s="152">
        <f t="shared" si="11"/>
        <v>422639195</v>
      </c>
      <c r="AH14" s="151">
        <f t="shared" si="11"/>
        <v>258202025</v>
      </c>
      <c r="AI14" s="144">
        <f t="shared" si="11"/>
        <v>258202025</v>
      </c>
      <c r="AJ14" s="153">
        <f t="shared" si="11"/>
        <v>276786389</v>
      </c>
      <c r="AK14" s="12"/>
      <c r="AL14" s="151">
        <f>AL16+AL35+AL43+AL57</f>
        <v>0</v>
      </c>
      <c r="AM14" s="153">
        <f>AM16+AM35+AM43+AM57</f>
        <v>0</v>
      </c>
      <c r="AO14" s="23"/>
      <c r="AP14" s="13" t="s">
        <v>75</v>
      </c>
      <c r="AQ14" s="14">
        <f>F19-AQ7-AQ8-AQ9-AQ10-AQ11-AQ12-AQ13</f>
        <v>387837872</v>
      </c>
      <c r="AR14" s="14">
        <f>I19-AR7-AR8-AR9-AR10-AR11-AR12-AR13</f>
        <v>295182241</v>
      </c>
      <c r="AS14" s="14">
        <f>L19-AS7-AS8-AS9-AS10-AS11-AS12-AS13</f>
        <v>253014489</v>
      </c>
      <c r="AT14" s="467"/>
      <c r="AU14" s="429">
        <f t="shared" si="0"/>
        <v>0.76109700034657779</v>
      </c>
      <c r="AV14" s="429">
        <f t="shared" si="1"/>
        <v>0.65237179570745996</v>
      </c>
      <c r="AW14" s="430">
        <f>(I41+I46+I49+I52+I55+I58+I61+I64+I67+I70+I73+I78+I81+I82+I83+I86+I87+I93)/AO$2*12+I47+I50+I53+I56+I59+I62+I65+I68+I71+I74</f>
        <v>372054585.66666663</v>
      </c>
      <c r="AX14" s="430">
        <f>(L41+L46+L49+L52+L55+L58+L61+L64+L67+L70+L73+L78+L81+L82+L83+L86+L87+L93)/AO$2*12+L47+L50+L53+L56+L59+L62+L65+L68+L71+L74</f>
        <v>315830916.33333337</v>
      </c>
      <c r="AY14" s="430">
        <f t="shared" si="2"/>
        <v>-15783286.333333373</v>
      </c>
      <c r="AZ14" s="431">
        <f t="shared" si="3"/>
        <v>-72006955.666666627</v>
      </c>
      <c r="BB14" s="468" t="s">
        <v>461</v>
      </c>
      <c r="BC14" s="110">
        <f>+F64</f>
        <v>40103182</v>
      </c>
      <c r="BD14" s="111">
        <f>+I64</f>
        <v>25980551</v>
      </c>
      <c r="BE14" s="112">
        <f>K64</f>
        <v>1652090</v>
      </c>
      <c r="BF14" s="71">
        <f>+BE14+AGOSTO!BE14+JULIO!BE14+JUNIO!BF14</f>
        <v>17800975</v>
      </c>
      <c r="BG14" s="109" t="s">
        <v>76</v>
      </c>
      <c r="BH14" s="99">
        <f t="shared" si="10"/>
        <v>0</v>
      </c>
      <c r="BI14" s="99">
        <f t="shared" si="10"/>
        <v>0</v>
      </c>
      <c r="BJ14" s="99">
        <f t="shared" si="10"/>
        <v>0</v>
      </c>
      <c r="BK14" s="99">
        <f t="shared" si="10"/>
        <v>0</v>
      </c>
      <c r="BL14" s="44">
        <f>+BK14+AGOSTO!BK14+JULIO!BK14+JUNIO!BL14</f>
        <v>0</v>
      </c>
      <c r="BM14" s="165" t="s">
        <v>469</v>
      </c>
      <c r="BN14" s="104">
        <f>X35-X41+X83-X88</f>
        <v>176434955</v>
      </c>
      <c r="BO14" s="102">
        <f>AA35-AA41+AA83-AA88</f>
        <v>84031619</v>
      </c>
      <c r="BP14" s="102">
        <f>AD35-AD41+AD83-AD88</f>
        <v>84031619</v>
      </c>
      <c r="BQ14" s="103">
        <f>AF35-AF41+AF83-AF88</f>
        <v>7706029</v>
      </c>
    </row>
    <row r="15" spans="1:69" s="10" customFormat="1" ht="16.5" thickBot="1" x14ac:dyDescent="0.3">
      <c r="A15" s="204">
        <f>+IF(AGOSTO!A15=0,"",AGOSTO!A15)</f>
        <v>1004</v>
      </c>
      <c r="B15" s="677" t="str">
        <f>+IF(AGOSTO!B15=0,"",AGOSTO!B15)</f>
        <v>Cesantias Ley 50/1990 a Dic-31-2013</v>
      </c>
      <c r="C15" s="474">
        <f>+ENERO!C15</f>
        <v>20000000</v>
      </c>
      <c r="D15" s="472">
        <f>AGOSTO!D15+SEPTIEMBRE!P15</f>
        <v>0</v>
      </c>
      <c r="E15" s="472">
        <f>AGOSTO!E15+SEPTIEMBRE!Q15</f>
        <v>0</v>
      </c>
      <c r="F15" s="473">
        <f>SUM(C15:E15)</f>
        <v>20000000</v>
      </c>
      <c r="G15" s="474">
        <f>AGOSTO!I15</f>
        <v>20000000</v>
      </c>
      <c r="H15" s="197">
        <v>0</v>
      </c>
      <c r="I15" s="473">
        <f>SUM(G15:H15)</f>
        <v>20000000</v>
      </c>
      <c r="J15" s="474">
        <f>AGOSTO!L15</f>
        <v>20000000</v>
      </c>
      <c r="K15" s="197">
        <v>0</v>
      </c>
      <c r="L15" s="473">
        <f>SUM(J15:K15)</f>
        <v>20000000</v>
      </c>
      <c r="M15" s="474">
        <f>F15-I15</f>
        <v>0</v>
      </c>
      <c r="N15" s="473">
        <f>F15-L15</f>
        <v>0</v>
      </c>
      <c r="O15" s="467"/>
      <c r="P15" s="471">
        <v>0</v>
      </c>
      <c r="Q15" s="476">
        <v>0</v>
      </c>
      <c r="S15" s="448" t="str">
        <f>+IF(AGOSTO!S15=0,"",AGOSTO!S15)</f>
        <v/>
      </c>
      <c r="T15" s="649" t="str">
        <f>+IF(AGOSTO!T15=0,"",AGOSTO!T15)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145304326</v>
      </c>
      <c r="AS15" s="14">
        <f>L108</f>
        <v>145304326</v>
      </c>
      <c r="AT15" s="15"/>
      <c r="AU15" s="419">
        <f t="shared" si="0"/>
        <v>0.96507629683978402</v>
      </c>
      <c r="AV15" s="429">
        <f t="shared" si="1"/>
        <v>0.96507629683978402</v>
      </c>
      <c r="AW15" s="14">
        <f>AQ15</f>
        <v>150562527</v>
      </c>
      <c r="AX15" s="14">
        <f>AR15</f>
        <v>145304326</v>
      </c>
      <c r="AY15" s="14">
        <f t="shared" si="2"/>
        <v>0</v>
      </c>
      <c r="AZ15" s="420">
        <f t="shared" si="3"/>
        <v>-5258201</v>
      </c>
      <c r="BA15" s="467"/>
      <c r="BB15" s="468" t="s">
        <v>79</v>
      </c>
      <c r="BC15" s="110">
        <f>F46+F49</f>
        <v>0</v>
      </c>
      <c r="BD15" s="111">
        <f>I46+I49</f>
        <v>0</v>
      </c>
      <c r="BE15" s="112">
        <f>K46+K49</f>
        <v>0</v>
      </c>
      <c r="BF15" s="71">
        <f>+BE15+AGOSTO!BE15+JULIO!BE15+JUNIO!BF15</f>
        <v>0</v>
      </c>
      <c r="BG15" s="109" t="s">
        <v>80</v>
      </c>
      <c r="BH15" s="99">
        <f t="shared" si="10"/>
        <v>145919491</v>
      </c>
      <c r="BI15" s="99">
        <f t="shared" si="10"/>
        <v>145453491</v>
      </c>
      <c r="BJ15" s="99">
        <f t="shared" si="10"/>
        <v>145453491</v>
      </c>
      <c r="BK15" s="99">
        <f t="shared" si="10"/>
        <v>0</v>
      </c>
      <c r="BL15" s="44">
        <f>+BK15+AGOSTO!BK15+JULIO!BK15+JUNIO!BL15</f>
        <v>144524291</v>
      </c>
      <c r="BM15" s="89" t="s">
        <v>68</v>
      </c>
      <c r="BN15" s="101">
        <f>SUM(BN16:BN21)</f>
        <v>622444299</v>
      </c>
      <c r="BO15" s="99">
        <f>SUM(BO16:BO21)</f>
        <v>463028206</v>
      </c>
      <c r="BP15" s="99">
        <f>SUM(BP16:BP21)</f>
        <v>462758204</v>
      </c>
      <c r="BQ15" s="100">
        <f>SUM(BQ16:BQ21)</f>
        <v>52127556</v>
      </c>
    </row>
    <row r="16" spans="1:69" s="10" customFormat="1" ht="15.75" thickBot="1" x14ac:dyDescent="0.3">
      <c r="A16" s="198" t="str">
        <f>+IF(AGOSTO!A16=0,"",AGOSTO!A16)</f>
        <v/>
      </c>
      <c r="B16" s="477" t="str">
        <f>+IF(AGOSTO!B16=0,"",AGOSTO!B16)</f>
        <v/>
      </c>
      <c r="C16" s="478"/>
      <c r="D16" s="478"/>
      <c r="E16" s="478"/>
      <c r="F16" s="478"/>
      <c r="G16" s="478"/>
      <c r="H16" s="478"/>
      <c r="I16" s="478"/>
      <c r="J16" s="478"/>
      <c r="K16" s="478"/>
      <c r="L16" s="478"/>
      <c r="M16" s="478"/>
      <c r="N16" s="479"/>
      <c r="O16" s="467"/>
      <c r="P16" s="480"/>
      <c r="Q16" s="481"/>
      <c r="S16" s="34">
        <f>+IF(AGOSTO!S16=0,"",AGOSTO!S16)</f>
        <v>1010100</v>
      </c>
      <c r="T16" s="158" t="str">
        <f>+IF(AGOSTO!T16=0,"",AGOSTO!T16)</f>
        <v>Servicios Personales Asociados a Nómina</v>
      </c>
      <c r="U16" s="157">
        <f t="shared" ref="U16:AJ16" si="12">SUM(U17:U20)+U33</f>
        <v>451022301</v>
      </c>
      <c r="V16" s="144">
        <f t="shared" si="12"/>
        <v>-3476851</v>
      </c>
      <c r="W16" s="144">
        <f t="shared" si="12"/>
        <v>0</v>
      </c>
      <c r="X16" s="152">
        <f t="shared" si="12"/>
        <v>447545450</v>
      </c>
      <c r="Y16" s="151">
        <f t="shared" si="12"/>
        <v>253460374</v>
      </c>
      <c r="Z16" s="144">
        <f t="shared" si="12"/>
        <v>33222993</v>
      </c>
      <c r="AA16" s="152">
        <f t="shared" si="12"/>
        <v>286683367</v>
      </c>
      <c r="AB16" s="151">
        <f t="shared" si="12"/>
        <v>253460374</v>
      </c>
      <c r="AC16" s="144">
        <f t="shared" si="12"/>
        <v>33222993</v>
      </c>
      <c r="AD16" s="152">
        <f t="shared" si="12"/>
        <v>286683367</v>
      </c>
      <c r="AE16" s="151">
        <f t="shared" si="12"/>
        <v>247874929</v>
      </c>
      <c r="AF16" s="144">
        <f t="shared" si="12"/>
        <v>33836996</v>
      </c>
      <c r="AG16" s="152">
        <f t="shared" si="12"/>
        <v>281711925</v>
      </c>
      <c r="AH16" s="151">
        <f t="shared" si="12"/>
        <v>160862083</v>
      </c>
      <c r="AI16" s="144">
        <f t="shared" si="12"/>
        <v>160862083</v>
      </c>
      <c r="AJ16" s="153">
        <f t="shared" si="12"/>
        <v>165833525</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81143316</v>
      </c>
      <c r="BE16" s="93">
        <f>K43</f>
        <v>0</v>
      </c>
      <c r="BF16" s="71">
        <f>+BE16+AGOSTO!BE16+JULIO!BE16+JUNIO!BF16</f>
        <v>53022786</v>
      </c>
      <c r="BG16" s="109" t="s">
        <v>84</v>
      </c>
      <c r="BH16" s="114">
        <f>BH7+BH12+BH13+BH14+BH15</f>
        <v>3839134335</v>
      </c>
      <c r="BI16" s="114">
        <f>BI7+BI12+BI13+BI14+BI15</f>
        <v>2667017680</v>
      </c>
      <c r="BJ16" s="114">
        <f>BJ7+BJ12+BJ13+BJ14+BJ15</f>
        <v>2666719135</v>
      </c>
      <c r="BK16" s="114">
        <f>BK7+BK12+BK13+BK14+BK15</f>
        <v>296725406</v>
      </c>
      <c r="BL16" s="44">
        <f>+BK16+AGOSTO!BK16+JULIO!BK16+JUNIO!BL16</f>
        <v>2413874843</v>
      </c>
      <c r="BM16" s="164" t="s">
        <v>85</v>
      </c>
      <c r="BN16" s="101">
        <f>X114-X121+X147-X148-X153</f>
        <v>157592049</v>
      </c>
      <c r="BO16" s="99">
        <f>AA114-AA121+AA147-AA148-AA153</f>
        <v>130691959</v>
      </c>
      <c r="BP16" s="99">
        <f>AD114-AD121+AD147-AD148-AD153</f>
        <v>130691957</v>
      </c>
      <c r="BQ16" s="100">
        <f>AF114-AF121+AF147-AF148-AF153</f>
        <v>7271166</v>
      </c>
    </row>
    <row r="17" spans="1:70" s="467" customFormat="1" ht="17.25" thickBot="1" x14ac:dyDescent="0.3">
      <c r="A17" s="433">
        <f>+IF(AGOSTO!A17=0,"",AGOSTO!A17)</f>
        <v>11</v>
      </c>
      <c r="B17" s="439" t="str">
        <f>+IF(AGOSTO!B17=0,"",AGOSTO!B17)</f>
        <v>INGRESOS  CORRIENTES</v>
      </c>
      <c r="C17" s="435">
        <f>C19+C99</f>
        <v>3530048625</v>
      </c>
      <c r="D17" s="435">
        <f t="shared" ref="D17:N17" si="13">D19+D99</f>
        <v>0</v>
      </c>
      <c r="E17" s="435">
        <f t="shared" si="13"/>
        <v>25449068</v>
      </c>
      <c r="F17" s="435">
        <f t="shared" si="13"/>
        <v>3555497693</v>
      </c>
      <c r="G17" s="435">
        <f t="shared" si="13"/>
        <v>2639159609</v>
      </c>
      <c r="H17" s="435">
        <f t="shared" si="13"/>
        <v>314780992</v>
      </c>
      <c r="I17" s="435">
        <f t="shared" si="13"/>
        <v>2953940601</v>
      </c>
      <c r="J17" s="435">
        <f t="shared" si="13"/>
        <v>2232641679</v>
      </c>
      <c r="K17" s="435">
        <f t="shared" si="13"/>
        <v>282276158</v>
      </c>
      <c r="L17" s="435">
        <f t="shared" si="13"/>
        <v>2514917837</v>
      </c>
      <c r="M17" s="435">
        <f t="shared" si="13"/>
        <v>601557092</v>
      </c>
      <c r="N17" s="216">
        <f t="shared" si="13"/>
        <v>1040579856</v>
      </c>
      <c r="P17" s="215">
        <f>P19+P99</f>
        <v>0</v>
      </c>
      <c r="Q17" s="216">
        <f>Q19+Q99</f>
        <v>0</v>
      </c>
      <c r="R17" s="10"/>
      <c r="S17" s="155">
        <f>+IF(AGOSTO!S17=0,"",AGOSTO!S17)</f>
        <v>1010101</v>
      </c>
      <c r="T17" s="159" t="str">
        <f>+IF(AGOSTO!T17=0,"",AGOSTO!T17)</f>
        <v>Sueldos del Personal de nómina</v>
      </c>
      <c r="U17" s="29">
        <f>+ENERO!U17</f>
        <v>368370792</v>
      </c>
      <c r="V17" s="17">
        <f>AGOSTO!V17+SEPTIEMBRE!AL17</f>
        <v>0</v>
      </c>
      <c r="W17" s="17">
        <f>AGOSTO!W17+SEPTIEMBRE!AM17</f>
        <v>0</v>
      </c>
      <c r="X17" s="20">
        <f>SUM(U17:W17)</f>
        <v>368370792</v>
      </c>
      <c r="Y17" s="21">
        <f>AGOSTO!AA17</f>
        <v>229767034</v>
      </c>
      <c r="Z17" s="457">
        <v>29227632</v>
      </c>
      <c r="AA17" s="20">
        <f>SUM(Y17:Z17)</f>
        <v>258994666</v>
      </c>
      <c r="AB17" s="21">
        <f>AGOSTO!AD17</f>
        <v>229767034</v>
      </c>
      <c r="AC17" s="457">
        <v>29227632</v>
      </c>
      <c r="AD17" s="20">
        <f>SUM(AB17:AC17)</f>
        <v>258994666</v>
      </c>
      <c r="AE17" s="21">
        <f>AGOSTO!AG17</f>
        <v>224606342</v>
      </c>
      <c r="AF17" s="457">
        <v>29416882</v>
      </c>
      <c r="AG17" s="20">
        <f>SUM(AE17:AF17)</f>
        <v>254023224</v>
      </c>
      <c r="AH17" s="21">
        <f>X17-AA17</f>
        <v>109376126</v>
      </c>
      <c r="AI17" s="17">
        <f>X17-AD17</f>
        <v>109376126</v>
      </c>
      <c r="AJ17" s="18">
        <f>X17-AG17</f>
        <v>114347568</v>
      </c>
      <c r="AK17" s="10"/>
      <c r="AL17" s="455">
        <v>0</v>
      </c>
      <c r="AM17" s="458">
        <v>0</v>
      </c>
      <c r="AN17" s="10"/>
      <c r="AO17" s="428"/>
      <c r="AP17" s="488" t="s">
        <v>87</v>
      </c>
      <c r="AQ17" s="489">
        <f>SUM(AQ7:AQ16)</f>
        <v>3586608894</v>
      </c>
      <c r="AR17" s="490">
        <f>SUM(AR7:AR16)</f>
        <v>3042924996</v>
      </c>
      <c r="AS17" s="491">
        <f>SUM(AS7:AS16)</f>
        <v>2603902232</v>
      </c>
      <c r="AT17" s="492"/>
      <c r="AU17" s="490">
        <f t="shared" si="0"/>
        <v>0.84841282836566789</v>
      </c>
      <c r="AV17" s="490">
        <f t="shared" si="1"/>
        <v>0.72600674033793888</v>
      </c>
      <c r="AW17" s="493">
        <f>SUM(AX7:AX16)</f>
        <v>3254566503.0000005</v>
      </c>
      <c r="AX17" s="493">
        <f>SUM(AX7:AX16)</f>
        <v>3254566503.0000005</v>
      </c>
      <c r="AY17" s="493">
        <f>SUM(AY7:AY16)</f>
        <v>258579495.33333331</v>
      </c>
      <c r="AZ17" s="494">
        <f>SUM(AZ7:AZ16)</f>
        <v>-332042390.99999982</v>
      </c>
      <c r="BA17" s="10"/>
      <c r="BB17" s="468" t="s">
        <v>463</v>
      </c>
      <c r="BC17" s="91">
        <f>F41+F52+F55+F58+F61+F67+F70+F73+F76+F79+F82+F88+F89+F90+F91</f>
        <v>177489895</v>
      </c>
      <c r="BD17" s="92">
        <f>I41+I52+I55+I58+I61+I67+I70+I73+I76+I79+I82+I88+I89+I90+I91</f>
        <v>122101748</v>
      </c>
      <c r="BE17" s="93">
        <f>K41+K52+K55+K58+K61+K67+K70+K73+K76+K79+K82+K88+K89+K90+K91</f>
        <v>9535106</v>
      </c>
      <c r="BF17" s="71">
        <f>+BE17+AGOSTO!BE17+JULIO!BE17+JUNIO!BF17</f>
        <v>88113572</v>
      </c>
      <c r="BG17" s="116" t="s">
        <v>88</v>
      </c>
      <c r="BH17" s="117">
        <f>BC23-BH16</f>
        <v>0</v>
      </c>
      <c r="BI17" s="117"/>
      <c r="BJ17" s="117"/>
      <c r="BK17" s="117"/>
      <c r="BL17" s="44">
        <f>+BK17+AGOSTO!BK17+JULIO!BK17+JUNIO!BL17</f>
        <v>0</v>
      </c>
      <c r="BM17" s="164" t="s">
        <v>479</v>
      </c>
      <c r="BN17" s="101">
        <f>X123-X126-X139+X155-X156-X167-X168</f>
        <v>191636548</v>
      </c>
      <c r="BO17" s="99">
        <f>AA123-AA126-AA139+AA155-AA156-AA167-AA168</f>
        <v>135788250</v>
      </c>
      <c r="BP17" s="99">
        <f>AD123-AD126-AD139+AD155-AD156-AD167-AD168</f>
        <v>135788250</v>
      </c>
      <c r="BQ17" s="100">
        <f>AF123-AF126-AF139+AF155-AF156-AF167-AF168</f>
        <v>12392753</v>
      </c>
      <c r="BR17" s="10"/>
    </row>
    <row r="18" spans="1:70" s="10" customFormat="1" ht="15.75" thickBot="1" x14ac:dyDescent="0.3">
      <c r="A18" s="202" t="str">
        <f>+IF(AGOSTO!A18=0,"",AGOSTO!A18)</f>
        <v/>
      </c>
      <c r="B18" s="201" t="str">
        <f>+IF(AGOSTO!B18=0,"",AGOSTO!B18)</f>
        <v/>
      </c>
      <c r="C18" s="495"/>
      <c r="D18" s="495"/>
      <c r="E18" s="495"/>
      <c r="F18" s="495"/>
      <c r="G18" s="495"/>
      <c r="H18" s="495"/>
      <c r="I18" s="495"/>
      <c r="J18" s="495"/>
      <c r="K18" s="495"/>
      <c r="L18" s="495"/>
      <c r="M18" s="495"/>
      <c r="N18" s="496"/>
      <c r="P18" s="497"/>
      <c r="Q18" s="496"/>
      <c r="S18" s="155">
        <f>+IF(AGOSTO!S18=0,"",AGOSTO!S18)</f>
        <v>1010102</v>
      </c>
      <c r="T18" s="159" t="str">
        <f>+IF(AGOSTO!T18=0,"",AGOSTO!T18)</f>
        <v>Horas Extras,Dominic.,Festivos y Rec. Nocturnos</v>
      </c>
      <c r="U18" s="29">
        <f>+ENERO!U18</f>
        <v>20119405</v>
      </c>
      <c r="V18" s="17">
        <f>AGOSTO!V18+SEPTIEMBRE!AL18</f>
        <v>0</v>
      </c>
      <c r="W18" s="17">
        <f>AGOSTO!W18+SEPTIEMBRE!AM18</f>
        <v>0</v>
      </c>
      <c r="X18" s="20">
        <f>SUM(U18:W18)</f>
        <v>20119405</v>
      </c>
      <c r="Y18" s="21">
        <f>AGOSTO!AA18</f>
        <v>7599688</v>
      </c>
      <c r="Z18" s="457">
        <v>1058084</v>
      </c>
      <c r="AA18" s="20">
        <f>SUM(Y18:Z18)</f>
        <v>8657772</v>
      </c>
      <c r="AB18" s="21">
        <f>AGOSTO!AD18</f>
        <v>7599688</v>
      </c>
      <c r="AC18" s="457">
        <v>1058084</v>
      </c>
      <c r="AD18" s="20">
        <f>SUM(AB18:AC18)</f>
        <v>8657772</v>
      </c>
      <c r="AE18" s="21">
        <f>AGOSTO!AG18</f>
        <v>7599688</v>
      </c>
      <c r="AF18" s="457">
        <v>1058084</v>
      </c>
      <c r="AG18" s="20">
        <f>SUM(AE18:AF18)</f>
        <v>8657772</v>
      </c>
      <c r="AH18" s="21">
        <f>X18-AA18</f>
        <v>11461633</v>
      </c>
      <c r="AI18" s="17">
        <f>X18-AD18</f>
        <v>11461633</v>
      </c>
      <c r="AJ18" s="18">
        <f>X18-AG18</f>
        <v>11461633</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189394046</v>
      </c>
      <c r="BE18" s="93">
        <f>K100+K101+K102+K105</f>
        <v>21043787</v>
      </c>
      <c r="BF18" s="71">
        <f>+BE18+AGOSTO!BE18+JULIO!BE18+JUNIO!BF18</f>
        <v>189394046</v>
      </c>
      <c r="BM18" s="164" t="s">
        <v>89</v>
      </c>
      <c r="BN18" s="101">
        <f>X148+X156</f>
        <v>222935242</v>
      </c>
      <c r="BO18" s="99">
        <f>AA148+AA156</f>
        <v>156687424</v>
      </c>
      <c r="BP18" s="99">
        <f>AD148+AD156</f>
        <v>156417424</v>
      </c>
      <c r="BQ18" s="100">
        <f>AF148+AF156</f>
        <v>28084408</v>
      </c>
      <c r="BR18" s="467"/>
    </row>
    <row r="19" spans="1:70" s="10" customFormat="1" ht="15.75" x14ac:dyDescent="0.25">
      <c r="A19" s="498">
        <f>+IF(AGOSTO!A19=0,"",AGOSTO!A19)</f>
        <v>113</v>
      </c>
      <c r="B19" s="499" t="str">
        <f>+IF(AGOSTO!B19=0,"",AGOSTO!B19)</f>
        <v>VENTA DE SERVICIOS</v>
      </c>
      <c r="C19" s="53">
        <f t="shared" ref="C19:N19" si="14">C21+C85</f>
        <v>3530048625</v>
      </c>
      <c r="D19" s="53">
        <f t="shared" si="14"/>
        <v>-227076373</v>
      </c>
      <c r="E19" s="53">
        <f t="shared" si="14"/>
        <v>0</v>
      </c>
      <c r="F19" s="54">
        <f t="shared" si="14"/>
        <v>3302972252</v>
      </c>
      <c r="G19" s="52">
        <f t="shared" si="14"/>
        <v>2470809350</v>
      </c>
      <c r="H19" s="53">
        <f t="shared" si="14"/>
        <v>293737205</v>
      </c>
      <c r="I19" s="54">
        <f t="shared" si="14"/>
        <v>2764546555</v>
      </c>
      <c r="J19" s="52">
        <f t="shared" si="14"/>
        <v>2064291420</v>
      </c>
      <c r="K19" s="53">
        <f t="shared" si="14"/>
        <v>261232371</v>
      </c>
      <c r="L19" s="54">
        <f t="shared" si="14"/>
        <v>2325523791</v>
      </c>
      <c r="M19" s="52">
        <f t="shared" si="14"/>
        <v>538425697</v>
      </c>
      <c r="N19" s="54">
        <f t="shared" si="14"/>
        <v>977448461</v>
      </c>
      <c r="O19" s="467"/>
      <c r="P19" s="52">
        <f>P21+P85</f>
        <v>0</v>
      </c>
      <c r="Q19" s="54">
        <f>Q21+Q85</f>
        <v>0</v>
      </c>
      <c r="S19" s="155">
        <f>+IF(AGOSTO!S19=0,"",AGOSTO!S19)</f>
        <v>1010103</v>
      </c>
      <c r="T19" s="159" t="str">
        <f>+IF(AGOSTO!T19=0,"",AGOSTO!T19)</f>
        <v>Prima Técnica</v>
      </c>
      <c r="U19" s="29">
        <f>+ENERO!U19</f>
        <v>0</v>
      </c>
      <c r="V19" s="17">
        <f>AGOSTO!V19+SEPTIEMBRE!AL19</f>
        <v>0</v>
      </c>
      <c r="W19" s="17">
        <f>AGOSTO!W19+SEPTIEMBRE!AM19</f>
        <v>0</v>
      </c>
      <c r="X19" s="20">
        <f>SUM(U19:W19)</f>
        <v>0</v>
      </c>
      <c r="Y19" s="21">
        <f>AGOSTO!AA19</f>
        <v>0</v>
      </c>
      <c r="Z19" s="457">
        <v>0</v>
      </c>
      <c r="AA19" s="20">
        <f>SUM(Y19:Z19)</f>
        <v>0</v>
      </c>
      <c r="AB19" s="21">
        <f>AGOSTO!AD19</f>
        <v>0</v>
      </c>
      <c r="AC19" s="457">
        <v>0</v>
      </c>
      <c r="AD19" s="20">
        <f>SUM(AB19:AC19)</f>
        <v>0</v>
      </c>
      <c r="AE19" s="21">
        <f>AGOSTO!AG19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115394740</v>
      </c>
      <c r="BE19" s="112">
        <f>K86+K87+K93+K103+K104</f>
        <v>4954943</v>
      </c>
      <c r="BF19" s="71">
        <f>+BE19+AGOSTO!BE19+JULIO!BE19+JUNIO!BF19</f>
        <v>115394740</v>
      </c>
      <c r="BG19" s="467"/>
      <c r="BH19" s="467">
        <f>BN33</f>
        <v>0</v>
      </c>
      <c r="BI19" s="467"/>
      <c r="BJ19" s="467"/>
      <c r="BK19" s="467"/>
      <c r="BM19" s="164" t="s">
        <v>96</v>
      </c>
      <c r="BN19" s="101">
        <f>X126+X167</f>
        <v>49280460</v>
      </c>
      <c r="BO19" s="99">
        <f>AA126+AA167</f>
        <v>39860573</v>
      </c>
      <c r="BP19" s="99">
        <f>AD126+AD167</f>
        <v>39860573</v>
      </c>
      <c r="BQ19" s="100">
        <f>AF126+AF167</f>
        <v>4379229</v>
      </c>
    </row>
    <row r="20" spans="1:70" s="514" customFormat="1" ht="15" x14ac:dyDescent="0.25">
      <c r="A20" s="202" t="str">
        <f>+IF(AGOSTO!A20=0,"",AGOSTO!A20)</f>
        <v/>
      </c>
      <c r="B20" s="201" t="str">
        <f>+IF(AGOSTO!B20=0,"",AGOSTO!B20)</f>
        <v/>
      </c>
      <c r="C20" s="495"/>
      <c r="D20" s="495"/>
      <c r="E20" s="495"/>
      <c r="F20" s="495"/>
      <c r="G20" s="495"/>
      <c r="H20" s="495"/>
      <c r="I20" s="495"/>
      <c r="J20" s="495"/>
      <c r="K20" s="495"/>
      <c r="L20" s="495"/>
      <c r="M20" s="495"/>
      <c r="N20" s="496"/>
      <c r="O20" s="10"/>
      <c r="P20" s="497"/>
      <c r="Q20" s="496"/>
      <c r="R20" s="10"/>
      <c r="S20" s="155">
        <f>+IF(AGOSTO!S20=0,"",AGOSTO!S20)</f>
        <v>1010104</v>
      </c>
      <c r="T20" s="159" t="str">
        <f>+IF(AGOSTO!T20=0,"",AGOSTO!T20)</f>
        <v>Otros</v>
      </c>
      <c r="U20" s="29">
        <f t="shared" ref="U20:AJ20" si="15">SUM(U21:U32)</f>
        <v>58502253</v>
      </c>
      <c r="V20" s="17">
        <f t="shared" si="15"/>
        <v>0</v>
      </c>
      <c r="W20" s="17">
        <f t="shared" si="15"/>
        <v>0</v>
      </c>
      <c r="X20" s="20">
        <f t="shared" si="15"/>
        <v>58502253</v>
      </c>
      <c r="Y20" s="21">
        <f t="shared" si="15"/>
        <v>15540652</v>
      </c>
      <c r="Z20" s="169">
        <f t="shared" si="15"/>
        <v>2937277</v>
      </c>
      <c r="AA20" s="20">
        <f t="shared" si="15"/>
        <v>18477929</v>
      </c>
      <c r="AB20" s="21">
        <f t="shared" si="15"/>
        <v>15540652</v>
      </c>
      <c r="AC20" s="169">
        <f t="shared" si="15"/>
        <v>2937277</v>
      </c>
      <c r="AD20" s="20">
        <f t="shared" si="15"/>
        <v>18477929</v>
      </c>
      <c r="AE20" s="21">
        <f t="shared" si="15"/>
        <v>15115899</v>
      </c>
      <c r="AF20" s="169">
        <f t="shared" si="15"/>
        <v>3362030</v>
      </c>
      <c r="AG20" s="20">
        <f t="shared" si="15"/>
        <v>18477929</v>
      </c>
      <c r="AH20" s="21">
        <f t="shared" si="15"/>
        <v>40024324</v>
      </c>
      <c r="AI20" s="17">
        <f t="shared" si="15"/>
        <v>40024324</v>
      </c>
      <c r="AJ20" s="18">
        <f t="shared" si="15"/>
        <v>40024324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674732</v>
      </c>
      <c r="BE20" s="85">
        <f>+K109+K111+K113+K114+K115</f>
        <v>29929</v>
      </c>
      <c r="BF20" s="71">
        <f>+BE20+AGOSTO!BE20+JULIO!BE20+JUNIO!BF20</f>
        <v>674732</v>
      </c>
      <c r="BG20" s="467"/>
      <c r="BH20" s="467">
        <f>BH19-BH16</f>
        <v>-3839134335</v>
      </c>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+IF(AGOSTO!A21=0,"",AGOSTO!A21)</f>
        <v>11301</v>
      </c>
      <c r="B21" s="516" t="str">
        <f>+IF(AGOSTO!B21=0,"",AGOSTO!B21)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2360369553</v>
      </c>
      <c r="H21" s="518">
        <f t="shared" si="16"/>
        <v>288782262</v>
      </c>
      <c r="I21" s="519">
        <f t="shared" si="16"/>
        <v>2649151815</v>
      </c>
      <c r="J21" s="517">
        <f t="shared" si="16"/>
        <v>1953851623</v>
      </c>
      <c r="K21" s="518">
        <f t="shared" si="16"/>
        <v>256277428</v>
      </c>
      <c r="L21" s="519">
        <f t="shared" si="16"/>
        <v>2210129051</v>
      </c>
      <c r="M21" s="517">
        <f t="shared" si="16"/>
        <v>538641408</v>
      </c>
      <c r="N21" s="519">
        <f t="shared" si="16"/>
        <v>977664172</v>
      </c>
      <c r="O21" s="467"/>
      <c r="P21" s="52">
        <f>P22+P25+P28+P41+P42+P45+P48+P51+P54+P57+P60+P63+P66+P69+P72+P75+P78+P81</f>
        <v>0</v>
      </c>
      <c r="Q21" s="54">
        <f>Q22+Q25+Q28+Q41+Q42+Q45+Q48+Q51+Q54+Q57+Q60+Q63+Q66+Q69+Q72+Q75+Q78+Q81</f>
        <v>0</v>
      </c>
      <c r="R21" s="10"/>
      <c r="S21" s="156" t="str">
        <f>+IF(AGOSTO!S21=0,"",AGOSTO!S21)</f>
        <v>1010104-1</v>
      </c>
      <c r="T21" s="55" t="str">
        <f>+IF(AGOSTO!T21=0,"",AGOSTO!T21)</f>
        <v xml:space="preserve">Prima de Navidad </v>
      </c>
      <c r="U21" s="29">
        <f>+ENERO!U21</f>
        <v>31976631</v>
      </c>
      <c r="V21" s="17">
        <f>AGOSTO!V21+SEPTIEMBRE!AL21</f>
        <v>0</v>
      </c>
      <c r="W21" s="17">
        <f>AGOSTO!W21+SEPTIEMBRE!AM21</f>
        <v>0</v>
      </c>
      <c r="X21" s="20">
        <f t="shared" ref="X21:X33" si="17">SUM(U21:W21)</f>
        <v>31976631</v>
      </c>
      <c r="Y21" s="21">
        <f>AGOSTO!AA21</f>
        <v>262183</v>
      </c>
      <c r="Z21" s="457">
        <v>0</v>
      </c>
      <c r="AA21" s="20">
        <f t="shared" ref="AA21:AA33" si="18">SUM(Y21:Z21)</f>
        <v>262183</v>
      </c>
      <c r="AB21" s="21">
        <f>AGOSTO!AD21</f>
        <v>262183</v>
      </c>
      <c r="AC21" s="457">
        <v>0</v>
      </c>
      <c r="AD21" s="20">
        <f t="shared" ref="AD21:AD33" si="19">SUM(AB21:AC21)</f>
        <v>262183</v>
      </c>
      <c r="AE21" s="21">
        <f>AGOSTO!AG21</f>
        <v>0</v>
      </c>
      <c r="AF21" s="457">
        <v>262183</v>
      </c>
      <c r="AG21" s="20">
        <f t="shared" ref="AG21:AG33" si="20">SUM(AE21:AF21)</f>
        <v>262183</v>
      </c>
      <c r="AH21" s="21">
        <f t="shared" ref="AH21:AH33" si="21">X21-AA21</f>
        <v>31714448</v>
      </c>
      <c r="AI21" s="17">
        <f t="shared" ref="AI21:AI33" si="22">X21-AD21</f>
        <v>31714448</v>
      </c>
      <c r="AJ21" s="18">
        <f t="shared" ref="AJ21:AJ33" si="23">X21-AG21</f>
        <v>31714448</v>
      </c>
      <c r="AK21" s="10"/>
      <c r="AL21" s="455">
        <v>0</v>
      </c>
      <c r="AM21" s="458">
        <v>0</v>
      </c>
      <c r="AN21" s="10"/>
      <c r="AO21" s="428"/>
      <c r="AP21" s="520"/>
      <c r="AQ21" s="521"/>
      <c r="AR21" s="522" t="str">
        <f>AR6</f>
        <v>SEPTIEMBRE</v>
      </c>
      <c r="AS21" s="523" t="str">
        <f>AR6</f>
        <v>SEPTIEMBRE</v>
      </c>
      <c r="AT21" s="522" t="str">
        <f>AR6</f>
        <v>SEPTIEMBRE</v>
      </c>
      <c r="AU21" s="522" t="s">
        <v>46</v>
      </c>
      <c r="AV21" s="522" t="s">
        <v>24</v>
      </c>
      <c r="AW21" s="524"/>
      <c r="AX21" s="524"/>
      <c r="AY21" s="522" t="s">
        <v>46</v>
      </c>
      <c r="AZ21" s="525" t="s">
        <v>24</v>
      </c>
      <c r="BA21" s="10"/>
      <c r="BB21" s="119" t="s">
        <v>466</v>
      </c>
      <c r="BC21" s="83">
        <f>+F117</f>
        <v>149110140</v>
      </c>
      <c r="BD21" s="84">
        <f>I117</f>
        <v>142400183</v>
      </c>
      <c r="BE21" s="85">
        <f>K117</f>
        <v>142400183</v>
      </c>
      <c r="BF21" s="71">
        <f>+BE21+AGOSTO!BE21+JULIO!BE21+JUNIO!BF21</f>
        <v>142400183</v>
      </c>
      <c r="BG21" s="467"/>
      <c r="BH21" s="467"/>
      <c r="BI21" s="467"/>
      <c r="BJ21" s="467"/>
      <c r="BK21" s="467"/>
      <c r="BL21" s="467"/>
      <c r="BM21" s="164" t="s">
        <v>101</v>
      </c>
      <c r="BN21" s="101">
        <v>0</v>
      </c>
      <c r="BO21" s="99">
        <v>0</v>
      </c>
      <c r="BP21" s="99">
        <v>0</v>
      </c>
      <c r="BQ21" s="100">
        <v>0</v>
      </c>
      <c r="BR21" s="467"/>
    </row>
    <row r="22" spans="1:70" s="10" customFormat="1" ht="15" x14ac:dyDescent="0.25">
      <c r="A22" s="57">
        <f>+IF(AGOSTO!A22=0,"",AGOSTO!A22)</f>
        <v>1130101</v>
      </c>
      <c r="B22" s="45" t="str">
        <f>+IF(AGOSTO!B22=0,"",AGOSTO!B22)</f>
        <v>EPS - REGIMEN CONTRIBUTIVO</v>
      </c>
      <c r="C22" s="53">
        <f t="shared" ref="C22:N22" si="24">SUM(C23:C24)</f>
        <v>235438278</v>
      </c>
      <c r="D22" s="53">
        <f t="shared" si="24"/>
        <v>0</v>
      </c>
      <c r="E22" s="53">
        <f t="shared" si="24"/>
        <v>0</v>
      </c>
      <c r="F22" s="54">
        <f t="shared" si="24"/>
        <v>235438278</v>
      </c>
      <c r="G22" s="52">
        <f t="shared" si="24"/>
        <v>263697064</v>
      </c>
      <c r="H22" s="53">
        <f t="shared" si="24"/>
        <v>38229740</v>
      </c>
      <c r="I22" s="54">
        <f t="shared" si="24"/>
        <v>301926804</v>
      </c>
      <c r="J22" s="52">
        <f t="shared" si="24"/>
        <v>133157165</v>
      </c>
      <c r="K22" s="53">
        <f t="shared" si="24"/>
        <v>34659603</v>
      </c>
      <c r="L22" s="54">
        <f t="shared" si="24"/>
        <v>167816768</v>
      </c>
      <c r="M22" s="52">
        <f t="shared" si="24"/>
        <v>-66488526</v>
      </c>
      <c r="N22" s="54">
        <f t="shared" si="24"/>
        <v>67621510</v>
      </c>
      <c r="P22" s="52">
        <f>SUM(P23:P24)</f>
        <v>0</v>
      </c>
      <c r="Q22" s="54">
        <f>SUM(Q23:Q24)</f>
        <v>0</v>
      </c>
      <c r="S22" s="156" t="str">
        <f>+IF(AGOSTO!S22=0,"",AGOSTO!S22)</f>
        <v>1010104-2</v>
      </c>
      <c r="T22" s="55" t="str">
        <f>+IF(AGOSTO!T22=0,"",AGOSTO!T22)</f>
        <v>Prima Vida Cara</v>
      </c>
      <c r="U22" s="29">
        <f>+ENERO!U22</f>
        <v>0</v>
      </c>
      <c r="V22" s="17">
        <f>AGOSTO!V22+SEPTIEMBRE!AL22</f>
        <v>0</v>
      </c>
      <c r="W22" s="17">
        <f>AGOSTO!W22+SEPTIEMBRE!AM22</f>
        <v>0</v>
      </c>
      <c r="X22" s="20">
        <f t="shared" si="17"/>
        <v>0</v>
      </c>
      <c r="Y22" s="21">
        <f>AGOSTO!AA22</f>
        <v>0</v>
      </c>
      <c r="Z22" s="457">
        <v>0</v>
      </c>
      <c r="AA22" s="20">
        <f t="shared" si="18"/>
        <v>0</v>
      </c>
      <c r="AB22" s="21">
        <f>AGOSTO!AD22</f>
        <v>0</v>
      </c>
      <c r="AC22" s="457">
        <v>0</v>
      </c>
      <c r="AD22" s="20">
        <f t="shared" si="19"/>
        <v>0</v>
      </c>
      <c r="AE22" s="21">
        <f>AGOSTO!AG22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953979184</v>
      </c>
      <c r="AS22" s="527">
        <f>AG17+AG66</f>
        <v>924870604</v>
      </c>
      <c r="AT22" s="528"/>
      <c r="AU22" s="529">
        <f t="shared" ref="AU22:AU32" si="25">IF(AQ22=0," ",AR22/AQ22)</f>
        <v>0.75147123633661572</v>
      </c>
      <c r="AV22" s="529">
        <f t="shared" ref="AV22:AV32" si="26">IF(AQ22=0," ",AS22/AQ22)</f>
        <v>0.72854174168151709</v>
      </c>
      <c r="AW22" s="530">
        <f>AR22/$AO$2*12</f>
        <v>1271972245.3333333</v>
      </c>
      <c r="AX22" s="530">
        <f>AS22/$AO$2*12</f>
        <v>1233160805.3333335</v>
      </c>
      <c r="AY22" s="530">
        <f t="shared" ref="AY22:AY31" si="27">AW22-AQ22</f>
        <v>2490277.3333332539</v>
      </c>
      <c r="AZ22" s="531">
        <f t="shared" ref="AZ22:AZ31" si="28">AQ22-AX22</f>
        <v>36321162.666666508</v>
      </c>
      <c r="BA22" s="467"/>
      <c r="BB22" s="119" t="s">
        <v>467</v>
      </c>
      <c r="BC22" s="83">
        <f>SUMIF($B8:B117,$B24,F8:F117)+F116</f>
        <v>165717175</v>
      </c>
      <c r="BD22" s="84">
        <f>SUMIF($B8:B117,$B24,I8:I117)+I116</f>
        <v>375760389</v>
      </c>
      <c r="BE22" s="85">
        <f>SUMIF($B8:B117,$B24,K8:K117)+K116</f>
        <v>19797269</v>
      </c>
      <c r="BF22" s="71">
        <f>+BE22+AGOSTO!BE22+JULIO!BE22+JUNIO!BF22</f>
        <v>375760389</v>
      </c>
      <c r="BG22" s="467"/>
      <c r="BH22" s="467"/>
      <c r="BI22" s="467"/>
      <c r="BJ22" s="467"/>
      <c r="BK22" s="467"/>
      <c r="BM22" s="89" t="s">
        <v>69</v>
      </c>
      <c r="BN22" s="101">
        <f>BN23+BN24</f>
        <v>197767489</v>
      </c>
      <c r="BO22" s="99">
        <f>BO23+BO24</f>
        <v>96830938</v>
      </c>
      <c r="BP22" s="99">
        <f>BP23+BP24</f>
        <v>96830938</v>
      </c>
      <c r="BQ22" s="100">
        <f>BQ23+BQ24</f>
        <v>8552748</v>
      </c>
      <c r="BR22" s="467"/>
    </row>
    <row r="23" spans="1:70" s="514" customFormat="1" ht="15.75" thickBot="1" x14ac:dyDescent="0.25">
      <c r="A23" s="188" t="str">
        <f>+IF(AGOSTO!A23=0,"",AGOSTO!A23)</f>
        <v>1130101-1</v>
      </c>
      <c r="B23" s="189" t="str">
        <f>+CONCATENATE("Vigencia ",INSTRUCCIONES!$F$3)</f>
        <v>Vigencia 2014</v>
      </c>
      <c r="C23" s="456">
        <f>+ENERO!C23</f>
        <v>190033939</v>
      </c>
      <c r="D23" s="456">
        <f>AGOSTO!D23+SEPTIEMBRE!P23</f>
        <v>0</v>
      </c>
      <c r="E23" s="456">
        <f>AGOSTO!E23+SEPTIEMBRE!Q23</f>
        <v>0</v>
      </c>
      <c r="F23" s="170">
        <f>SUM(C23:E23)</f>
        <v>190033939</v>
      </c>
      <c r="G23" s="283">
        <f>AGOSTO!I23</f>
        <v>188702312</v>
      </c>
      <c r="H23" s="457">
        <v>21037770</v>
      </c>
      <c r="I23" s="170">
        <f>SUM(G23:H23)</f>
        <v>209740082</v>
      </c>
      <c r="J23" s="283">
        <f>AGOSTO!L23</f>
        <v>58162413</v>
      </c>
      <c r="K23" s="457">
        <v>17467633</v>
      </c>
      <c r="L23" s="170">
        <f>SUM(J23:K23)</f>
        <v>75630046</v>
      </c>
      <c r="M23" s="283">
        <f>F23-I23</f>
        <v>-19706143</v>
      </c>
      <c r="N23" s="170">
        <f>F23-L23</f>
        <v>114403893</v>
      </c>
      <c r="O23" s="10"/>
      <c r="P23" s="455">
        <v>0</v>
      </c>
      <c r="Q23" s="458">
        <v>0</v>
      </c>
      <c r="R23" s="10"/>
      <c r="S23" s="156" t="str">
        <f>+IF(AGOSTO!S23=0,"",AGOSTO!S23)</f>
        <v>1010104-3</v>
      </c>
      <c r="T23" s="55" t="str">
        <f>+IF(AGOSTO!T23=0,"",AGOSTO!T23)</f>
        <v>Prima de Vacaciones</v>
      </c>
      <c r="U23" s="29">
        <f>+ENERO!U23</f>
        <v>15348783</v>
      </c>
      <c r="V23" s="17">
        <f>AGOSTO!V23+SEPTIEMBRE!AL23</f>
        <v>0</v>
      </c>
      <c r="W23" s="17">
        <f>AGOSTO!W23+SEPTIEMBRE!AM23</f>
        <v>0</v>
      </c>
      <c r="X23" s="20">
        <f t="shared" si="17"/>
        <v>15348783</v>
      </c>
      <c r="Y23" s="21">
        <f>AGOSTO!AA23</f>
        <v>8076591</v>
      </c>
      <c r="Z23" s="457">
        <v>1898835</v>
      </c>
      <c r="AA23" s="20">
        <f t="shared" si="18"/>
        <v>9975426</v>
      </c>
      <c r="AB23" s="21">
        <f>AGOSTO!AD23</f>
        <v>8076591</v>
      </c>
      <c r="AC23" s="457">
        <v>1898835</v>
      </c>
      <c r="AD23" s="20">
        <f t="shared" si="19"/>
        <v>9975426</v>
      </c>
      <c r="AE23" s="21">
        <f>AGOSTO!AG23</f>
        <v>7933147</v>
      </c>
      <c r="AF23" s="457">
        <v>2042279</v>
      </c>
      <c r="AG23" s="20">
        <f t="shared" si="20"/>
        <v>9975426</v>
      </c>
      <c r="AH23" s="21">
        <f t="shared" si="21"/>
        <v>5373357</v>
      </c>
      <c r="AI23" s="17">
        <f t="shared" si="22"/>
        <v>5373357</v>
      </c>
      <c r="AJ23" s="18">
        <f t="shared" si="23"/>
        <v>5373357</v>
      </c>
      <c r="AK23" s="10"/>
      <c r="AL23" s="455">
        <v>0</v>
      </c>
      <c r="AM23" s="458">
        <v>0</v>
      </c>
      <c r="AN23" s="10"/>
      <c r="AO23" s="453"/>
      <c r="AP23" s="532" t="s">
        <v>110</v>
      </c>
      <c r="AQ23" s="533">
        <f>X16+X65-AQ22</f>
        <v>349958128</v>
      </c>
      <c r="AR23" s="533">
        <f>AD16+AD65-AR22</f>
        <v>159863700</v>
      </c>
      <c r="AS23" s="533">
        <f>AG16+AG65-AS22</f>
        <v>146456873</v>
      </c>
      <c r="AT23" s="401"/>
      <c r="AU23" s="419">
        <f t="shared" si="25"/>
        <v>0.45680807847960597</v>
      </c>
      <c r="AV23" s="419">
        <f t="shared" si="26"/>
        <v>0.4184982753136684</v>
      </c>
      <c r="AW23" s="533">
        <f>(AR23-AD21-AD22-AD23-AD25-AD30-AD33-AD70-AD71-AD72-AD74-AD78-AD81)/$AO$2*12+AX22/12*2.5+AD30+AD33+AD78+AD81</f>
        <v>404518660.77777779</v>
      </c>
      <c r="AX23" s="533">
        <f>(AS23-AG21-AG22-AG23-AG25-AG30-AG33-AG70-AG71-AG72-AG74-AG78-AG81)/$AO$2*12+AX22/12*2.5+AG30+AG33+AG78+AG81</f>
        <v>401367430.11111116</v>
      </c>
      <c r="AY23" s="533">
        <f t="shared" si="27"/>
        <v>54560532.777777791</v>
      </c>
      <c r="AZ23" s="62">
        <f t="shared" si="28"/>
        <v>-51409302.111111164</v>
      </c>
      <c r="BA23" s="467"/>
      <c r="BB23" s="678" t="s">
        <v>111</v>
      </c>
      <c r="BC23" s="679">
        <f>BC7+BC8+BC20+BC21+BC22</f>
        <v>3839134335</v>
      </c>
      <c r="BD23" s="138">
        <f>BD7+BD8+BD20+BD21+BD22+BD92</f>
        <v>3232319042</v>
      </c>
      <c r="BE23" s="139">
        <f>BE7+BE8+BE20+BE21+BE22+BE92</f>
        <v>424841775</v>
      </c>
      <c r="BF23" s="467"/>
      <c r="BG23" s="467"/>
      <c r="BH23" s="467"/>
      <c r="BI23" s="467"/>
      <c r="BJ23" s="467"/>
      <c r="BK23" s="467"/>
      <c r="BL23" s="467"/>
      <c r="BM23" s="164" t="s">
        <v>107</v>
      </c>
      <c r="BN23" s="101">
        <f>X177</f>
        <v>104106866</v>
      </c>
      <c r="BO23" s="99">
        <f>AA177</f>
        <v>73635363</v>
      </c>
      <c r="BP23" s="99">
        <f>AD177</f>
        <v>73635363</v>
      </c>
      <c r="BQ23" s="100">
        <f>AF177</f>
        <v>7458862</v>
      </c>
      <c r="BR23" s="10"/>
    </row>
    <row r="24" spans="1:70" s="514" customFormat="1" ht="15" x14ac:dyDescent="0.2">
      <c r="A24" s="188" t="str">
        <f>+IF(AGOSTO!A24=0,"",AGOSTO!A24)</f>
        <v>1130101-2</v>
      </c>
      <c r="B24" s="189" t="str">
        <f>+IF(AGOSTO!B24=0,"",AGOSTO!B24)</f>
        <v>Vigencias Anteriores</v>
      </c>
      <c r="C24" s="456">
        <f>+ENERO!C24</f>
        <v>45404339</v>
      </c>
      <c r="D24" s="456">
        <f>AGOSTO!D24+SEPTIEMBRE!P24</f>
        <v>0</v>
      </c>
      <c r="E24" s="456">
        <f>AGOSTO!E24+SEPTIEMBRE!Q24</f>
        <v>0</v>
      </c>
      <c r="F24" s="170">
        <f>SUM(C24:E24)</f>
        <v>45404339</v>
      </c>
      <c r="G24" s="283">
        <f>AGOSTO!I24</f>
        <v>74994752</v>
      </c>
      <c r="H24" s="457">
        <v>17191970</v>
      </c>
      <c r="I24" s="170">
        <f>SUM(G24:H24)</f>
        <v>92186722</v>
      </c>
      <c r="J24" s="283">
        <f>AGOSTO!L24</f>
        <v>74994752</v>
      </c>
      <c r="K24" s="457">
        <v>17191970</v>
      </c>
      <c r="L24" s="170">
        <f>SUM(J24:K24)</f>
        <v>92186722</v>
      </c>
      <c r="M24" s="283">
        <f>F24-I24</f>
        <v>-46782383</v>
      </c>
      <c r="N24" s="170">
        <f>F24-L24</f>
        <v>-46782383</v>
      </c>
      <c r="O24" s="467"/>
      <c r="P24" s="455">
        <v>0</v>
      </c>
      <c r="Q24" s="458">
        <v>0</v>
      </c>
      <c r="R24" s="10"/>
      <c r="S24" s="156" t="str">
        <f>+IF(AGOSTO!S24=0,"",AGOSTO!S24)</f>
        <v>1010104-4</v>
      </c>
      <c r="T24" s="55" t="str">
        <f>+IF(AGOSTO!T24=0,"",AGOSTO!T24)</f>
        <v>Prima Clima</v>
      </c>
      <c r="U24" s="29">
        <f>+ENERO!U24</f>
        <v>0</v>
      </c>
      <c r="V24" s="17">
        <f>AGOSTO!V24+SEPTIEMBRE!AL24</f>
        <v>0</v>
      </c>
      <c r="W24" s="17">
        <f>AGOSTO!W24+SEPTIEMBRE!AM24</f>
        <v>0</v>
      </c>
      <c r="X24" s="20">
        <f t="shared" si="17"/>
        <v>0</v>
      </c>
      <c r="Y24" s="21">
        <f>AGOSTO!AA24</f>
        <v>0</v>
      </c>
      <c r="Z24" s="457">
        <v>0</v>
      </c>
      <c r="AA24" s="20">
        <f t="shared" si="18"/>
        <v>0</v>
      </c>
      <c r="AB24" s="21">
        <f>AGOSTO!AD24</f>
        <v>0</v>
      </c>
      <c r="AC24" s="457">
        <v>0</v>
      </c>
      <c r="AD24" s="20">
        <f t="shared" si="19"/>
        <v>0</v>
      </c>
      <c r="AE24" s="21">
        <f>AGOSTO!AG24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95571671</v>
      </c>
      <c r="AS24" s="528">
        <f>AG35+AG83</f>
        <v>83396058</v>
      </c>
      <c r="AT24" s="528"/>
      <c r="AU24" s="456">
        <f t="shared" si="25"/>
        <v>0.50842754324249073</v>
      </c>
      <c r="AV24" s="456">
        <f t="shared" si="26"/>
        <v>0.44365503335238604</v>
      </c>
      <c r="AW24" s="456">
        <f>(AR24-AD41-AD88)/$AO$2*12+AD41+AD88</f>
        <v>123582210.66666667</v>
      </c>
      <c r="AX24" s="456">
        <f>(AS24-AG41-AG88)/$AO$2*12+AG41+AG88</f>
        <v>107363826.66666666</v>
      </c>
      <c r="AY24" s="456">
        <f t="shared" si="27"/>
        <v>-64392796.333333328</v>
      </c>
      <c r="AZ24" s="170">
        <f t="shared" si="28"/>
        <v>80611180.333333343</v>
      </c>
      <c r="BA24" s="10"/>
      <c r="BB24" s="534"/>
      <c r="BC24" s="467"/>
      <c r="BD24" s="467"/>
      <c r="BE24" s="467"/>
      <c r="BF24" s="467"/>
      <c r="BG24" s="467"/>
      <c r="BH24" s="467"/>
      <c r="BI24" s="467"/>
      <c r="BJ24" s="467"/>
      <c r="BK24" s="467"/>
      <c r="BL24" s="467"/>
      <c r="BM24" s="164" t="s">
        <v>112</v>
      </c>
      <c r="BN24" s="101">
        <f>X170-X177-X174-X183-X191</f>
        <v>93660623</v>
      </c>
      <c r="BO24" s="99">
        <f>AA170-AA177-AA174-AA183-AA191</f>
        <v>23195575</v>
      </c>
      <c r="BP24" s="99">
        <f>AD170-AD177-AD174-AD183-AD191</f>
        <v>23195575</v>
      </c>
      <c r="BQ24" s="100">
        <f>AF170-AF177-AF174-AF183-AF191</f>
        <v>1093886</v>
      </c>
      <c r="BR24" s="467"/>
    </row>
    <row r="25" spans="1:70" s="467" customFormat="1" ht="15" x14ac:dyDescent="0.25">
      <c r="A25" s="57">
        <f>+IF(AGOSTO!A25=0,"",AGOSTO!A25)</f>
        <v>1130102</v>
      </c>
      <c r="B25" s="45" t="str">
        <f>+IF(AGOSTO!B25=0,"",AGOSTO!B25)</f>
        <v>ARS - REGIMEN SUBSIDIADO</v>
      </c>
      <c r="C25" s="53">
        <f t="shared" ref="C25:N25" si="29">SUM(C26:C27)</f>
        <v>2553198704</v>
      </c>
      <c r="D25" s="53">
        <f t="shared" si="29"/>
        <v>0</v>
      </c>
      <c r="E25" s="53">
        <f t="shared" si="29"/>
        <v>0</v>
      </c>
      <c r="F25" s="54">
        <f t="shared" si="29"/>
        <v>2553198704</v>
      </c>
      <c r="G25" s="52">
        <f t="shared" si="29"/>
        <v>1831521161</v>
      </c>
      <c r="H25" s="53">
        <f t="shared" si="29"/>
        <v>221913028</v>
      </c>
      <c r="I25" s="54">
        <f t="shared" si="29"/>
        <v>2053434189</v>
      </c>
      <c r="J25" s="52">
        <f t="shared" si="29"/>
        <v>1608630448</v>
      </c>
      <c r="K25" s="53">
        <f t="shared" si="29"/>
        <v>210179295</v>
      </c>
      <c r="L25" s="54">
        <f t="shared" si="29"/>
        <v>1818809743</v>
      </c>
      <c r="M25" s="52">
        <f t="shared" si="29"/>
        <v>499764515</v>
      </c>
      <c r="N25" s="54">
        <f t="shared" si="29"/>
        <v>734388961</v>
      </c>
      <c r="P25" s="52">
        <f>SUM(P26:P27)</f>
        <v>0</v>
      </c>
      <c r="Q25" s="54">
        <f>SUM(Q26:Q27)</f>
        <v>0</v>
      </c>
      <c r="R25" s="10"/>
      <c r="S25" s="156" t="str">
        <f>+IF(AGOSTO!S25=0,"",AGOSTO!S25)</f>
        <v>1010104-5</v>
      </c>
      <c r="T25" s="55" t="str">
        <f>+IF(AGOSTO!T25=0,"",AGOSTO!T25)</f>
        <v>Prima de Servicios</v>
      </c>
      <c r="U25" s="29">
        <f>+ENERO!U25</f>
        <v>0</v>
      </c>
      <c r="V25" s="17">
        <f>AGOSTO!V25+SEPTIEMBRE!AL25</f>
        <v>0</v>
      </c>
      <c r="W25" s="17">
        <f>AGOSTO!W25+SEPTIEMBRE!AM25</f>
        <v>0</v>
      </c>
      <c r="X25" s="20">
        <f t="shared" si="17"/>
        <v>0</v>
      </c>
      <c r="Y25" s="21">
        <f>AGOSTO!AA25</f>
        <v>0</v>
      </c>
      <c r="Z25" s="457">
        <v>0</v>
      </c>
      <c r="AA25" s="20">
        <f t="shared" si="18"/>
        <v>0</v>
      </c>
      <c r="AB25" s="21">
        <f>AGOSTO!AD25</f>
        <v>0</v>
      </c>
      <c r="AC25" s="457">
        <v>0</v>
      </c>
      <c r="AD25" s="20">
        <f t="shared" si="19"/>
        <v>0</v>
      </c>
      <c r="AE25" s="21">
        <f>AGOSTO!AG25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380605169</v>
      </c>
      <c r="AS25" s="456">
        <f>AG43+AG57+AG90+AG104</f>
        <v>351627620</v>
      </c>
      <c r="AT25" s="528"/>
      <c r="AU25" s="456">
        <f t="shared" si="25"/>
        <v>0.66471998047754755</v>
      </c>
      <c r="AV25" s="456">
        <f t="shared" si="26"/>
        <v>0.61411122007585384</v>
      </c>
      <c r="AW25" s="456">
        <f>(AR25-AD55-AD61-AD102-AD108)/$AO$2*12+AD55+AD61+AD102+AD108</f>
        <v>505526980.33333331</v>
      </c>
      <c r="AX25" s="456">
        <f>(AS25-AG55-AG61-AG102-AG108)/$AO$2*12+AG55+AG61+AG102+AG108</f>
        <v>466890248.33333337</v>
      </c>
      <c r="AY25" s="456">
        <f t="shared" si="27"/>
        <v>-67052722.666666687</v>
      </c>
      <c r="AZ25" s="170">
        <f t="shared" si="28"/>
        <v>105689454.66666663</v>
      </c>
      <c r="BM25" s="167" t="s">
        <v>475</v>
      </c>
      <c r="BN25" s="124">
        <f>+SUM(BN26:BN28)</f>
        <v>328675926</v>
      </c>
      <c r="BO25" s="125">
        <f>+SUM(BO26:BO28)</f>
        <v>230157049</v>
      </c>
      <c r="BP25" s="125">
        <f>+SUM(BP26:BP28)</f>
        <v>230129735</v>
      </c>
      <c r="BQ25" s="126">
        <f>+SUM(BQ26:BQ28)</f>
        <v>24589623</v>
      </c>
    </row>
    <row r="26" spans="1:70" s="10" customFormat="1" ht="15" x14ac:dyDescent="0.2">
      <c r="A26" s="188" t="str">
        <f>+IF(AGOSTO!A26=0,"",AGOSTO!A26)</f>
        <v>1130102-1</v>
      </c>
      <c r="B26" s="189" t="str">
        <f>+CONCATENATE("Vigencia ",INSTRUCCIONES!$F$3)</f>
        <v>Vigencia 2014</v>
      </c>
      <c r="C26" s="456">
        <f>+ENERO!C26</f>
        <v>2490198704</v>
      </c>
      <c r="D26" s="456">
        <f>AGOSTO!D26+SEPTIEMBRE!P26</f>
        <v>0</v>
      </c>
      <c r="E26" s="456">
        <f>AGOSTO!E26+SEPTIEMBRE!Q26</f>
        <v>0</v>
      </c>
      <c r="F26" s="170">
        <f>SUM(C26:E26)</f>
        <v>2490198704</v>
      </c>
      <c r="G26" s="283">
        <f>AGOSTO!I26</f>
        <v>1616960572</v>
      </c>
      <c r="H26" s="457">
        <v>219694568</v>
      </c>
      <c r="I26" s="170">
        <f>SUM(G26:H26)</f>
        <v>1836655140</v>
      </c>
      <c r="J26" s="283">
        <f>AGOSTO!L26</f>
        <v>1394069859</v>
      </c>
      <c r="K26" s="457">
        <v>207960835</v>
      </c>
      <c r="L26" s="170">
        <f>SUM(J26:K26)</f>
        <v>1602030694</v>
      </c>
      <c r="M26" s="283">
        <f>F26-I26</f>
        <v>653543564</v>
      </c>
      <c r="N26" s="170">
        <f>F26-L26</f>
        <v>888168010</v>
      </c>
      <c r="P26" s="455">
        <v>0</v>
      </c>
      <c r="Q26" s="458">
        <v>0</v>
      </c>
      <c r="S26" s="156" t="str">
        <f>+IF(AGOSTO!S26=0,"",AGOSTO!S26)</f>
        <v>1010104-8</v>
      </c>
      <c r="T26" s="55" t="str">
        <f>+IF(AGOSTO!T26=0,"",AGOSTO!T26)</f>
        <v>Bonific. por Servicios Prestados (Convencional)</v>
      </c>
      <c r="U26" s="29">
        <f>+ENERO!U26</f>
        <v>0</v>
      </c>
      <c r="V26" s="17">
        <f>AGOSTO!V26+SEPTIEMBRE!AL26</f>
        <v>0</v>
      </c>
      <c r="W26" s="17">
        <f>AGOSTO!W26+SEPTIEMBRE!AM26</f>
        <v>0</v>
      </c>
      <c r="X26" s="20">
        <f t="shared" si="17"/>
        <v>0</v>
      </c>
      <c r="Y26" s="21">
        <f>AGOSTO!AA26</f>
        <v>0</v>
      </c>
      <c r="Z26" s="457">
        <v>0</v>
      </c>
      <c r="AA26" s="20">
        <f t="shared" si="18"/>
        <v>0</v>
      </c>
      <c r="AB26" s="21">
        <f>AGOSTO!AD26</f>
        <v>0</v>
      </c>
      <c r="AC26" s="457">
        <v>0</v>
      </c>
      <c r="AD26" s="20">
        <f t="shared" si="19"/>
        <v>0</v>
      </c>
      <c r="AE26" s="21">
        <f>AGOSTO!AG26</f>
        <v>0</v>
      </c>
      <c r="AF26" s="457">
        <v>0</v>
      </c>
      <c r="AG26" s="20">
        <f t="shared" si="20"/>
        <v>0</v>
      </c>
      <c r="AH26" s="21">
        <f t="shared" si="21"/>
        <v>0</v>
      </c>
      <c r="AI26" s="17">
        <f t="shared" si="22"/>
        <v>0</v>
      </c>
      <c r="AJ26" s="18">
        <f t="shared" si="23"/>
        <v>0</v>
      </c>
      <c r="AL26" s="455">
        <v>0</v>
      </c>
      <c r="AM26" s="458">
        <v>0</v>
      </c>
      <c r="AO26" s="23"/>
      <c r="AP26" s="536" t="s">
        <v>122</v>
      </c>
      <c r="AQ26" s="401">
        <f>X110</f>
        <v>660254629</v>
      </c>
      <c r="AR26" s="401">
        <f>AD110</f>
        <v>500567534</v>
      </c>
      <c r="AS26" s="401">
        <f>AG110</f>
        <v>440730166</v>
      </c>
      <c r="AT26" s="454">
        <f>AO2/12</f>
        <v>0.75</v>
      </c>
      <c r="AU26" s="419">
        <f t="shared" si="25"/>
        <v>0.75814316479407828</v>
      </c>
      <c r="AV26" s="419">
        <f t="shared" si="26"/>
        <v>0.66751545031575987</v>
      </c>
      <c r="AW26" s="533">
        <f>(AR26-AD121-AD139-AD143-AD153-AD168)/$AO$2*12+AD121+AD139+AD143+AD153+AD168</f>
        <v>654820268.66666675</v>
      </c>
      <c r="AX26" s="533">
        <f>(AS26-AG121-AG139-AG143-AG153-AG168)/$AO$2*12+AG121+AG139+AG143+AG153+AG168</f>
        <v>575331078</v>
      </c>
      <c r="AY26" s="533">
        <f t="shared" si="27"/>
        <v>-5434360.3333332539</v>
      </c>
      <c r="AZ26" s="62">
        <f t="shared" si="28"/>
        <v>84923551</v>
      </c>
      <c r="BA26" s="467"/>
      <c r="BB26" s="467"/>
      <c r="BC26" s="467"/>
      <c r="BD26" s="467"/>
      <c r="BE26" s="467"/>
      <c r="BF26" s="467"/>
      <c r="BG26" s="467"/>
      <c r="BH26" s="467"/>
      <c r="BI26" s="467"/>
      <c r="BJ26" s="467"/>
      <c r="BK26" s="467"/>
      <c r="BM26" s="127" t="s">
        <v>476</v>
      </c>
      <c r="BN26" s="104">
        <f>+X196+X212</f>
        <v>203038050</v>
      </c>
      <c r="BO26" s="102">
        <f>+AA196+AA212</f>
        <v>143440106</v>
      </c>
      <c r="BP26" s="102">
        <f>+AD196+AD212</f>
        <v>143413097</v>
      </c>
      <c r="BQ26" s="103">
        <f>+AF196+AF212</f>
        <v>13681701</v>
      </c>
      <c r="BR26" s="467"/>
    </row>
    <row r="27" spans="1:70" s="514" customFormat="1" ht="15" x14ac:dyDescent="0.2">
      <c r="A27" s="188" t="str">
        <f>+IF(AGOSTO!A27=0,"",AGOSTO!A27)</f>
        <v>1130102-2</v>
      </c>
      <c r="B27" s="189" t="str">
        <f>+IF(AGOSTO!B27=0,"",AGOSTO!B27)</f>
        <v>Vigencias Anteriores</v>
      </c>
      <c r="C27" s="456">
        <f>+ENERO!C27</f>
        <v>63000000</v>
      </c>
      <c r="D27" s="456">
        <f>AGOSTO!D27+SEPTIEMBRE!P27</f>
        <v>0</v>
      </c>
      <c r="E27" s="456">
        <f>AGOSTO!E27+SEPTIEMBRE!Q27</f>
        <v>0</v>
      </c>
      <c r="F27" s="170">
        <f>SUM(C27:E27)</f>
        <v>63000000</v>
      </c>
      <c r="G27" s="283">
        <f>AGOSTO!I27</f>
        <v>214560589</v>
      </c>
      <c r="H27" s="457">
        <v>2218460</v>
      </c>
      <c r="I27" s="170">
        <f>SUM(G27:H27)</f>
        <v>216779049</v>
      </c>
      <c r="J27" s="283">
        <f>AGOSTO!L27</f>
        <v>214560589</v>
      </c>
      <c r="K27" s="457">
        <v>2218460</v>
      </c>
      <c r="L27" s="170">
        <f>SUM(J27:K27)</f>
        <v>216779049</v>
      </c>
      <c r="M27" s="283">
        <f>F27-I27</f>
        <v>-153779049</v>
      </c>
      <c r="N27" s="170">
        <f>F27-L27</f>
        <v>-153779049</v>
      </c>
      <c r="O27" s="467"/>
      <c r="P27" s="455">
        <v>0</v>
      </c>
      <c r="Q27" s="458">
        <v>0</v>
      </c>
      <c r="R27" s="10"/>
      <c r="S27" s="156" t="str">
        <f>+IF(AGOSTO!S27=0,"",AGOSTO!S27)</f>
        <v>1010104-9</v>
      </c>
      <c r="T27" s="55" t="str">
        <f>+IF(AGOSTO!T27=0,"",AGOSTO!T27)</f>
        <v>Auxilio de Transporte</v>
      </c>
      <c r="U27" s="29">
        <f>+ENERO!U27</f>
        <v>0</v>
      </c>
      <c r="V27" s="17">
        <f>AGOSTO!V27+SEPTIEMBRE!AL27</f>
        <v>0</v>
      </c>
      <c r="W27" s="17">
        <f>AGOSTO!W27+SEPTIEMBRE!AM27</f>
        <v>0</v>
      </c>
      <c r="X27" s="20">
        <f t="shared" si="17"/>
        <v>0</v>
      </c>
      <c r="Y27" s="21">
        <f>AGOSTO!AA27</f>
        <v>0</v>
      </c>
      <c r="Z27" s="457">
        <v>0</v>
      </c>
      <c r="AA27" s="20">
        <f t="shared" si="18"/>
        <v>0</v>
      </c>
      <c r="AB27" s="21">
        <f>AGOSTO!AD27</f>
        <v>0</v>
      </c>
      <c r="AC27" s="457">
        <v>0</v>
      </c>
      <c r="AD27" s="20">
        <f t="shared" si="19"/>
        <v>0</v>
      </c>
      <c r="AE27" s="21">
        <f>AGOSTO!AG27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103644992</v>
      </c>
      <c r="AS27" s="456">
        <f>AG170</f>
        <v>100683934</v>
      </c>
      <c r="AT27" s="528"/>
      <c r="AU27" s="456">
        <f t="shared" si="25"/>
        <v>0.50661946566704696</v>
      </c>
      <c r="AV27" s="456">
        <f t="shared" si="26"/>
        <v>0.49214573574704146</v>
      </c>
      <c r="AW27" s="456">
        <f>(AR27-AD174-AD183-AD191)/$AO$2*12+AD174+AD183+AD191</f>
        <v>135921971.33333334</v>
      </c>
      <c r="AX27" s="456">
        <f>(AS27-AG174-AG183-AG191)/$AO$2*12+AG174+AG183+AG191</f>
        <v>131973894</v>
      </c>
      <c r="AY27" s="456">
        <f t="shared" si="27"/>
        <v>-68659571.666666657</v>
      </c>
      <c r="AZ27" s="170">
        <f t="shared" si="28"/>
        <v>72607649</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+IF(AGOSTO!A28=0,"",AGOSTO!A28)</f>
        <v>1130103</v>
      </c>
      <c r="B28" s="60" t="str">
        <f>+IF(AGOSTO!B28=0,"",AGOSTO!B28)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+IF(AGOSTO!S28=0,"",AGOSTO!S28)</f>
        <v>1010104-10</v>
      </c>
      <c r="T28" s="55" t="str">
        <f>+IF(AGOSTO!T28=0,"",AGOSTO!T28)</f>
        <v>Subsidio de Alimentación</v>
      </c>
      <c r="U28" s="29">
        <f>+ENERO!U28</f>
        <v>9130335</v>
      </c>
      <c r="V28" s="17">
        <f>AGOSTO!V28+SEPTIEMBRE!AL28</f>
        <v>0</v>
      </c>
      <c r="W28" s="17">
        <f>AGOSTO!W28+SEPTIEMBRE!AM28</f>
        <v>0</v>
      </c>
      <c r="X28" s="20">
        <f t="shared" si="17"/>
        <v>9130335</v>
      </c>
      <c r="Y28" s="21">
        <f>AGOSTO!AA28</f>
        <v>6126596</v>
      </c>
      <c r="Z28" s="457">
        <v>785264</v>
      </c>
      <c r="AA28" s="20">
        <f t="shared" si="18"/>
        <v>6911860</v>
      </c>
      <c r="AB28" s="21">
        <f>AGOSTO!AD28</f>
        <v>6126596</v>
      </c>
      <c r="AC28" s="457">
        <v>785264</v>
      </c>
      <c r="AD28" s="20">
        <f t="shared" si="19"/>
        <v>6911860</v>
      </c>
      <c r="AE28" s="21">
        <f>AGOSTO!AG28</f>
        <v>6126596</v>
      </c>
      <c r="AF28" s="457">
        <v>785264</v>
      </c>
      <c r="AG28" s="20">
        <f t="shared" si="20"/>
        <v>6911860</v>
      </c>
      <c r="AH28" s="21">
        <f t="shared" si="21"/>
        <v>2218475</v>
      </c>
      <c r="AI28" s="17">
        <f t="shared" si="22"/>
        <v>2218475</v>
      </c>
      <c r="AJ28" s="18">
        <f t="shared" si="23"/>
        <v>2218475</v>
      </c>
      <c r="AK28" s="10"/>
      <c r="AL28" s="455">
        <v>0</v>
      </c>
      <c r="AM28" s="458">
        <v>0</v>
      </c>
      <c r="AN28" s="10"/>
      <c r="AO28" s="428"/>
      <c r="AP28" s="535" t="s">
        <v>129</v>
      </c>
      <c r="AQ28" s="528">
        <f>X193</f>
        <v>388893217</v>
      </c>
      <c r="AR28" s="528">
        <f>AD193</f>
        <v>290347026</v>
      </c>
      <c r="AS28" s="528">
        <f>AG193</f>
        <v>195303804</v>
      </c>
      <c r="AT28" s="528"/>
      <c r="AU28" s="456">
        <f t="shared" si="25"/>
        <v>0.74659832907293933</v>
      </c>
      <c r="AV28" s="456">
        <f t="shared" si="26"/>
        <v>0.50220419246859738</v>
      </c>
      <c r="AW28" s="456">
        <f>(AR28-AD205)/$AO$2*12+AD205</f>
        <v>367056937.66666669</v>
      </c>
      <c r="AX28" s="456">
        <f>(AS28-AG205)/$AO$2*12+AG205</f>
        <v>240332641.66666669</v>
      </c>
      <c r="AY28" s="456">
        <f t="shared" si="27"/>
        <v>-21836279.333333313</v>
      </c>
      <c r="AZ28" s="170">
        <f t="shared" si="28"/>
        <v>148560575.33333331</v>
      </c>
      <c r="BA28" s="467"/>
      <c r="BB28" s="467"/>
      <c r="BC28" s="467"/>
      <c r="BD28" s="467"/>
      <c r="BE28" s="467"/>
      <c r="BF28" s="467"/>
      <c r="BG28" s="467"/>
      <c r="BH28" s="467"/>
      <c r="BI28" s="467"/>
      <c r="BJ28" s="467"/>
      <c r="BK28" s="467"/>
      <c r="BL28" s="467"/>
      <c r="BM28" s="89" t="s">
        <v>478</v>
      </c>
      <c r="BN28" s="101">
        <f>+X194-X196-X205</f>
        <v>125637876</v>
      </c>
      <c r="BO28" s="99">
        <f>+AA194-AA196-AA205</f>
        <v>86716943</v>
      </c>
      <c r="BP28" s="99">
        <f>+AD194-AD196-AD205</f>
        <v>86716638</v>
      </c>
      <c r="BQ28" s="100">
        <f>+AF194-AF196-AF205</f>
        <v>10907922</v>
      </c>
      <c r="BR28" s="10"/>
    </row>
    <row r="29" spans="1:70" s="10" customFormat="1" ht="15" x14ac:dyDescent="0.25">
      <c r="A29" s="61" t="str">
        <f>+IF(AGOSTO!A29=0,"",AGOSTO!A29)</f>
        <v>1130103-1</v>
      </c>
      <c r="B29" s="62" t="str">
        <f>+IF(AGOSTO!B29=0,"",AGOSTO!B29)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+IF(AGOSTO!S29=0,"",AGOSTO!S29)</f>
        <v>1010104-11</v>
      </c>
      <c r="T29" s="55" t="str">
        <f>+IF(AGOSTO!T29=0,"",AGOSTO!T29)</f>
        <v>Gastos de Representación</v>
      </c>
      <c r="U29" s="29">
        <f>+ENERO!U29</f>
        <v>0</v>
      </c>
      <c r="V29" s="17">
        <f>AGOSTO!V29+SEPTIEMBRE!AL29</f>
        <v>0</v>
      </c>
      <c r="W29" s="17">
        <f>AGOSTO!W29+SEPTIEMBRE!AM29</f>
        <v>0</v>
      </c>
      <c r="X29" s="20">
        <f t="shared" si="17"/>
        <v>0</v>
      </c>
      <c r="Y29" s="21">
        <f>AGOSTO!AA29</f>
        <v>0</v>
      </c>
      <c r="Z29" s="457">
        <v>0</v>
      </c>
      <c r="AA29" s="20">
        <f t="shared" si="18"/>
        <v>0</v>
      </c>
      <c r="AB29" s="21">
        <f>AGOSTO!AD29</f>
        <v>0</v>
      </c>
      <c r="AC29" s="457">
        <v>0</v>
      </c>
      <c r="AD29" s="20">
        <f t="shared" si="19"/>
        <v>0</v>
      </c>
      <c r="AE29" s="21">
        <f>AGOSTO!AG29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205410140</v>
      </c>
      <c r="BO29" s="125">
        <f>AA232-AA256-AA241</f>
        <v>182141088</v>
      </c>
      <c r="BP29" s="125">
        <f>AD232-AD256-AD241</f>
        <v>182139859</v>
      </c>
      <c r="BQ29" s="126">
        <f>AF232-AF256-AF241</f>
        <v>56847573</v>
      </c>
      <c r="BR29" s="467"/>
    </row>
    <row r="30" spans="1:70" s="514" customFormat="1" ht="15" x14ac:dyDescent="0.25">
      <c r="A30" s="188" t="str">
        <f>+IF(AGOSTO!A30=0,"",AGOSTO!A30)</f>
        <v>1130103-1-1</v>
      </c>
      <c r="B30" s="189" t="str">
        <f>+CONCATENATE("Vigencia ",INSTRUCCIONES!$F$3)</f>
        <v>Vigencia 2014</v>
      </c>
      <c r="C30" s="456">
        <f>+ENERO!C30</f>
        <v>227076373</v>
      </c>
      <c r="D30" s="456">
        <f>AGOSTO!D30+SEPTIEMBRE!P30</f>
        <v>-227076373</v>
      </c>
      <c r="E30" s="456">
        <f>AGOSTO!E30+SEPTIEMBRE!Q30</f>
        <v>0</v>
      </c>
      <c r="F30" s="170">
        <f>SUM(C30:E30)</f>
        <v>0</v>
      </c>
      <c r="G30" s="283">
        <f>AGOSTO!I30</f>
        <v>0</v>
      </c>
      <c r="H30" s="457">
        <v>0</v>
      </c>
      <c r="I30" s="170">
        <f>SUM(G30:H30)</f>
        <v>0</v>
      </c>
      <c r="J30" s="283">
        <f>AGOSTO!L30</f>
        <v>0</v>
      </c>
      <c r="K30" s="457">
        <v>0</v>
      </c>
      <c r="L30" s="170">
        <f>SUM(J30:K30)</f>
        <v>0</v>
      </c>
      <c r="M30" s="283">
        <f>F30-I30</f>
        <v>0</v>
      </c>
      <c r="N30" s="170">
        <f>F30-L30</f>
        <v>0</v>
      </c>
      <c r="O30" s="10"/>
      <c r="P30" s="455">
        <v>0</v>
      </c>
      <c r="Q30" s="458">
        <v>0</v>
      </c>
      <c r="R30" s="10"/>
      <c r="S30" s="156" t="str">
        <f>+IF(AGOSTO!S30=0,"",AGOSTO!S30)</f>
        <v>1010104-12</v>
      </c>
      <c r="T30" s="55" t="str">
        <f>+IF(AGOSTO!T30=0,"",AGOSTO!T30)</f>
        <v xml:space="preserve"> Indemnizaciones por Vacaciones o Supresión de Cargos por Reestructuración</v>
      </c>
      <c r="U30" s="29">
        <f>+ENERO!U30</f>
        <v>0</v>
      </c>
      <c r="V30" s="17">
        <f>AGOSTO!V30+SEPTIEMBRE!AL30</f>
        <v>0</v>
      </c>
      <c r="W30" s="17">
        <f>AGOSTO!W30+SEPTIEMBRE!AM30</f>
        <v>0</v>
      </c>
      <c r="X30" s="20">
        <f t="shared" si="17"/>
        <v>0</v>
      </c>
      <c r="Y30" s="21">
        <f>AGOSTO!AA30</f>
        <v>0</v>
      </c>
      <c r="Z30" s="457">
        <v>0</v>
      </c>
      <c r="AA30" s="20">
        <f t="shared" si="18"/>
        <v>0</v>
      </c>
      <c r="AB30" s="21">
        <f>AGOSTO!AD30</f>
        <v>0</v>
      </c>
      <c r="AC30" s="457">
        <v>0</v>
      </c>
      <c r="AD30" s="20">
        <f t="shared" si="19"/>
        <v>0</v>
      </c>
      <c r="AE30" s="21">
        <f>AGOSTO!AG30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205410140</v>
      </c>
      <c r="AR30" s="456">
        <f>AD220+AD232</f>
        <v>182139859</v>
      </c>
      <c r="AS30" s="456">
        <f>AG220+AG232</f>
        <v>170805784</v>
      </c>
      <c r="AT30" s="528"/>
      <c r="AU30" s="456">
        <f t="shared" si="25"/>
        <v>0.88671308534233018</v>
      </c>
      <c r="AV30" s="456">
        <f t="shared" si="26"/>
        <v>0.83153530784799623</v>
      </c>
      <c r="AW30" s="456">
        <f>(AR30-AD225-AD230-AD241-AD256)/$AO$2*12+AD225+AD230+AD241+AD256</f>
        <v>242853145.33333334</v>
      </c>
      <c r="AX30" s="456">
        <f>(AS30-AG225-AG230-AG241-AG256)/$AO$2*12+AG225+AG230+AG241+AG256</f>
        <v>227741045.33333331</v>
      </c>
      <c r="AY30" s="456">
        <f t="shared" si="27"/>
        <v>37443005.333333343</v>
      </c>
      <c r="AZ30" s="170">
        <f t="shared" si="28"/>
        <v>-22330905.333333313</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+IF(AGOSTO!A31=0,"",AGOSTO!A31)</f>
        <v>1130103-1-2</v>
      </c>
      <c r="B31" s="189" t="str">
        <f>+IF(AGOSTO!B31=0,"",AGOSTO!B31)</f>
        <v>Vigencias Anteriores</v>
      </c>
      <c r="C31" s="456">
        <f>+ENERO!C31</f>
        <v>0</v>
      </c>
      <c r="D31" s="456">
        <f>AGOSTO!D31+SEPTIEMBRE!P31</f>
        <v>0</v>
      </c>
      <c r="E31" s="456">
        <f>AGOSTO!E31+SEPTIEMBRE!Q31</f>
        <v>0</v>
      </c>
      <c r="F31" s="170">
        <f>SUM(C31:E31)</f>
        <v>0</v>
      </c>
      <c r="G31" s="283">
        <f>AGOSTO!I31</f>
        <v>0</v>
      </c>
      <c r="H31" s="457">
        <v>0</v>
      </c>
      <c r="I31" s="170">
        <f>SUM(G31:H31)</f>
        <v>0</v>
      </c>
      <c r="J31" s="283">
        <f>AGOSTO!L31</f>
        <v>0</v>
      </c>
      <c r="K31" s="457">
        <v>0</v>
      </c>
      <c r="L31" s="170">
        <f>SUM(J31:K31)</f>
        <v>0</v>
      </c>
      <c r="M31" s="283">
        <f>F31-I31</f>
        <v>0</v>
      </c>
      <c r="N31" s="170">
        <f>F31-L31</f>
        <v>0</v>
      </c>
      <c r="O31" s="467"/>
      <c r="P31" s="455">
        <v>0</v>
      </c>
      <c r="Q31" s="458">
        <v>0</v>
      </c>
      <c r="R31" s="10"/>
      <c r="S31" s="156" t="str">
        <f>+IF(AGOSTO!S31=0,"",AGOSTO!S31)</f>
        <v>1010104-13</v>
      </c>
      <c r="T31" s="55" t="str">
        <f>+IF(AGOSTO!T31=0,"",AGOSTO!T31)</f>
        <v>Bonificación Especial por Recreación</v>
      </c>
      <c r="U31" s="29">
        <f>+ENERO!U31</f>
        <v>2046504</v>
      </c>
      <c r="V31" s="17">
        <f>AGOSTO!V31+SEPTIEMBRE!AL31</f>
        <v>0</v>
      </c>
      <c r="W31" s="17">
        <f>AGOSTO!W31+SEPTIEMBRE!AM31</f>
        <v>0</v>
      </c>
      <c r="X31" s="20">
        <f t="shared" si="17"/>
        <v>2046504</v>
      </c>
      <c r="Y31" s="21">
        <f>AGOSTO!AA31</f>
        <v>1075282</v>
      </c>
      <c r="Z31" s="457">
        <v>253178</v>
      </c>
      <c r="AA31" s="20">
        <f t="shared" si="18"/>
        <v>1328460</v>
      </c>
      <c r="AB31" s="21">
        <f>AGOSTO!AD31</f>
        <v>1075282</v>
      </c>
      <c r="AC31" s="457">
        <v>253178</v>
      </c>
      <c r="AD31" s="20">
        <f t="shared" si="19"/>
        <v>1328460</v>
      </c>
      <c r="AE31" s="21">
        <f>AGOSTO!AG31</f>
        <v>1056156</v>
      </c>
      <c r="AF31" s="457">
        <v>272304</v>
      </c>
      <c r="AG31" s="20">
        <f t="shared" si="20"/>
        <v>1328460</v>
      </c>
      <c r="AH31" s="21">
        <f t="shared" si="21"/>
        <v>718044</v>
      </c>
      <c r="AI31" s="17">
        <f t="shared" si="22"/>
        <v>718044</v>
      </c>
      <c r="AJ31" s="18">
        <f t="shared" si="23"/>
        <v>718044</v>
      </c>
      <c r="AK31" s="10"/>
      <c r="AL31" s="455">
        <v>0</v>
      </c>
      <c r="AM31" s="458">
        <v>0</v>
      </c>
      <c r="AN31" s="10"/>
      <c r="AO31" s="428"/>
      <c r="AP31" s="507" t="s">
        <v>139</v>
      </c>
      <c r="AQ31" s="528">
        <f>X258</f>
        <v>0</v>
      </c>
      <c r="AR31" s="528">
        <f>AD258</f>
        <v>126577143</v>
      </c>
      <c r="AS31" s="528">
        <f>AG258</f>
        <v>-2413874843</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0</v>
      </c>
      <c r="BR31" s="10"/>
    </row>
    <row r="32" spans="1:70" s="10" customFormat="1" ht="15.75" thickBot="1" x14ac:dyDescent="0.3">
      <c r="A32" s="61" t="str">
        <f>+IF(AGOSTO!A32=0,"",AGOSTO!A32)</f>
        <v>1130103-2</v>
      </c>
      <c r="B32" s="62" t="str">
        <f>+IF(AGOSTO!B32=0,"",AGOSTO!B32)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+IF(AGOSTO!S32=0,"",AGOSTO!S32)</f>
        <v>1010104-14</v>
      </c>
      <c r="T32" s="55" t="str">
        <f>+IF(AGOSTO!T32=0,"",AGOSTO!T32)</f>
        <v/>
      </c>
      <c r="U32" s="29">
        <f>+ENERO!U32</f>
        <v>0</v>
      </c>
      <c r="V32" s="17">
        <f>AGOSTO!V32+SEPTIEMBRE!AL32</f>
        <v>0</v>
      </c>
      <c r="W32" s="17">
        <f>AGOSTO!W32+SEPTIEMBRE!AM32</f>
        <v>0</v>
      </c>
      <c r="X32" s="20">
        <f t="shared" si="17"/>
        <v>0</v>
      </c>
      <c r="Y32" s="21">
        <f>AGOSTO!AA32</f>
        <v>0</v>
      </c>
      <c r="Z32" s="457">
        <v>0</v>
      </c>
      <c r="AA32" s="20">
        <f t="shared" si="18"/>
        <v>0</v>
      </c>
      <c r="AB32" s="21">
        <f>AGOSTO!AD32</f>
        <v>0</v>
      </c>
      <c r="AC32" s="457">
        <v>0</v>
      </c>
      <c r="AD32" s="20">
        <f t="shared" si="19"/>
        <v>0</v>
      </c>
      <c r="AE32" s="21">
        <f>AGOSTO!AG32</f>
        <v>0</v>
      </c>
      <c r="AF32" s="457">
        <v>0</v>
      </c>
      <c r="AG32" s="20">
        <f t="shared" si="20"/>
        <v>0</v>
      </c>
      <c r="AH32" s="21">
        <f t="shared" si="21"/>
        <v>0</v>
      </c>
      <c r="AI32" s="17">
        <f t="shared" si="22"/>
        <v>0</v>
      </c>
      <c r="AJ32" s="18">
        <f t="shared" si="23"/>
        <v>0</v>
      </c>
      <c r="AL32" s="455">
        <v>0</v>
      </c>
      <c r="AM32" s="458">
        <v>0</v>
      </c>
      <c r="AO32" s="23"/>
      <c r="AP32" s="537" t="s">
        <v>144</v>
      </c>
      <c r="AQ32" s="483">
        <f>SUM(AQ22:AQ31)</f>
        <v>3839134335</v>
      </c>
      <c r="AR32" s="483">
        <f>SUM(AR22:AR31)</f>
        <v>2793296278</v>
      </c>
      <c r="AS32" s="483">
        <f>SUM(AS22:AS31)</f>
        <v>0</v>
      </c>
      <c r="AT32" s="538"/>
      <c r="AU32" s="539">
        <f t="shared" si="25"/>
        <v>0.72758492781420214</v>
      </c>
      <c r="AV32" s="539">
        <f t="shared" si="26"/>
        <v>0</v>
      </c>
      <c r="AW32" s="430">
        <f>SUM(AW22:AW31)</f>
        <v>3706252420.1111112</v>
      </c>
      <c r="AX32" s="430">
        <f>SUM(AX22:AX31)</f>
        <v>3384160969.4444447</v>
      </c>
      <c r="AY32" s="430">
        <f>SUM(AY22:AY31)</f>
        <v>-132881914.88888887</v>
      </c>
      <c r="AZ32" s="431">
        <f>SUM(AZ22:AZ31)</f>
        <v>454973365.55555534</v>
      </c>
      <c r="BA32" s="467"/>
      <c r="BB32" s="514"/>
      <c r="BC32" s="514"/>
      <c r="BD32" s="514"/>
      <c r="BE32" s="514"/>
      <c r="BF32" s="514"/>
      <c r="BG32" s="467"/>
      <c r="BH32" s="467"/>
      <c r="BI32" s="467"/>
      <c r="BJ32" s="467"/>
      <c r="BK32" s="467"/>
      <c r="BM32" s="128" t="s">
        <v>140</v>
      </c>
      <c r="BN32" s="124">
        <f>+BN7+BN25+BN29+BN30+BN31</f>
        <v>3839134335</v>
      </c>
      <c r="BO32" s="125">
        <f t="shared" ref="BO32:BQ32" si="33">+BO7+BO25+BO29+BO30+BO31</f>
        <v>2667017680</v>
      </c>
      <c r="BP32" s="125">
        <f t="shared" si="33"/>
        <v>2666719135</v>
      </c>
      <c r="BQ32" s="126">
        <f t="shared" si="33"/>
        <v>296725406</v>
      </c>
      <c r="BR32" s="467"/>
    </row>
    <row r="33" spans="1:70" s="514" customFormat="1" ht="15.75" thickBot="1" x14ac:dyDescent="0.3">
      <c r="A33" s="188" t="str">
        <f>+IF(AGOSTO!A33=0,"",AGOSTO!A33)</f>
        <v>1130103-2-1</v>
      </c>
      <c r="B33" s="189" t="str">
        <f>+CONCATENATE("Vigencia ",INSTRUCCIONES!$F$3)</f>
        <v>Vigencia 2014</v>
      </c>
      <c r="C33" s="456">
        <f>+ENERO!C33</f>
        <v>0</v>
      </c>
      <c r="D33" s="456">
        <f>AGOSTO!D33+SEPTIEMBRE!P33</f>
        <v>0</v>
      </c>
      <c r="E33" s="456">
        <f>AGOSTO!E33+SEPTIEMBRE!Q33</f>
        <v>0</v>
      </c>
      <c r="F33" s="170">
        <f>SUM(C33:E33)</f>
        <v>0</v>
      </c>
      <c r="G33" s="283">
        <f>AGOSTO!I33</f>
        <v>0</v>
      </c>
      <c r="H33" s="457">
        <v>0</v>
      </c>
      <c r="I33" s="170">
        <f>SUM(G33:H33)</f>
        <v>0</v>
      </c>
      <c r="J33" s="283">
        <f>AGOSTO!L33</f>
        <v>0</v>
      </c>
      <c r="K33" s="457">
        <v>0</v>
      </c>
      <c r="L33" s="170">
        <f>SUM(J33:K33)</f>
        <v>0</v>
      </c>
      <c r="M33" s="283">
        <f>F33-I33</f>
        <v>0</v>
      </c>
      <c r="N33" s="170">
        <f>F33-L33</f>
        <v>0</v>
      </c>
      <c r="O33" s="10"/>
      <c r="P33" s="455">
        <v>0</v>
      </c>
      <c r="Q33" s="458">
        <v>0</v>
      </c>
      <c r="R33" s="10"/>
      <c r="S33" s="155">
        <f>+IF(AGOSTO!S33=0,"",AGOSTO!S33)</f>
        <v>1010199</v>
      </c>
      <c r="T33" s="159" t="str">
        <f>+IF(AGOSTO!T33=0,"",AGOSTO!T33)</f>
        <v>Vigencias Anteriores</v>
      </c>
      <c r="U33" s="29">
        <f>+ENERO!U33</f>
        <v>4029851</v>
      </c>
      <c r="V33" s="17">
        <f>AGOSTO!V33+SEPTIEMBRE!AL33</f>
        <v>-3476851</v>
      </c>
      <c r="W33" s="17">
        <f>AGOSTO!W33+SEPTIEMBRE!AM33</f>
        <v>0</v>
      </c>
      <c r="X33" s="20">
        <f t="shared" si="17"/>
        <v>553000</v>
      </c>
      <c r="Y33" s="21">
        <f>AGOSTO!AA33</f>
        <v>553000</v>
      </c>
      <c r="Z33" s="457">
        <v>0</v>
      </c>
      <c r="AA33" s="20">
        <f t="shared" si="18"/>
        <v>553000</v>
      </c>
      <c r="AB33" s="21">
        <f>AGOSTO!AD33</f>
        <v>553000</v>
      </c>
      <c r="AC33" s="457">
        <v>0</v>
      </c>
      <c r="AD33" s="20">
        <f t="shared" si="19"/>
        <v>553000</v>
      </c>
      <c r="AE33" s="21">
        <f>AGOSTO!AG33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565301362</v>
      </c>
      <c r="BP33" s="131">
        <f>AD258</f>
        <v>126577143</v>
      </c>
      <c r="BQ33" s="132">
        <f>AF258</f>
        <v>749112651</v>
      </c>
      <c r="BR33" s="467"/>
    </row>
    <row r="34" spans="1:70" s="514" customFormat="1" ht="16.5" thickBot="1" x14ac:dyDescent="0.25">
      <c r="A34" s="188" t="str">
        <f>+IF(AGOSTO!A34=0,"",AGOSTO!A34)</f>
        <v>1130103-2-2</v>
      </c>
      <c r="B34" s="189" t="str">
        <f>+IF(AGOSTO!B34=0,"",AGOSTO!B34)</f>
        <v>Vigencias Anteriores</v>
      </c>
      <c r="C34" s="456">
        <f>+ENERO!C34</f>
        <v>0</v>
      </c>
      <c r="D34" s="456">
        <f>AGOSTO!D34+SEPTIEMBRE!P34</f>
        <v>0</v>
      </c>
      <c r="E34" s="456">
        <f>AGOSTO!E34+SEPTIEMBRE!Q34</f>
        <v>0</v>
      </c>
      <c r="F34" s="170">
        <f>SUM(C34:E34)</f>
        <v>0</v>
      </c>
      <c r="G34" s="283">
        <f>AGOSTO!I34</f>
        <v>0</v>
      </c>
      <c r="H34" s="457">
        <v>0</v>
      </c>
      <c r="I34" s="170">
        <f>SUM(G34:H34)</f>
        <v>0</v>
      </c>
      <c r="J34" s="283">
        <f>AGOSTO!L34</f>
        <v>0</v>
      </c>
      <c r="K34" s="457">
        <v>0</v>
      </c>
      <c r="L34" s="170">
        <f>SUM(J34:K34)</f>
        <v>0</v>
      </c>
      <c r="M34" s="283">
        <f>F34-I34</f>
        <v>0</v>
      </c>
      <c r="N34" s="170">
        <f>F34-L34</f>
        <v>0</v>
      </c>
      <c r="O34" s="467"/>
      <c r="P34" s="455">
        <v>0</v>
      </c>
      <c r="Q34" s="458">
        <v>0</v>
      </c>
      <c r="R34" s="10"/>
      <c r="S34" s="448" t="str">
        <f>+IF(AGOSTO!S34=0,"",AGOSTO!S34)</f>
        <v/>
      </c>
      <c r="T34" s="649" t="str">
        <f>+IF(AGOSTO!T34=0,"",AGOSTO!T34)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+IF(AGOSTO!A35=0,"",AGOSTO!A35)</f>
        <v>1130103-3</v>
      </c>
      <c r="B35" s="62" t="str">
        <f>+IF(AGOSTO!B35=0,"",AGOSTO!B35)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+IF(AGOSTO!S35=0,"",AGOSTO!S35)</f>
        <v>1010200</v>
      </c>
      <c r="T35" s="158" t="str">
        <f>+IF(AGOSTO!T35=0,"",AGOSTO!T35)</f>
        <v>Servicios Personales Indirectos</v>
      </c>
      <c r="U35" s="157">
        <f t="shared" ref="U35:AJ35" si="35">SUM(U36:U41)</f>
        <v>113755696</v>
      </c>
      <c r="V35" s="144">
        <f t="shared" si="35"/>
        <v>-2668000</v>
      </c>
      <c r="W35" s="144">
        <f t="shared" si="35"/>
        <v>1200000</v>
      </c>
      <c r="X35" s="152">
        <f t="shared" si="35"/>
        <v>112287696</v>
      </c>
      <c r="Y35" s="151">
        <f t="shared" si="35"/>
        <v>50816170</v>
      </c>
      <c r="Z35" s="144">
        <f t="shared" si="35"/>
        <v>9553669</v>
      </c>
      <c r="AA35" s="152">
        <f t="shared" si="35"/>
        <v>60369839</v>
      </c>
      <c r="AB35" s="151">
        <f t="shared" si="35"/>
        <v>50816170</v>
      </c>
      <c r="AC35" s="144">
        <f t="shared" si="35"/>
        <v>9553669</v>
      </c>
      <c r="AD35" s="152">
        <f t="shared" si="35"/>
        <v>60369839</v>
      </c>
      <c r="AE35" s="151">
        <f t="shared" si="35"/>
        <v>45894501</v>
      </c>
      <c r="AF35" s="144">
        <f t="shared" si="35"/>
        <v>5476069</v>
      </c>
      <c r="AG35" s="152">
        <f t="shared" si="35"/>
        <v>51370570</v>
      </c>
      <c r="AH35" s="151">
        <f t="shared" si="35"/>
        <v>51917857</v>
      </c>
      <c r="AI35" s="144">
        <f t="shared" si="35"/>
        <v>51917857</v>
      </c>
      <c r="AJ35" s="153">
        <f t="shared" si="35"/>
        <v>60917126</v>
      </c>
      <c r="AK35" s="10"/>
      <c r="AL35" s="151">
        <f>SUM(AL36:AL41)</f>
        <v>0</v>
      </c>
      <c r="AM35" s="153">
        <f>SUM(AM36:AM41)</f>
        <v>0</v>
      </c>
      <c r="AN35" s="10"/>
      <c r="AO35" s="428"/>
      <c r="AP35" s="547"/>
      <c r="AQ35" s="363"/>
      <c r="AR35" s="548"/>
      <c r="AS35" s="548"/>
      <c r="AT35" s="548"/>
      <c r="AU35" s="549">
        <f>AR17-AR32</f>
        <v>249628718</v>
      </c>
      <c r="AV35" s="550">
        <f>AS17-AR32</f>
        <v>-189394046</v>
      </c>
      <c r="AW35" s="550" t="s">
        <v>158</v>
      </c>
      <c r="AX35" s="551"/>
      <c r="AY35" s="550">
        <f>AY17+AY32</f>
        <v>125697580.44444445</v>
      </c>
      <c r="AZ35" s="552">
        <f>AZ17+AY32</f>
        <v>-464924305.88888872</v>
      </c>
      <c r="BB35" s="514"/>
      <c r="BC35" s="514"/>
      <c r="BD35" s="514"/>
      <c r="BE35" s="514"/>
      <c r="BF35" s="514"/>
    </row>
    <row r="36" spans="1:70" s="467" customFormat="1" ht="15.75" thickBot="1" x14ac:dyDescent="0.25">
      <c r="A36" s="188" t="str">
        <f>+IF(AGOSTO!A36=0,"",AGOSTO!A36)</f>
        <v>1130103-3-1</v>
      </c>
      <c r="B36" s="189" t="str">
        <f>+CONCATENATE("Vigencia ",INSTRUCCIONES!$F$3)</f>
        <v>Vigencia 2014</v>
      </c>
      <c r="C36" s="456">
        <f>+ENERO!C36</f>
        <v>0</v>
      </c>
      <c r="D36" s="456">
        <f>AGOSTO!D36+SEPTIEMBRE!P36</f>
        <v>0</v>
      </c>
      <c r="E36" s="456">
        <f>AGOSTO!E36+SEPTIEMBRE!Q36</f>
        <v>0</v>
      </c>
      <c r="F36" s="170">
        <f>SUM(C36:E36)</f>
        <v>0</v>
      </c>
      <c r="G36" s="283">
        <f>AGOSTO!I36</f>
        <v>0</v>
      </c>
      <c r="H36" s="457">
        <v>0</v>
      </c>
      <c r="I36" s="170">
        <f>SUM(G36:H36)</f>
        <v>0</v>
      </c>
      <c r="J36" s="283">
        <f>AGOSTO!L36</f>
        <v>0</v>
      </c>
      <c r="K36" s="457">
        <v>0</v>
      </c>
      <c r="L36" s="170">
        <f>SUM(J36:K36)</f>
        <v>0</v>
      </c>
      <c r="M36" s="283">
        <f>F36-I36</f>
        <v>0</v>
      </c>
      <c r="N36" s="170">
        <f>F36-L36</f>
        <v>0</v>
      </c>
      <c r="O36" s="10"/>
      <c r="P36" s="455">
        <v>0</v>
      </c>
      <c r="Q36" s="458">
        <v>0</v>
      </c>
      <c r="R36" s="10"/>
      <c r="S36" s="155" t="str">
        <f>+IF(AGOSTO!S36=0,"",AGOSTO!S36)</f>
        <v>1010200-1</v>
      </c>
      <c r="T36" s="159" t="str">
        <f>+IF(AGOSTO!T36=0,"",AGOSTO!T36)</f>
        <v>Remuneración y Honorarios por Servicios Técnicos y Profesionales</v>
      </c>
      <c r="U36" s="29">
        <f>+ENERO!U36</f>
        <v>16339906</v>
      </c>
      <c r="V36" s="17">
        <f>AGOSTO!V36+SEPTIEMBRE!AL36</f>
        <v>0</v>
      </c>
      <c r="W36" s="17">
        <f>AGOSTO!W36+SEPTIEMBRE!AM36</f>
        <v>0</v>
      </c>
      <c r="X36" s="20">
        <f t="shared" ref="X36:X41" si="36">SUM(U36:W36)</f>
        <v>16339906</v>
      </c>
      <c r="Y36" s="21">
        <f>AGOSTO!AA36</f>
        <v>8413111</v>
      </c>
      <c r="Z36" s="457">
        <v>1201873</v>
      </c>
      <c r="AA36" s="20">
        <f t="shared" ref="AA36:AA41" si="37">SUM(Y36:Z36)</f>
        <v>9614984</v>
      </c>
      <c r="AB36" s="21">
        <f>AGOSTO!AD36</f>
        <v>8413111</v>
      </c>
      <c r="AC36" s="457">
        <v>1201873</v>
      </c>
      <c r="AD36" s="20">
        <f t="shared" ref="AD36:AD41" si="38">SUM(AB36:AC36)</f>
        <v>9614984</v>
      </c>
      <c r="AE36" s="21">
        <f>AGOSTO!AG36</f>
        <v>7211238</v>
      </c>
      <c r="AF36" s="457">
        <v>1201873</v>
      </c>
      <c r="AG36" s="20">
        <f t="shared" ref="AG36:AG41" si="39">SUM(AE36:AF36)</f>
        <v>8413111</v>
      </c>
      <c r="AH36" s="21">
        <f t="shared" ref="AH36:AH41" si="40">X36-AA36</f>
        <v>6724922</v>
      </c>
      <c r="AI36" s="17">
        <f t="shared" ref="AI36:AI41" si="41">X36-AD36</f>
        <v>6724922</v>
      </c>
      <c r="AJ36" s="18">
        <f t="shared" ref="AJ36:AJ41" si="42">X36-AG36</f>
        <v>7926795</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+IF(AGOSTO!A37=0,"",AGOSTO!A37)</f>
        <v>1130103-3-2</v>
      </c>
      <c r="B37" s="189" t="str">
        <f>+IF(AGOSTO!B37=0,"",AGOSTO!B37)</f>
        <v>Vigencias Anteriores</v>
      </c>
      <c r="C37" s="456">
        <f>+ENERO!C37</f>
        <v>0</v>
      </c>
      <c r="D37" s="456">
        <f>AGOSTO!D37+SEPTIEMBRE!P37</f>
        <v>0</v>
      </c>
      <c r="E37" s="456">
        <f>AGOSTO!E37+SEPTIEMBRE!Q37</f>
        <v>0</v>
      </c>
      <c r="F37" s="170">
        <f>SUM(C37:E37)</f>
        <v>0</v>
      </c>
      <c r="G37" s="283">
        <f>AGOSTO!I37</f>
        <v>0</v>
      </c>
      <c r="H37" s="457">
        <v>0</v>
      </c>
      <c r="I37" s="170">
        <f>SUM(G37:H37)</f>
        <v>0</v>
      </c>
      <c r="J37" s="283">
        <f>AGOSTO!L37</f>
        <v>0</v>
      </c>
      <c r="K37" s="457">
        <v>0</v>
      </c>
      <c r="L37" s="170">
        <f>SUM(J37:K37)</f>
        <v>0</v>
      </c>
      <c r="M37" s="283">
        <f>F37-I37</f>
        <v>0</v>
      </c>
      <c r="N37" s="170">
        <f>F37-L37</f>
        <v>0</v>
      </c>
      <c r="P37" s="455">
        <v>0</v>
      </c>
      <c r="Q37" s="458">
        <v>0</v>
      </c>
      <c r="R37" s="10"/>
      <c r="S37" s="155" t="str">
        <f>+IF(AGOSTO!S37=0,"",AGOSTO!S37)</f>
        <v>1010200-2</v>
      </c>
      <c r="T37" s="159" t="str">
        <f>+IF(AGOSTO!T37=0,"",AGOSTO!T37)</f>
        <v>Personal Supernumerario</v>
      </c>
      <c r="U37" s="29">
        <f>+ENERO!U37</f>
        <v>10000000</v>
      </c>
      <c r="V37" s="17">
        <f>AGOSTO!V37+SEPTIEMBRE!AL37</f>
        <v>0</v>
      </c>
      <c r="W37" s="17">
        <f>AGOSTO!W37+SEPTIEMBRE!AM37</f>
        <v>0</v>
      </c>
      <c r="X37" s="20">
        <f t="shared" si="36"/>
        <v>10000000</v>
      </c>
      <c r="Y37" s="21">
        <f>AGOSTO!AA37</f>
        <v>0</v>
      </c>
      <c r="Z37" s="457">
        <v>0</v>
      </c>
      <c r="AA37" s="20">
        <f t="shared" si="37"/>
        <v>0</v>
      </c>
      <c r="AB37" s="21">
        <f>AGOSTO!AD37</f>
        <v>0</v>
      </c>
      <c r="AC37" s="457">
        <v>0</v>
      </c>
      <c r="AD37" s="20">
        <f t="shared" si="38"/>
        <v>0</v>
      </c>
      <c r="AE37" s="21">
        <f>AGOSTO!AG37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t="str">
        <f>+IF(AGOSTO!A38=0,"",AGOSTO!A38)</f>
        <v/>
      </c>
      <c r="B38" s="719"/>
      <c r="C38" s="720"/>
      <c r="D38" s="720"/>
      <c r="E38" s="720"/>
      <c r="F38" s="721"/>
      <c r="G38" s="722"/>
      <c r="H38" s="723"/>
      <c r="I38" s="721"/>
      <c r="J38" s="722"/>
      <c r="K38" s="723"/>
      <c r="L38" s="721"/>
      <c r="M38" s="722"/>
      <c r="N38" s="721"/>
      <c r="O38" s="726"/>
      <c r="P38" s="724"/>
      <c r="Q38" s="725"/>
      <c r="R38" s="10"/>
      <c r="S38" s="155" t="str">
        <f>+IF(AGOSTO!S38=0,"",AGOSTO!S38)</f>
        <v>1010200-3</v>
      </c>
      <c r="T38" s="159" t="str">
        <f>+IF(AGOSTO!T38=0,"",AGOSTO!T38)</f>
        <v>Honorarios de la Junta Directiva</v>
      </c>
      <c r="U38" s="29">
        <f>+ENERO!U38</f>
        <v>1098240</v>
      </c>
      <c r="V38" s="17">
        <f>AGOSTO!V38+SEPTIEMBRE!AL38</f>
        <v>0</v>
      </c>
      <c r="W38" s="17">
        <f>AGOSTO!W38+SEPTIEMBRE!AM38</f>
        <v>1200000</v>
      </c>
      <c r="X38" s="20">
        <f t="shared" si="36"/>
        <v>2298240</v>
      </c>
      <c r="Y38" s="21">
        <f>AGOSTO!AA38</f>
        <v>1084950</v>
      </c>
      <c r="Z38" s="457">
        <v>554400</v>
      </c>
      <c r="AA38" s="20">
        <f t="shared" si="37"/>
        <v>1639350</v>
      </c>
      <c r="AB38" s="21">
        <f>AGOSTO!AD38</f>
        <v>1084950</v>
      </c>
      <c r="AC38" s="457">
        <v>554400</v>
      </c>
      <c r="AD38" s="20">
        <f t="shared" si="38"/>
        <v>1639350</v>
      </c>
      <c r="AE38" s="21">
        <f>AGOSTO!AG38</f>
        <v>1084950</v>
      </c>
      <c r="AF38" s="457">
        <v>554400</v>
      </c>
      <c r="AG38" s="20">
        <f t="shared" si="39"/>
        <v>1639350</v>
      </c>
      <c r="AH38" s="21">
        <f t="shared" si="40"/>
        <v>658890</v>
      </c>
      <c r="AI38" s="17">
        <f t="shared" si="41"/>
        <v>658890</v>
      </c>
      <c r="AJ38" s="18">
        <f t="shared" si="42"/>
        <v>658890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t="str">
        <f>+IF(AGOSTO!A39=0,"",AGOSTO!A39)</f>
        <v/>
      </c>
      <c r="B39" s="719"/>
      <c r="C39" s="720"/>
      <c r="D39" s="720"/>
      <c r="E39" s="720"/>
      <c r="F39" s="721"/>
      <c r="G39" s="722"/>
      <c r="H39" s="723"/>
      <c r="I39" s="721"/>
      <c r="J39" s="722"/>
      <c r="K39" s="723"/>
      <c r="L39" s="721"/>
      <c r="M39" s="722"/>
      <c r="N39" s="721"/>
      <c r="O39" s="726"/>
      <c r="P39" s="724"/>
      <c r="Q39" s="725"/>
      <c r="R39" s="10"/>
      <c r="S39" s="155" t="str">
        <f>+IF(AGOSTO!S39=0,"",AGOSTO!S39)</f>
        <v>1010200-4</v>
      </c>
      <c r="T39" s="159" t="str">
        <f>+IF(AGOSTO!T39=0,"",AGOSTO!T39)</f>
        <v>Otros Honorarios (Servicios de Cooperativa)</v>
      </c>
      <c r="U39" s="29">
        <f>+ENERO!U39</f>
        <v>80796809</v>
      </c>
      <c r="V39" s="17">
        <f>AGOSTO!V39+SEPTIEMBRE!AL39</f>
        <v>0</v>
      </c>
      <c r="W39" s="17">
        <f>AGOSTO!W39+SEPTIEMBRE!AM39</f>
        <v>0</v>
      </c>
      <c r="X39" s="20">
        <f t="shared" si="36"/>
        <v>80796809</v>
      </c>
      <c r="Y39" s="21">
        <f>AGOSTO!AA39</f>
        <v>38465368</v>
      </c>
      <c r="Z39" s="457">
        <v>7797396</v>
      </c>
      <c r="AA39" s="20">
        <f t="shared" si="37"/>
        <v>46262764</v>
      </c>
      <c r="AB39" s="21">
        <f>AGOSTO!AD39</f>
        <v>38465368</v>
      </c>
      <c r="AC39" s="457">
        <v>7797396</v>
      </c>
      <c r="AD39" s="20">
        <f t="shared" si="38"/>
        <v>46262764</v>
      </c>
      <c r="AE39" s="21">
        <f>AGOSTO!AG39</f>
        <v>34745572</v>
      </c>
      <c r="AF39" s="457">
        <v>3719796</v>
      </c>
      <c r="AG39" s="20">
        <f t="shared" si="39"/>
        <v>38465368</v>
      </c>
      <c r="AH39" s="21">
        <f t="shared" si="40"/>
        <v>34534045</v>
      </c>
      <c r="AI39" s="17">
        <f t="shared" si="41"/>
        <v>34534045</v>
      </c>
      <c r="AJ39" s="18">
        <f t="shared" si="42"/>
        <v>42331441</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t="str">
        <f>+IF(AGOSTO!A40=0,"",AGOSTO!A40)</f>
        <v/>
      </c>
      <c r="B40" s="719"/>
      <c r="C40" s="720"/>
      <c r="D40" s="720"/>
      <c r="E40" s="720"/>
      <c r="F40" s="721"/>
      <c r="G40" s="722"/>
      <c r="H40" s="723"/>
      <c r="I40" s="721"/>
      <c r="J40" s="722"/>
      <c r="K40" s="723"/>
      <c r="L40" s="721"/>
      <c r="M40" s="722"/>
      <c r="N40" s="721"/>
      <c r="O40" s="726"/>
      <c r="P40" s="724"/>
      <c r="Q40" s="725"/>
      <c r="R40" s="10"/>
      <c r="S40" s="155" t="str">
        <f>+IF(AGOSTO!S40=0,"",AGOSTO!S40)</f>
        <v>1010200-6</v>
      </c>
      <c r="T40" s="159" t="str">
        <f>+IF(AGOSTO!T40=0,"",AGOSTO!T40)</f>
        <v>Certificación, Habilitación y Acreditación</v>
      </c>
      <c r="U40" s="29">
        <f>+ENERO!U40</f>
        <v>0</v>
      </c>
      <c r="V40" s="17">
        <f>AGOSTO!V40+SEPTIEMBRE!AL40</f>
        <v>0</v>
      </c>
      <c r="W40" s="17">
        <f>AGOSTO!W40+SEPTIEMBRE!AM40</f>
        <v>0</v>
      </c>
      <c r="X40" s="20">
        <f t="shared" si="36"/>
        <v>0</v>
      </c>
      <c r="Y40" s="21">
        <f>AGOSTO!AA40</f>
        <v>0</v>
      </c>
      <c r="Z40" s="457">
        <v>0</v>
      </c>
      <c r="AA40" s="20">
        <f t="shared" si="37"/>
        <v>0</v>
      </c>
      <c r="AB40" s="21">
        <f>AGOSTO!AD40</f>
        <v>0</v>
      </c>
      <c r="AC40" s="457">
        <v>0</v>
      </c>
      <c r="AD40" s="20">
        <f t="shared" si="38"/>
        <v>0</v>
      </c>
      <c r="AE40" s="21">
        <f>AGOSTO!AG40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t="str">
        <f>+IF(AGOSTO!A41=0,"",AGOSTO!A41)</f>
        <v/>
      </c>
      <c r="B41" s="728"/>
      <c r="C41" s="720"/>
      <c r="D41" s="720"/>
      <c r="E41" s="720"/>
      <c r="F41" s="721"/>
      <c r="G41" s="722"/>
      <c r="H41" s="723"/>
      <c r="I41" s="721"/>
      <c r="J41" s="722"/>
      <c r="K41" s="723"/>
      <c r="L41" s="721"/>
      <c r="M41" s="722"/>
      <c r="N41" s="721"/>
      <c r="O41" s="726"/>
      <c r="P41" s="724"/>
      <c r="Q41" s="725"/>
      <c r="R41" s="10"/>
      <c r="S41" s="155">
        <f>+IF(AGOSTO!S41=0,"",AGOSTO!S41)</f>
        <v>1010299</v>
      </c>
      <c r="T41" s="159" t="str">
        <f>+IF(AGOSTO!T41=0,"",AGOSTO!T41)</f>
        <v>Vigencias Anteriores</v>
      </c>
      <c r="U41" s="29">
        <f>+ENERO!U41</f>
        <v>5520741</v>
      </c>
      <c r="V41" s="17">
        <f>AGOSTO!V41+SEPTIEMBRE!AL41</f>
        <v>-2668000</v>
      </c>
      <c r="W41" s="17">
        <f>AGOSTO!W41+SEPTIEMBRE!AM41</f>
        <v>0</v>
      </c>
      <c r="X41" s="20">
        <f t="shared" si="36"/>
        <v>2852741</v>
      </c>
      <c r="Y41" s="21">
        <f>AGOSTO!AA41</f>
        <v>2852741</v>
      </c>
      <c r="Z41" s="457">
        <v>0</v>
      </c>
      <c r="AA41" s="20">
        <f t="shared" si="37"/>
        <v>2852741</v>
      </c>
      <c r="AB41" s="21">
        <f>AGOSTO!AD41</f>
        <v>2852741</v>
      </c>
      <c r="AC41" s="457">
        <v>0</v>
      </c>
      <c r="AD41" s="20">
        <f t="shared" si="38"/>
        <v>2852741</v>
      </c>
      <c r="AE41" s="21">
        <f>AGOSTO!AG41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+IF(AGOSTO!A42=0,"",AGOSTO!A42)</f>
        <v>1130106</v>
      </c>
      <c r="B42" s="45" t="str">
        <f>+IF(AGOSTO!B42=0,"",AGOSTO!B42)</f>
        <v>SALUD PUBLICA - PLAN DE INTERVENCIONES COLECTIVAS</v>
      </c>
      <c r="C42" s="53">
        <f t="shared" ref="C42:N42" si="43">SUM(C43:C44)</f>
        <v>125397398</v>
      </c>
      <c r="D42" s="53">
        <f t="shared" si="43"/>
        <v>0</v>
      </c>
      <c r="E42" s="53">
        <f t="shared" si="43"/>
        <v>0</v>
      </c>
      <c r="F42" s="54">
        <f t="shared" si="43"/>
        <v>125397398</v>
      </c>
      <c r="G42" s="52">
        <f t="shared" si="43"/>
        <v>71125789</v>
      </c>
      <c r="H42" s="53">
        <f t="shared" si="43"/>
        <v>10017527</v>
      </c>
      <c r="I42" s="54">
        <f t="shared" si="43"/>
        <v>81143316</v>
      </c>
      <c r="J42" s="52">
        <f t="shared" si="43"/>
        <v>53022786</v>
      </c>
      <c r="K42" s="53">
        <f t="shared" si="43"/>
        <v>0</v>
      </c>
      <c r="L42" s="54">
        <f t="shared" si="43"/>
        <v>53022786</v>
      </c>
      <c r="M42" s="52">
        <f t="shared" si="43"/>
        <v>44254082</v>
      </c>
      <c r="N42" s="54">
        <f t="shared" si="43"/>
        <v>72374612</v>
      </c>
      <c r="P42" s="52">
        <f>SUM(P43:P44)</f>
        <v>0</v>
      </c>
      <c r="Q42" s="54">
        <f>SUM(Q43:Q44)</f>
        <v>0</v>
      </c>
      <c r="R42" s="10"/>
      <c r="S42" s="448" t="str">
        <f>+IF(AGOSTO!S42=0,"",AGOSTO!S42)</f>
        <v/>
      </c>
      <c r="T42" s="649" t="str">
        <f>+IF(AGOSTO!T42=0,"",AGOSTO!T42)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+IF(AGOSTO!A43=0,"",AGOSTO!A43)</f>
        <v>1130106-1</v>
      </c>
      <c r="B43" s="189" t="str">
        <f>+CONCATENATE("Vigencia ",INSTRUCCIONES!$F$3)</f>
        <v>Vigencia 2014</v>
      </c>
      <c r="C43" s="456">
        <f>+ENERO!C43</f>
        <v>125397398</v>
      </c>
      <c r="D43" s="456">
        <f>AGOSTO!D43+SEPTIEMBRE!P43</f>
        <v>0</v>
      </c>
      <c r="E43" s="456">
        <f>AGOSTO!E43+SEPTIEMBRE!Q43</f>
        <v>0</v>
      </c>
      <c r="F43" s="170">
        <f>SUM(C43:E43)</f>
        <v>125397398</v>
      </c>
      <c r="G43" s="283">
        <f>AGOSTO!I43</f>
        <v>71125789</v>
      </c>
      <c r="H43" s="457">
        <v>10017527</v>
      </c>
      <c r="I43" s="170">
        <f>SUM(G43:H43)</f>
        <v>81143316</v>
      </c>
      <c r="J43" s="283">
        <f>AGOSTO!L43</f>
        <v>53022786</v>
      </c>
      <c r="K43" s="457">
        <v>0</v>
      </c>
      <c r="L43" s="170">
        <f>SUM(J43:K43)</f>
        <v>53022786</v>
      </c>
      <c r="M43" s="283">
        <f>F43-I43</f>
        <v>44254082</v>
      </c>
      <c r="N43" s="170">
        <f>F43-L43</f>
        <v>72374612</v>
      </c>
      <c r="O43" s="467"/>
      <c r="P43" s="455">
        <v>0</v>
      </c>
      <c r="Q43" s="458">
        <v>0</v>
      </c>
      <c r="R43" s="10"/>
      <c r="S43" s="34">
        <f>+IF(AGOSTO!S43=0,"",AGOSTO!S43)</f>
        <v>1010300</v>
      </c>
      <c r="T43" s="158" t="str">
        <f>+IF(AGOSTO!T43=0,"",AGOSTO!T43)</f>
        <v>Contribuciones Inherentes nómina al Sector Privado</v>
      </c>
      <c r="U43" s="157">
        <f t="shared" ref="U43:AJ43" si="44">U44+U49+U55</f>
        <v>119647956</v>
      </c>
      <c r="V43" s="144">
        <f t="shared" si="44"/>
        <v>487148</v>
      </c>
      <c r="W43" s="144">
        <f t="shared" si="44"/>
        <v>0</v>
      </c>
      <c r="X43" s="152">
        <f t="shared" si="44"/>
        <v>120135104</v>
      </c>
      <c r="Y43" s="151">
        <f t="shared" si="44"/>
        <v>76201000</v>
      </c>
      <c r="Z43" s="144">
        <f t="shared" si="44"/>
        <v>4330081</v>
      </c>
      <c r="AA43" s="152">
        <f t="shared" si="44"/>
        <v>80531081</v>
      </c>
      <c r="AB43" s="151">
        <f t="shared" si="44"/>
        <v>76201000</v>
      </c>
      <c r="AC43" s="144">
        <f t="shared" si="44"/>
        <v>4330081</v>
      </c>
      <c r="AD43" s="152">
        <f t="shared" si="44"/>
        <v>80531081</v>
      </c>
      <c r="AE43" s="151">
        <f t="shared" si="44"/>
        <v>73147155</v>
      </c>
      <c r="AF43" s="144">
        <f t="shared" si="44"/>
        <v>4346859</v>
      </c>
      <c r="AG43" s="152">
        <f t="shared" si="44"/>
        <v>77494014</v>
      </c>
      <c r="AH43" s="151">
        <f t="shared" si="44"/>
        <v>39604023</v>
      </c>
      <c r="AI43" s="144">
        <f t="shared" si="44"/>
        <v>39604023</v>
      </c>
      <c r="AJ43" s="153">
        <f t="shared" si="44"/>
        <v>42641090</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+IF(AGOSTO!A44=0,"",AGOSTO!A44)</f>
        <v>1130106-2</v>
      </c>
      <c r="B44" s="189" t="str">
        <f>+IF(AGOSTO!B44=0,"",AGOSTO!B44)</f>
        <v>Vigencias Anteriores</v>
      </c>
      <c r="C44" s="456">
        <f>+ENERO!C44</f>
        <v>0</v>
      </c>
      <c r="D44" s="456">
        <f>AGOSTO!D44+SEPTIEMBRE!P44</f>
        <v>0</v>
      </c>
      <c r="E44" s="456">
        <f>AGOSTO!E44+SEPTIEMBRE!Q44</f>
        <v>0</v>
      </c>
      <c r="F44" s="170">
        <f>SUM(C44:E44)</f>
        <v>0</v>
      </c>
      <c r="G44" s="283">
        <f>AGOSTO!I44</f>
        <v>0</v>
      </c>
      <c r="H44" s="457">
        <v>0</v>
      </c>
      <c r="I44" s="170">
        <f>SUM(G44:H44)</f>
        <v>0</v>
      </c>
      <c r="J44" s="283">
        <f>AGOSTO!L44</f>
        <v>0</v>
      </c>
      <c r="K44" s="457">
        <v>0</v>
      </c>
      <c r="L44" s="170">
        <f>SUM(J44:K44)</f>
        <v>0</v>
      </c>
      <c r="M44" s="283">
        <f>F44-I44</f>
        <v>0</v>
      </c>
      <c r="N44" s="170">
        <f>F44-L44</f>
        <v>0</v>
      </c>
      <c r="O44" s="467"/>
      <c r="P44" s="455">
        <v>0</v>
      </c>
      <c r="Q44" s="458">
        <v>0</v>
      </c>
      <c r="R44" s="10"/>
      <c r="S44" s="155">
        <f>+IF(AGOSTO!S44=0,"",AGOSTO!S44)</f>
        <v>1010301</v>
      </c>
      <c r="T44" s="159" t="str">
        <f>+IF(AGOSTO!T44=0,"",AGOSTO!T44)</f>
        <v>Contribuciones - Sin Situación de Fondos</v>
      </c>
      <c r="U44" s="29">
        <f t="shared" ref="U44:AJ44" si="45">SUM(U45:U48)</f>
        <v>56401928</v>
      </c>
      <c r="V44" s="17">
        <f t="shared" si="45"/>
        <v>0</v>
      </c>
      <c r="W44" s="17">
        <f t="shared" si="45"/>
        <v>0</v>
      </c>
      <c r="X44" s="20">
        <f t="shared" si="45"/>
        <v>56401928</v>
      </c>
      <c r="Y44" s="21">
        <f t="shared" si="45"/>
        <v>20403949</v>
      </c>
      <c r="Z44" s="169">
        <f t="shared" si="45"/>
        <v>1293014</v>
      </c>
      <c r="AA44" s="20">
        <f t="shared" si="45"/>
        <v>21696963</v>
      </c>
      <c r="AB44" s="21">
        <f t="shared" si="45"/>
        <v>20403949</v>
      </c>
      <c r="AC44" s="169">
        <f t="shared" si="45"/>
        <v>1293014</v>
      </c>
      <c r="AD44" s="20">
        <f t="shared" si="45"/>
        <v>21696963</v>
      </c>
      <c r="AE44" s="21">
        <f t="shared" si="45"/>
        <v>20403949</v>
      </c>
      <c r="AF44" s="169">
        <f t="shared" si="45"/>
        <v>1293014</v>
      </c>
      <c r="AG44" s="20">
        <f t="shared" si="45"/>
        <v>21696963</v>
      </c>
      <c r="AH44" s="21">
        <f t="shared" si="45"/>
        <v>34704965</v>
      </c>
      <c r="AI44" s="17">
        <f t="shared" si="45"/>
        <v>34704965</v>
      </c>
      <c r="AJ44" s="18">
        <f t="shared" si="45"/>
        <v>34704965</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+IF(AGOSTO!A45=0,"",AGOSTO!A45)</f>
        <v>1130107</v>
      </c>
      <c r="B45" s="45" t="str">
        <f>+IF(AGOSTO!B45=0,"",AGOSTO!B45)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+IF(AGOSTO!S45=0,"",AGOSTO!S45)</f>
        <v>1010301-1</v>
      </c>
      <c r="T45" s="55" t="str">
        <f>+IF(AGOSTO!T45=0,"",AGOSTO!T45)</f>
        <v>Aportes a E.P.S.- Sin sit. Fondos</v>
      </c>
      <c r="U45" s="29">
        <f>+ENERO!U45</f>
        <v>24712429</v>
      </c>
      <c r="V45" s="17">
        <f>AGOSTO!V45+SEPTIEMBRE!AL45</f>
        <v>0</v>
      </c>
      <c r="W45" s="17">
        <f>AGOSTO!W45+SEPTIEMBRE!AM45</f>
        <v>0</v>
      </c>
      <c r="X45" s="20">
        <f>SUM(U45:W45)</f>
        <v>24712429</v>
      </c>
      <c r="Y45" s="21">
        <f>AGOSTO!AA45</f>
        <v>11160149</v>
      </c>
      <c r="Z45" s="457">
        <v>1293014</v>
      </c>
      <c r="AA45" s="20">
        <f>SUM(Y45:Z45)</f>
        <v>12453163</v>
      </c>
      <c r="AB45" s="21">
        <f>AGOSTO!AD45</f>
        <v>11160149</v>
      </c>
      <c r="AC45" s="457">
        <v>1293014</v>
      </c>
      <c r="AD45" s="20">
        <f>SUM(AB45:AC45)</f>
        <v>12453163</v>
      </c>
      <c r="AE45" s="21">
        <f>AGOSTO!AG45</f>
        <v>11160149</v>
      </c>
      <c r="AF45" s="457">
        <v>1293014</v>
      </c>
      <c r="AG45" s="20">
        <f>SUM(AE45:AF45)</f>
        <v>12453163</v>
      </c>
      <c r="AH45" s="21">
        <f>X45-AA45</f>
        <v>12259266</v>
      </c>
      <c r="AI45" s="17">
        <f>X45-AD45</f>
        <v>12259266</v>
      </c>
      <c r="AJ45" s="18">
        <f>X45-AG45</f>
        <v>12259266</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+IF(AGOSTO!A46=0,"",AGOSTO!A46)</f>
        <v>1130107-1</v>
      </c>
      <c r="B46" s="189" t="str">
        <f>+CONCATENATE("Vigencia ",INSTRUCCIONES!$F$3)</f>
        <v>Vigencia 2014</v>
      </c>
      <c r="C46" s="456">
        <f>+ENERO!C46</f>
        <v>0</v>
      </c>
      <c r="D46" s="456">
        <f>AGOSTO!D46+SEPTIEMBRE!P46</f>
        <v>0</v>
      </c>
      <c r="E46" s="456">
        <f>AGOSTO!E46+SEPTIEMBRE!Q46</f>
        <v>0</v>
      </c>
      <c r="F46" s="170">
        <f>SUM(C46:E46)</f>
        <v>0</v>
      </c>
      <c r="G46" s="283">
        <f>AGOSTO!I46</f>
        <v>0</v>
      </c>
      <c r="H46" s="457">
        <v>0</v>
      </c>
      <c r="I46" s="170">
        <f>SUM(G46:H46)</f>
        <v>0</v>
      </c>
      <c r="J46" s="283">
        <f>AGOSTO!L46</f>
        <v>0</v>
      </c>
      <c r="K46" s="457">
        <v>0</v>
      </c>
      <c r="L46" s="170">
        <f>SUM(J46:K46)</f>
        <v>0</v>
      </c>
      <c r="M46" s="283">
        <f>F46-I46</f>
        <v>0</v>
      </c>
      <c r="N46" s="170">
        <f>F46-L46</f>
        <v>0</v>
      </c>
      <c r="O46" s="467"/>
      <c r="P46" s="455">
        <v>0</v>
      </c>
      <c r="Q46" s="458">
        <v>0</v>
      </c>
      <c r="R46" s="10"/>
      <c r="S46" s="156" t="str">
        <f>+IF(AGOSTO!S46=0,"",AGOSTO!S46)</f>
        <v>1010301-2</v>
      </c>
      <c r="T46" s="55" t="str">
        <f>+IF(AGOSTO!T46=0,"",AGOSTO!T46)</f>
        <v>Aportes Fondos Pensionales - Sin Sit. Fondos</v>
      </c>
      <c r="U46" s="29">
        <f>+ENERO!U46</f>
        <v>26693987</v>
      </c>
      <c r="V46" s="17">
        <f>AGOSTO!V46+SEPTIEMBRE!AL46</f>
        <v>0</v>
      </c>
      <c r="W46" s="17">
        <f>AGOSTO!W46+SEPTIEMBRE!AM46</f>
        <v>0</v>
      </c>
      <c r="X46" s="20">
        <f>SUM(U46:W46)</f>
        <v>26693987</v>
      </c>
      <c r="Y46" s="21">
        <f>AGOSTO!AA46</f>
        <v>9243800</v>
      </c>
      <c r="Z46" s="457">
        <v>0</v>
      </c>
      <c r="AA46" s="20">
        <f>SUM(Y46:Z46)</f>
        <v>9243800</v>
      </c>
      <c r="AB46" s="21">
        <f>AGOSTO!AD46</f>
        <v>9243800</v>
      </c>
      <c r="AC46" s="457">
        <v>0</v>
      </c>
      <c r="AD46" s="20">
        <f>SUM(AB46:AC46)</f>
        <v>9243800</v>
      </c>
      <c r="AE46" s="21">
        <f>AGOSTO!AG46</f>
        <v>9243800</v>
      </c>
      <c r="AF46" s="457">
        <v>0</v>
      </c>
      <c r="AG46" s="20">
        <f>SUM(AE46:AF46)</f>
        <v>9243800</v>
      </c>
      <c r="AH46" s="21">
        <f>X46-AA46</f>
        <v>17450187</v>
      </c>
      <c r="AI46" s="17">
        <f>X46-AD46</f>
        <v>17450187</v>
      </c>
      <c r="AJ46" s="18">
        <f>X46-AG46</f>
        <v>17450187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+IF(AGOSTO!A47=0,"",AGOSTO!A47)</f>
        <v>1130107-2</v>
      </c>
      <c r="B47" s="189" t="str">
        <f>+IF(AGOSTO!B47=0,"",AGOSTO!B47)</f>
        <v>Vigencias Anteriores</v>
      </c>
      <c r="C47" s="456">
        <f>+ENERO!C47</f>
        <v>0</v>
      </c>
      <c r="D47" s="456">
        <f>AGOSTO!D47+SEPTIEMBRE!P47</f>
        <v>0</v>
      </c>
      <c r="E47" s="456">
        <f>AGOSTO!E47+SEPTIEMBRE!Q47</f>
        <v>0</v>
      </c>
      <c r="F47" s="170">
        <f>SUM(C47:E47)</f>
        <v>0</v>
      </c>
      <c r="G47" s="283">
        <f>AGOSTO!I47</f>
        <v>0</v>
      </c>
      <c r="H47" s="457">
        <v>0</v>
      </c>
      <c r="I47" s="170">
        <f>SUM(G47:H47)</f>
        <v>0</v>
      </c>
      <c r="J47" s="283">
        <f>AGOSTO!L47</f>
        <v>0</v>
      </c>
      <c r="K47" s="457">
        <v>0</v>
      </c>
      <c r="L47" s="170">
        <f>SUM(J47:K47)</f>
        <v>0</v>
      </c>
      <c r="M47" s="283">
        <f>F47-I47</f>
        <v>0</v>
      </c>
      <c r="N47" s="170">
        <f>F47-L47</f>
        <v>0</v>
      </c>
      <c r="O47" s="467"/>
      <c r="P47" s="455">
        <v>0</v>
      </c>
      <c r="Q47" s="458">
        <v>0</v>
      </c>
      <c r="R47" s="10"/>
      <c r="S47" s="156" t="str">
        <f>+IF(AGOSTO!S47=0,"",AGOSTO!S47)</f>
        <v>1010301-3</v>
      </c>
      <c r="T47" s="55" t="str">
        <f>+IF(AGOSTO!T47=0,"",AGOSTO!T47)</f>
        <v xml:space="preserve">Aportes a Fondos de Cesantia - Sin Sit. de Fondos </v>
      </c>
      <c r="U47" s="29">
        <f>+ENERO!U47</f>
        <v>4995512</v>
      </c>
      <c r="V47" s="17">
        <f>AGOSTO!V47+SEPTIEMBRE!AL47</f>
        <v>0</v>
      </c>
      <c r="W47" s="17">
        <f>AGOSTO!W47+SEPTIEMBRE!AM47</f>
        <v>0</v>
      </c>
      <c r="X47" s="20">
        <f>SUM(U47:W47)</f>
        <v>4995512</v>
      </c>
      <c r="Y47" s="21">
        <f>AGOSTO!AA47</f>
        <v>0</v>
      </c>
      <c r="Z47" s="457">
        <v>0</v>
      </c>
      <c r="AA47" s="20">
        <f>SUM(Y47:Z47)</f>
        <v>0</v>
      </c>
      <c r="AB47" s="21">
        <f>AGOSTO!AD47</f>
        <v>0</v>
      </c>
      <c r="AC47" s="457">
        <v>0</v>
      </c>
      <c r="AD47" s="20">
        <f>SUM(AB47:AC47)</f>
        <v>0</v>
      </c>
      <c r="AE47" s="21">
        <f>AGOSTO!AG47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+IF(AGOSTO!A48=0,"",AGOSTO!A48)</f>
        <v>1130108</v>
      </c>
      <c r="B48" s="45" t="str">
        <f>+IF(AGOSTO!B48=0,"",AGOSTO!B48)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+IF(AGOSTO!S48=0,"",AGOSTO!S48)</f>
        <v>1010301-4</v>
      </c>
      <c r="T48" s="55" t="str">
        <f>+IF(AGOSTO!T48=0,"",AGOSTO!T48)</f>
        <v xml:space="preserve">Aporte a ARL. - Sin Sit. de Fondos </v>
      </c>
      <c r="U48" s="29">
        <f>+ENERO!U48</f>
        <v>0</v>
      </c>
      <c r="V48" s="17">
        <f>AGOSTO!V48+SEPTIEMBRE!AL48</f>
        <v>0</v>
      </c>
      <c r="W48" s="17">
        <f>AGOSTO!W48+SEPTIEMBRE!AM48</f>
        <v>0</v>
      </c>
      <c r="X48" s="20">
        <f>SUM(U48:W48)</f>
        <v>0</v>
      </c>
      <c r="Y48" s="21">
        <f>AGOSTO!AA48</f>
        <v>0</v>
      </c>
      <c r="Z48" s="457">
        <v>0</v>
      </c>
      <c r="AA48" s="20">
        <f>SUM(Y48:Z48)</f>
        <v>0</v>
      </c>
      <c r="AB48" s="21">
        <f>AGOSTO!AD48</f>
        <v>0</v>
      </c>
      <c r="AC48" s="457">
        <v>0</v>
      </c>
      <c r="AD48" s="20">
        <f>SUM(AB48:AC48)</f>
        <v>0</v>
      </c>
      <c r="AE48" s="21">
        <f>AGOSTO!AG48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+IF(AGOSTO!A49=0,"",AGOSTO!A49)</f>
        <v>1130108-1</v>
      </c>
      <c r="B49" s="189" t="str">
        <f>+CONCATENATE("Vigencia ",INSTRUCCIONES!$F$3)</f>
        <v>Vigencia 2014</v>
      </c>
      <c r="C49" s="456">
        <f>+ENERO!C49</f>
        <v>0</v>
      </c>
      <c r="D49" s="456">
        <f>AGOSTO!D49+SEPTIEMBRE!P49</f>
        <v>0</v>
      </c>
      <c r="E49" s="456">
        <f>AGOSTO!E49+SEPTIEMBRE!Q49</f>
        <v>0</v>
      </c>
      <c r="F49" s="170">
        <f>SUM(C49:E49)</f>
        <v>0</v>
      </c>
      <c r="G49" s="283">
        <f>AGOSTO!I49</f>
        <v>0</v>
      </c>
      <c r="H49" s="457">
        <v>0</v>
      </c>
      <c r="I49" s="170">
        <f>SUM(G49:H49)</f>
        <v>0</v>
      </c>
      <c r="J49" s="283">
        <f>AGOSTO!L49</f>
        <v>0</v>
      </c>
      <c r="K49" s="457">
        <v>0</v>
      </c>
      <c r="L49" s="170">
        <f>SUM(J49:K49)</f>
        <v>0</v>
      </c>
      <c r="M49" s="283">
        <f>F49-I49</f>
        <v>0</v>
      </c>
      <c r="N49" s="170">
        <f>F49-L49</f>
        <v>0</v>
      </c>
      <c r="O49" s="467"/>
      <c r="P49" s="455">
        <v>0</v>
      </c>
      <c r="Q49" s="458">
        <v>0</v>
      </c>
      <c r="R49" s="10"/>
      <c r="S49" s="155">
        <f>+IF(AGOSTO!S49=0,"",AGOSTO!S49)</f>
        <v>1010302</v>
      </c>
      <c r="T49" s="159" t="str">
        <f>+IF(AGOSTO!T49=0,"",AGOSTO!T49)</f>
        <v>Contribuciones - Otros</v>
      </c>
      <c r="U49" s="29">
        <f t="shared" ref="U49:AJ49" si="48">SUM(U50:U54)</f>
        <v>63246028</v>
      </c>
      <c r="V49" s="17">
        <f t="shared" si="48"/>
        <v>0</v>
      </c>
      <c r="W49" s="17">
        <f t="shared" si="48"/>
        <v>0</v>
      </c>
      <c r="X49" s="20">
        <f t="shared" si="48"/>
        <v>63246028</v>
      </c>
      <c r="Y49" s="21">
        <f t="shared" si="48"/>
        <v>55309903</v>
      </c>
      <c r="Z49" s="169">
        <f t="shared" si="48"/>
        <v>3037067</v>
      </c>
      <c r="AA49" s="20">
        <f t="shared" si="48"/>
        <v>58346970</v>
      </c>
      <c r="AB49" s="21">
        <f t="shared" si="48"/>
        <v>55309903</v>
      </c>
      <c r="AC49" s="169">
        <f t="shared" si="48"/>
        <v>3037067</v>
      </c>
      <c r="AD49" s="20">
        <f t="shared" si="48"/>
        <v>58346970</v>
      </c>
      <c r="AE49" s="21">
        <f t="shared" si="48"/>
        <v>52256058</v>
      </c>
      <c r="AF49" s="169">
        <f t="shared" si="48"/>
        <v>3053845</v>
      </c>
      <c r="AG49" s="20">
        <f t="shared" si="48"/>
        <v>55309903</v>
      </c>
      <c r="AH49" s="21">
        <f t="shared" si="48"/>
        <v>4899058</v>
      </c>
      <c r="AI49" s="17">
        <f t="shared" si="48"/>
        <v>4899058</v>
      </c>
      <c r="AJ49" s="18">
        <f t="shared" si="48"/>
        <v>7936125</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+IF(AGOSTO!A50=0,"",AGOSTO!A50)</f>
        <v>1130108-2</v>
      </c>
      <c r="B50" s="189" t="str">
        <f>+IF(AGOSTO!B50=0,"",AGOSTO!B50)</f>
        <v>Vigencias Anteriores</v>
      </c>
      <c r="C50" s="456">
        <f>+ENERO!C50</f>
        <v>0</v>
      </c>
      <c r="D50" s="456">
        <f>AGOSTO!D50+SEPTIEMBRE!P50</f>
        <v>0</v>
      </c>
      <c r="E50" s="456">
        <f>AGOSTO!E50+SEPTIEMBRE!Q50</f>
        <v>0</v>
      </c>
      <c r="F50" s="170">
        <f>SUM(C50:E50)</f>
        <v>0</v>
      </c>
      <c r="G50" s="283">
        <f>AGOSTO!I50</f>
        <v>0</v>
      </c>
      <c r="H50" s="457">
        <v>0</v>
      </c>
      <c r="I50" s="170">
        <f>SUM(G50:H50)</f>
        <v>0</v>
      </c>
      <c r="J50" s="283">
        <f>AGOSTO!L50</f>
        <v>0</v>
      </c>
      <c r="K50" s="457">
        <v>0</v>
      </c>
      <c r="L50" s="170">
        <f>SUM(J50:K50)</f>
        <v>0</v>
      </c>
      <c r="M50" s="283">
        <f>F50-I50</f>
        <v>0</v>
      </c>
      <c r="N50" s="170">
        <f>F50-L50</f>
        <v>0</v>
      </c>
      <c r="O50" s="467"/>
      <c r="P50" s="455">
        <v>0</v>
      </c>
      <c r="Q50" s="458">
        <v>0</v>
      </c>
      <c r="R50" s="10"/>
      <c r="S50" s="156" t="str">
        <f>+IF(AGOSTO!S50=0,"",AGOSTO!S50)</f>
        <v>1010302-1</v>
      </c>
      <c r="T50" s="55" t="str">
        <f>+IF(AGOSTO!T50=0,"",AGOSTO!T50)</f>
        <v>Aportes a E.P.S.- Con sit. Fondos</v>
      </c>
      <c r="U50" s="29">
        <f>+ENERO!U50</f>
        <v>4719263</v>
      </c>
      <c r="V50" s="17">
        <f>AGOSTO!V50+SEPTIEMBRE!AL50</f>
        <v>0</v>
      </c>
      <c r="W50" s="17">
        <f>AGOSTO!W50+SEPTIEMBRE!AM50</f>
        <v>0</v>
      </c>
      <c r="X50" s="20">
        <f t="shared" ref="X50:X55" si="49">SUM(U50:W50)</f>
        <v>4719263</v>
      </c>
      <c r="Y50" s="21">
        <f>AGOSTO!AA50</f>
        <v>4318160</v>
      </c>
      <c r="Z50" s="457">
        <v>0</v>
      </c>
      <c r="AA50" s="20">
        <f t="shared" ref="AA50:AA55" si="50">SUM(Y50:Z50)</f>
        <v>4318160</v>
      </c>
      <c r="AB50" s="21">
        <f>AGOSTO!AD50</f>
        <v>4318160</v>
      </c>
      <c r="AC50" s="457">
        <v>0</v>
      </c>
      <c r="AD50" s="20">
        <f t="shared" ref="AD50:AD55" si="51">SUM(AB50:AC50)</f>
        <v>4318160</v>
      </c>
      <c r="AE50" s="21">
        <f>AGOSTO!AG50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+IF(AGOSTO!A51=0,"",AGOSTO!A51)</f>
        <v>1130109</v>
      </c>
      <c r="B51" s="45" t="str">
        <f>+IF(AGOSTO!B51=0,"",AGOSTO!B51)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+IF(AGOSTO!S51=0,"",AGOSTO!S51)</f>
        <v>1010302-2</v>
      </c>
      <c r="T51" s="55" t="str">
        <f>+IF(AGOSTO!T51=0,"",AGOSTO!T51)</f>
        <v>Aportes Fondos Pensionales - Con Sit. Fondos</v>
      </c>
      <c r="U51" s="29">
        <f>+ENERO!U51</f>
        <v>14856625</v>
      </c>
      <c r="V51" s="17">
        <f>AGOSTO!V51+SEPTIEMBRE!AL51</f>
        <v>0</v>
      </c>
      <c r="W51" s="17">
        <f>AGOSTO!W51+SEPTIEMBRE!AM51</f>
        <v>0</v>
      </c>
      <c r="X51" s="20">
        <f t="shared" si="49"/>
        <v>14856625</v>
      </c>
      <c r="Y51" s="21">
        <f>AGOSTO!AA51</f>
        <v>13149707</v>
      </c>
      <c r="Z51" s="457">
        <v>1615369</v>
      </c>
      <c r="AA51" s="20">
        <f t="shared" si="50"/>
        <v>14765076</v>
      </c>
      <c r="AB51" s="21">
        <f>AGOSTO!AD51</f>
        <v>13149707</v>
      </c>
      <c r="AC51" s="457">
        <v>1615369</v>
      </c>
      <c r="AD51" s="20">
        <f t="shared" si="51"/>
        <v>14765076</v>
      </c>
      <c r="AE51" s="21">
        <f>AGOSTO!AG51</f>
        <v>11517560</v>
      </c>
      <c r="AF51" s="457">
        <v>1632147</v>
      </c>
      <c r="AG51" s="20">
        <f t="shared" si="52"/>
        <v>13149707</v>
      </c>
      <c r="AH51" s="21">
        <f t="shared" si="53"/>
        <v>91549</v>
      </c>
      <c r="AI51" s="17">
        <f t="shared" si="54"/>
        <v>91549</v>
      </c>
      <c r="AJ51" s="18">
        <f t="shared" si="55"/>
        <v>1706918</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+IF(AGOSTO!A52=0,"",AGOSTO!A52)</f>
        <v>1130109-1</v>
      </c>
      <c r="B52" s="189" t="str">
        <f>+CONCATENATE("Vigencia ",INSTRUCCIONES!$F$3)</f>
        <v>Vigencia 2014</v>
      </c>
      <c r="C52" s="456">
        <f>+ENERO!C52</f>
        <v>0</v>
      </c>
      <c r="D52" s="456">
        <f>AGOSTO!D52+SEPTIEMBRE!P52</f>
        <v>0</v>
      </c>
      <c r="E52" s="456">
        <f>AGOSTO!E52+SEPTIEMBRE!Q52</f>
        <v>0</v>
      </c>
      <c r="F52" s="170">
        <f>SUM(C52:E52)</f>
        <v>0</v>
      </c>
      <c r="G52" s="283">
        <f>AGOSTO!I52</f>
        <v>0</v>
      </c>
      <c r="H52" s="457">
        <v>0</v>
      </c>
      <c r="I52" s="170">
        <f>SUM(G52:H52)</f>
        <v>0</v>
      </c>
      <c r="J52" s="283">
        <f>AGOSTO!L52</f>
        <v>0</v>
      </c>
      <c r="K52" s="457">
        <v>0</v>
      </c>
      <c r="L52" s="170">
        <f>SUM(J52:K52)</f>
        <v>0</v>
      </c>
      <c r="M52" s="283">
        <f>F52-I52</f>
        <v>0</v>
      </c>
      <c r="N52" s="170">
        <f>F52-L52</f>
        <v>0</v>
      </c>
      <c r="O52" s="467"/>
      <c r="P52" s="455">
        <v>0</v>
      </c>
      <c r="Q52" s="458">
        <v>0</v>
      </c>
      <c r="R52" s="10"/>
      <c r="S52" s="156" t="str">
        <f>+IF(AGOSTO!S52=0,"",AGOSTO!S52)</f>
        <v>1010302-3</v>
      </c>
      <c r="T52" s="55" t="str">
        <f>+IF(AGOSTO!T52=0,"",AGOSTO!T52)</f>
        <v xml:space="preserve">Aportes a Fondos de Cesantia - Con Sit. de Fondos </v>
      </c>
      <c r="U52" s="29">
        <f>+ENERO!U52</f>
        <v>26296821</v>
      </c>
      <c r="V52" s="17">
        <f>AGOSTO!V52+SEPTIEMBRE!AL52</f>
        <v>0</v>
      </c>
      <c r="W52" s="17">
        <f>AGOSTO!W52+SEPTIEMBRE!AM52</f>
        <v>0</v>
      </c>
      <c r="X52" s="20">
        <f t="shared" si="49"/>
        <v>26296821</v>
      </c>
      <c r="Y52" s="21">
        <f>AGOSTO!AA52</f>
        <v>25977938</v>
      </c>
      <c r="Z52" s="457">
        <v>0</v>
      </c>
      <c r="AA52" s="20">
        <f t="shared" si="50"/>
        <v>25977938</v>
      </c>
      <c r="AB52" s="21">
        <f>AGOSTO!AD52</f>
        <v>25977938</v>
      </c>
      <c r="AC52" s="457">
        <v>0</v>
      </c>
      <c r="AD52" s="20">
        <f t="shared" si="51"/>
        <v>25977938</v>
      </c>
      <c r="AE52" s="21">
        <f>AGOSTO!AG52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+IF(AGOSTO!A53=0,"",AGOSTO!A53)</f>
        <v>1130109-2</v>
      </c>
      <c r="B53" s="189" t="str">
        <f>+IF(AGOSTO!B53=0,"",AGOSTO!B53)</f>
        <v>Vigencias Anteriores</v>
      </c>
      <c r="C53" s="456">
        <f>+ENERO!C53</f>
        <v>0</v>
      </c>
      <c r="D53" s="456">
        <f>AGOSTO!D53+SEPTIEMBRE!P53</f>
        <v>0</v>
      </c>
      <c r="E53" s="456">
        <f>AGOSTO!E53+SEPTIEMBRE!Q53</f>
        <v>0</v>
      </c>
      <c r="F53" s="170">
        <f>SUM(C53:E53)</f>
        <v>0</v>
      </c>
      <c r="G53" s="283">
        <f>AGOSTO!I53</f>
        <v>0</v>
      </c>
      <c r="H53" s="457">
        <v>0</v>
      </c>
      <c r="I53" s="170">
        <f>SUM(G53:H53)</f>
        <v>0</v>
      </c>
      <c r="J53" s="283">
        <f>AGOSTO!L53</f>
        <v>0</v>
      </c>
      <c r="K53" s="457">
        <v>0</v>
      </c>
      <c r="L53" s="170">
        <f>SUM(J53:K53)</f>
        <v>0</v>
      </c>
      <c r="M53" s="283">
        <f>F53-I53</f>
        <v>0</v>
      </c>
      <c r="N53" s="170">
        <f>F53-L53</f>
        <v>0</v>
      </c>
      <c r="O53" s="467"/>
      <c r="P53" s="455">
        <v>0</v>
      </c>
      <c r="Q53" s="458">
        <v>0</v>
      </c>
      <c r="R53" s="10"/>
      <c r="S53" s="156" t="str">
        <f>+IF(AGOSTO!S53=0,"",AGOSTO!S53)</f>
        <v>1010302-4</v>
      </c>
      <c r="T53" s="55" t="str">
        <f>+IF(AGOSTO!T53=0,"",AGOSTO!T53)</f>
        <v>Aporte a ARL. - Con Sit. de Fondos</v>
      </c>
      <c r="U53" s="29">
        <f>+ENERO!U53</f>
        <v>1807452</v>
      </c>
      <c r="V53" s="17">
        <f>AGOSTO!V53+SEPTIEMBRE!AL53</f>
        <v>0</v>
      </c>
      <c r="W53" s="17">
        <f>AGOSTO!W53+SEPTIEMBRE!AM53</f>
        <v>0</v>
      </c>
      <c r="X53" s="20">
        <f t="shared" si="49"/>
        <v>1807452</v>
      </c>
      <c r="Y53" s="21">
        <f>AGOSTO!AA53</f>
        <v>1788400</v>
      </c>
      <c r="Z53" s="457">
        <v>0</v>
      </c>
      <c r="AA53" s="20">
        <f t="shared" si="50"/>
        <v>1788400</v>
      </c>
      <c r="AB53" s="21">
        <f>AGOSTO!AD53</f>
        <v>1788400</v>
      </c>
      <c r="AC53" s="457">
        <v>0</v>
      </c>
      <c r="AD53" s="20">
        <f t="shared" si="51"/>
        <v>1788400</v>
      </c>
      <c r="AE53" s="21">
        <f>AGOSTO!AG53</f>
        <v>1788400</v>
      </c>
      <c r="AF53" s="457">
        <v>0</v>
      </c>
      <c r="AG53" s="20">
        <f t="shared" si="52"/>
        <v>1788400</v>
      </c>
      <c r="AH53" s="21">
        <f t="shared" si="53"/>
        <v>19052</v>
      </c>
      <c r="AI53" s="17">
        <f t="shared" si="54"/>
        <v>19052</v>
      </c>
      <c r="AJ53" s="18">
        <f t="shared" si="55"/>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+IF(AGOSTO!A54=0,"",AGOSTO!A54)</f>
        <v>1130110</v>
      </c>
      <c r="B54" s="45" t="str">
        <f>+IF(AGOSTO!B54=0,"",AGOSTO!B54)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+IF(AGOSTO!S54=0,"",AGOSTO!S54)</f>
        <v>1010302-5</v>
      </c>
      <c r="T54" s="55" t="str">
        <f>+IF(AGOSTO!T54=0,"",AGOSTO!T54)</f>
        <v>Aporte a Caja Compensación Familiar</v>
      </c>
      <c r="U54" s="29">
        <f>+ENERO!U54</f>
        <v>15565867</v>
      </c>
      <c r="V54" s="17">
        <f>AGOSTO!V54+SEPTIEMBRE!AL54</f>
        <v>0</v>
      </c>
      <c r="W54" s="17">
        <f>AGOSTO!W54+SEPTIEMBRE!AM54</f>
        <v>0</v>
      </c>
      <c r="X54" s="20">
        <f t="shared" si="49"/>
        <v>15565867</v>
      </c>
      <c r="Y54" s="21">
        <f>AGOSTO!AA54</f>
        <v>10075698</v>
      </c>
      <c r="Z54" s="457">
        <v>1421698</v>
      </c>
      <c r="AA54" s="20">
        <f t="shared" si="50"/>
        <v>11497396</v>
      </c>
      <c r="AB54" s="21">
        <f>AGOSTO!AD54</f>
        <v>10075698</v>
      </c>
      <c r="AC54" s="457">
        <v>1421698</v>
      </c>
      <c r="AD54" s="20">
        <f t="shared" si="51"/>
        <v>11497396</v>
      </c>
      <c r="AE54" s="21">
        <f>AGOSTO!AG54</f>
        <v>8654000</v>
      </c>
      <c r="AF54" s="457">
        <v>1421698</v>
      </c>
      <c r="AG54" s="20">
        <f t="shared" si="52"/>
        <v>10075698</v>
      </c>
      <c r="AH54" s="21">
        <f t="shared" si="53"/>
        <v>4068471</v>
      </c>
      <c r="AI54" s="17">
        <f t="shared" si="54"/>
        <v>4068471</v>
      </c>
      <c r="AJ54" s="18">
        <f t="shared" si="55"/>
        <v>5490169</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+IF(AGOSTO!A55=0,"",AGOSTO!A55)</f>
        <v>1130110-1</v>
      </c>
      <c r="B55" s="189" t="str">
        <f>+CONCATENATE("Vigencia ",INSTRUCCIONES!$F$3)</f>
        <v>Vigencia 2014</v>
      </c>
      <c r="C55" s="456">
        <f>+ENERO!C55</f>
        <v>0</v>
      </c>
      <c r="D55" s="456">
        <f>AGOSTO!D55+SEPTIEMBRE!P55</f>
        <v>0</v>
      </c>
      <c r="E55" s="456">
        <f>AGOSTO!E55+SEPTIEMBRE!Q55</f>
        <v>0</v>
      </c>
      <c r="F55" s="170">
        <f>SUM(C55:E55)</f>
        <v>0</v>
      </c>
      <c r="G55" s="283">
        <f>AGOSTO!I55</f>
        <v>0</v>
      </c>
      <c r="H55" s="457">
        <v>0</v>
      </c>
      <c r="I55" s="170">
        <f>SUM(G55:H55)</f>
        <v>0</v>
      </c>
      <c r="J55" s="283">
        <f>AGOSTO!L55</f>
        <v>0</v>
      </c>
      <c r="K55" s="457">
        <v>0</v>
      </c>
      <c r="L55" s="170">
        <f>SUM(J55:K55)</f>
        <v>0</v>
      </c>
      <c r="M55" s="283">
        <f>F55-I55</f>
        <v>0</v>
      </c>
      <c r="N55" s="170">
        <f>F55-L55</f>
        <v>0</v>
      </c>
      <c r="O55" s="467"/>
      <c r="P55" s="455">
        <v>0</v>
      </c>
      <c r="Q55" s="458">
        <v>0</v>
      </c>
      <c r="R55" s="10"/>
      <c r="S55" s="155">
        <f>+IF(AGOSTO!S55=0,"",AGOSTO!S55)</f>
        <v>1010399</v>
      </c>
      <c r="T55" s="159" t="str">
        <f>+IF(AGOSTO!T55=0,"",AGOSTO!T55)</f>
        <v>Vigencias Anteriores</v>
      </c>
      <c r="U55" s="29">
        <f>+ENERO!U55</f>
        <v>0</v>
      </c>
      <c r="V55" s="17">
        <f>AGOSTO!V55+SEPTIEMBRE!AL55</f>
        <v>487148</v>
      </c>
      <c r="W55" s="17">
        <f>AGOSTO!W55+SEPTIEMBRE!AM55</f>
        <v>0</v>
      </c>
      <c r="X55" s="20">
        <f t="shared" si="49"/>
        <v>487148</v>
      </c>
      <c r="Y55" s="21">
        <f>AGOSTO!AA55</f>
        <v>487148</v>
      </c>
      <c r="Z55" s="457">
        <v>0</v>
      </c>
      <c r="AA55" s="20">
        <f t="shared" si="50"/>
        <v>487148</v>
      </c>
      <c r="AB55" s="21">
        <f>AGOSTO!AD55</f>
        <v>487148</v>
      </c>
      <c r="AC55" s="457">
        <v>0</v>
      </c>
      <c r="AD55" s="20">
        <f t="shared" si="51"/>
        <v>487148</v>
      </c>
      <c r="AE55" s="21">
        <f>AGOSTO!AG55</f>
        <v>487148</v>
      </c>
      <c r="AF55" s="457">
        <v>0</v>
      </c>
      <c r="AG55" s="20">
        <f t="shared" si="52"/>
        <v>487148</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+IF(AGOSTO!A56=0,"",AGOSTO!A56)</f>
        <v>1130110-2</v>
      </c>
      <c r="B56" s="189" t="str">
        <f>+IF(AGOSTO!B56=0,"",AGOSTO!B56)</f>
        <v>Vigencias Anteriores</v>
      </c>
      <c r="C56" s="456">
        <f>+ENERO!C56</f>
        <v>0</v>
      </c>
      <c r="D56" s="456">
        <f>AGOSTO!D56+SEPTIEMBRE!P56</f>
        <v>0</v>
      </c>
      <c r="E56" s="456">
        <f>AGOSTO!E56+SEPTIEMBRE!Q56</f>
        <v>0</v>
      </c>
      <c r="F56" s="170">
        <f>SUM(C56:E56)</f>
        <v>0</v>
      </c>
      <c r="G56" s="283">
        <f>AGOSTO!I56</f>
        <v>0</v>
      </c>
      <c r="H56" s="457">
        <v>0</v>
      </c>
      <c r="I56" s="170">
        <f>SUM(G56:H56)</f>
        <v>0</v>
      </c>
      <c r="J56" s="283">
        <f>AGOSTO!L56</f>
        <v>0</v>
      </c>
      <c r="K56" s="457">
        <v>0</v>
      </c>
      <c r="L56" s="170">
        <f>SUM(J56:K56)</f>
        <v>0</v>
      </c>
      <c r="M56" s="283">
        <f>F56-I56</f>
        <v>0</v>
      </c>
      <c r="N56" s="170">
        <f>F56-L56</f>
        <v>0</v>
      </c>
      <c r="O56" s="467"/>
      <c r="P56" s="455">
        <v>0</v>
      </c>
      <c r="Q56" s="458">
        <v>0</v>
      </c>
      <c r="R56" s="10"/>
      <c r="S56" s="448" t="str">
        <f>+IF(AGOSTO!S56=0,"",AGOSTO!S56)</f>
        <v/>
      </c>
      <c r="T56" s="649" t="str">
        <f>+IF(AGOSTO!T56=0,"",AGOSTO!T56)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+IF(AGOSTO!A57=0,"",AGOSTO!A57)</f>
        <v>1130111</v>
      </c>
      <c r="B57" s="45" t="str">
        <f>+IF(AGOSTO!B57=0,"",AGOSTO!B57)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+IF(AGOSTO!S57=0,"",AGOSTO!S57)</f>
        <v>1010400</v>
      </c>
      <c r="T57" s="158" t="str">
        <f>+IF(AGOSTO!T57=0,"",AGOSTO!T57)</f>
        <v>Contribuciones Inherentes nómina del Sector Publico</v>
      </c>
      <c r="U57" s="157">
        <f t="shared" ref="U57:AJ57" si="59">U58+U61</f>
        <v>19457334</v>
      </c>
      <c r="V57" s="144">
        <f t="shared" si="59"/>
        <v>0</v>
      </c>
      <c r="W57" s="144">
        <f t="shared" si="59"/>
        <v>0</v>
      </c>
      <c r="X57" s="152">
        <f t="shared" si="59"/>
        <v>19457334</v>
      </c>
      <c r="Y57" s="151">
        <f t="shared" si="59"/>
        <v>12062686</v>
      </c>
      <c r="Z57" s="144">
        <f t="shared" si="59"/>
        <v>1576586</v>
      </c>
      <c r="AA57" s="152">
        <f t="shared" si="59"/>
        <v>13639272</v>
      </c>
      <c r="AB57" s="151">
        <f t="shared" si="59"/>
        <v>12062686</v>
      </c>
      <c r="AC57" s="144">
        <f t="shared" si="59"/>
        <v>1576586</v>
      </c>
      <c r="AD57" s="152">
        <f t="shared" si="59"/>
        <v>13639272</v>
      </c>
      <c r="AE57" s="151">
        <f t="shared" si="59"/>
        <v>10486100</v>
      </c>
      <c r="AF57" s="144">
        <f t="shared" si="59"/>
        <v>1576586</v>
      </c>
      <c r="AG57" s="152">
        <f t="shared" si="59"/>
        <v>12062686</v>
      </c>
      <c r="AH57" s="151">
        <f t="shared" si="59"/>
        <v>5818062</v>
      </c>
      <c r="AI57" s="144">
        <f t="shared" si="59"/>
        <v>5818062</v>
      </c>
      <c r="AJ57" s="153">
        <f t="shared" si="59"/>
        <v>7394648</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+IF(AGOSTO!A58=0,"",AGOSTO!A58)</f>
        <v>1130111-1</v>
      </c>
      <c r="B58" s="189" t="str">
        <f>+CONCATENATE("Vigencia ",INSTRUCCIONES!$F$3)</f>
        <v>Vigencia 2014</v>
      </c>
      <c r="C58" s="456">
        <f>+ENERO!C58</f>
        <v>0</v>
      </c>
      <c r="D58" s="456">
        <f>AGOSTO!D58+SEPTIEMBRE!P58</f>
        <v>0</v>
      </c>
      <c r="E58" s="456">
        <f>AGOSTO!E58+SEPTIEMBRE!Q58</f>
        <v>0</v>
      </c>
      <c r="F58" s="170">
        <f>SUM(C58:E58)</f>
        <v>0</v>
      </c>
      <c r="G58" s="283">
        <f>AGOSTO!I58</f>
        <v>0</v>
      </c>
      <c r="H58" s="457">
        <v>0</v>
      </c>
      <c r="I58" s="170">
        <f>SUM(G58:H58)</f>
        <v>0</v>
      </c>
      <c r="J58" s="283">
        <f>AGOSTO!L58</f>
        <v>0</v>
      </c>
      <c r="K58" s="457">
        <v>0</v>
      </c>
      <c r="L58" s="170">
        <f>SUM(J58:K58)</f>
        <v>0</v>
      </c>
      <c r="M58" s="283">
        <f>F58-I58</f>
        <v>0</v>
      </c>
      <c r="N58" s="170">
        <f>F58-L58</f>
        <v>0</v>
      </c>
      <c r="O58" s="467"/>
      <c r="P58" s="455">
        <v>0</v>
      </c>
      <c r="Q58" s="458">
        <v>0</v>
      </c>
      <c r="R58" s="10"/>
      <c r="S58" s="155">
        <f>+IF(AGOSTO!S58=0,"",AGOSTO!S58)</f>
        <v>1010402</v>
      </c>
      <c r="T58" s="159" t="str">
        <f>+IF(AGOSTO!T58=0,"",AGOSTO!T58)</f>
        <v>Contribuciones - Otros</v>
      </c>
      <c r="U58" s="29">
        <f t="shared" ref="U58:AJ58" si="60">SUM(U59:U60)</f>
        <v>19457334</v>
      </c>
      <c r="V58" s="17">
        <f t="shared" si="60"/>
        <v>0</v>
      </c>
      <c r="W58" s="17">
        <f t="shared" si="60"/>
        <v>0</v>
      </c>
      <c r="X58" s="20">
        <f t="shared" si="60"/>
        <v>19457334</v>
      </c>
      <c r="Y58" s="21">
        <f t="shared" si="60"/>
        <v>12062686</v>
      </c>
      <c r="Z58" s="169">
        <f t="shared" si="60"/>
        <v>1576586</v>
      </c>
      <c r="AA58" s="20">
        <f t="shared" si="60"/>
        <v>13639272</v>
      </c>
      <c r="AB58" s="21">
        <f t="shared" si="60"/>
        <v>12062686</v>
      </c>
      <c r="AC58" s="169">
        <f t="shared" si="60"/>
        <v>1576586</v>
      </c>
      <c r="AD58" s="20">
        <f t="shared" si="60"/>
        <v>13639272</v>
      </c>
      <c r="AE58" s="21">
        <f t="shared" si="60"/>
        <v>10486100</v>
      </c>
      <c r="AF58" s="169">
        <f t="shared" si="60"/>
        <v>1576586</v>
      </c>
      <c r="AG58" s="20">
        <f t="shared" si="60"/>
        <v>12062686</v>
      </c>
      <c r="AH58" s="21">
        <f t="shared" si="60"/>
        <v>5818062</v>
      </c>
      <c r="AI58" s="17">
        <f t="shared" si="60"/>
        <v>5818062</v>
      </c>
      <c r="AJ58" s="18">
        <f t="shared" si="60"/>
        <v>7394648</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+IF(AGOSTO!A59=0,"",AGOSTO!A59)</f>
        <v>1130111-2</v>
      </c>
      <c r="B59" s="189" t="str">
        <f>+IF(AGOSTO!B59=0,"",AGOSTO!B59)</f>
        <v>Vigencias Anteriores</v>
      </c>
      <c r="C59" s="456">
        <f>+ENERO!C59</f>
        <v>0</v>
      </c>
      <c r="D59" s="456">
        <f>AGOSTO!D59+SEPTIEMBRE!P59</f>
        <v>0</v>
      </c>
      <c r="E59" s="456">
        <f>AGOSTO!E59+SEPTIEMBRE!Q59</f>
        <v>0</v>
      </c>
      <c r="F59" s="170">
        <f>SUM(C59:E59)</f>
        <v>0</v>
      </c>
      <c r="G59" s="283">
        <f>AGOSTO!I59</f>
        <v>0</v>
      </c>
      <c r="H59" s="457">
        <v>0</v>
      </c>
      <c r="I59" s="170">
        <f>SUM(G59:H59)</f>
        <v>0</v>
      </c>
      <c r="J59" s="283">
        <f>AGOSTO!L59</f>
        <v>0</v>
      </c>
      <c r="K59" s="457">
        <v>0</v>
      </c>
      <c r="L59" s="170">
        <f>SUM(J59:K59)</f>
        <v>0</v>
      </c>
      <c r="M59" s="283">
        <f>F59-I59</f>
        <v>0</v>
      </c>
      <c r="N59" s="170">
        <f>F59-L59</f>
        <v>0</v>
      </c>
      <c r="O59" s="467"/>
      <c r="P59" s="455">
        <v>0</v>
      </c>
      <c r="Q59" s="458">
        <v>0</v>
      </c>
      <c r="R59" s="10"/>
      <c r="S59" s="156" t="str">
        <f>+IF(AGOSTO!S59=0,"",AGOSTO!S59)</f>
        <v>1010402-1</v>
      </c>
      <c r="T59" s="55" t="str">
        <f>+IF(AGOSTO!T59=0,"",AGOSTO!T59)</f>
        <v>S.E.N.A.</v>
      </c>
      <c r="U59" s="29">
        <f>+ENERO!U59</f>
        <v>7782934</v>
      </c>
      <c r="V59" s="17">
        <f>AGOSTO!V59+SEPTIEMBRE!AL59</f>
        <v>0</v>
      </c>
      <c r="W59" s="17">
        <f>AGOSTO!W59+SEPTIEMBRE!AM59</f>
        <v>0</v>
      </c>
      <c r="X59" s="20">
        <f>SUM(U59:W59)</f>
        <v>7782934</v>
      </c>
      <c r="Y59" s="21">
        <f>AGOSTO!AA59</f>
        <v>4709417</v>
      </c>
      <c r="Z59" s="457">
        <v>594217</v>
      </c>
      <c r="AA59" s="20">
        <f>SUM(Y59:Z59)</f>
        <v>5303634</v>
      </c>
      <c r="AB59" s="21">
        <f>AGOSTO!AD59</f>
        <v>4709417</v>
      </c>
      <c r="AC59" s="457">
        <v>594217</v>
      </c>
      <c r="AD59" s="20">
        <f>SUM(AB59:AC59)</f>
        <v>5303634</v>
      </c>
      <c r="AE59" s="21">
        <f>AGOSTO!AG59</f>
        <v>4115200</v>
      </c>
      <c r="AF59" s="457">
        <v>594217</v>
      </c>
      <c r="AG59" s="20">
        <f>SUM(AE59:AF59)</f>
        <v>4709417</v>
      </c>
      <c r="AH59" s="21">
        <f>X59-AA59</f>
        <v>2479300</v>
      </c>
      <c r="AI59" s="17">
        <f>X59-AD59</f>
        <v>2479300</v>
      </c>
      <c r="AJ59" s="18">
        <f>X59-AG59</f>
        <v>3073517</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+IF(AGOSTO!A60=0,"",AGOSTO!A60)</f>
        <v>1130112</v>
      </c>
      <c r="B60" s="45" t="str">
        <f>+IF(AGOSTO!B60=0,"",AGOSTO!B60)</f>
        <v>IPS PUBLICAS</v>
      </c>
      <c r="C60" s="53">
        <f t="shared" ref="C60:N60" si="61">SUM(C61:C62)</f>
        <v>8883897</v>
      </c>
      <c r="D60" s="53">
        <f t="shared" si="61"/>
        <v>0</v>
      </c>
      <c r="E60" s="53">
        <f t="shared" si="61"/>
        <v>0</v>
      </c>
      <c r="F60" s="54">
        <f t="shared" si="61"/>
        <v>8883897</v>
      </c>
      <c r="G60" s="52">
        <f t="shared" si="61"/>
        <v>4146766</v>
      </c>
      <c r="H60" s="53">
        <f t="shared" si="61"/>
        <v>548808</v>
      </c>
      <c r="I60" s="54">
        <f t="shared" si="61"/>
        <v>4695574</v>
      </c>
      <c r="J60" s="52">
        <f t="shared" si="61"/>
        <v>2752706</v>
      </c>
      <c r="K60" s="53">
        <f t="shared" si="61"/>
        <v>0</v>
      </c>
      <c r="L60" s="54">
        <f t="shared" si="61"/>
        <v>2752706</v>
      </c>
      <c r="M60" s="52">
        <f t="shared" si="61"/>
        <v>4188323</v>
      </c>
      <c r="N60" s="54">
        <f t="shared" si="61"/>
        <v>6131191</v>
      </c>
      <c r="P60" s="52">
        <f>SUM(P61:P62)</f>
        <v>0</v>
      </c>
      <c r="Q60" s="54">
        <f>SUM(Q61:Q62)</f>
        <v>0</v>
      </c>
      <c r="R60" s="10"/>
      <c r="S60" s="156" t="str">
        <f>+IF(AGOSTO!S60=0,"",AGOSTO!S60)</f>
        <v>1010402-2</v>
      </c>
      <c r="T60" s="55" t="str">
        <f>+IF(AGOSTO!T60=0,"",AGOSTO!T60)</f>
        <v>I.C.B.F.</v>
      </c>
      <c r="U60" s="29">
        <f>+ENERO!U60</f>
        <v>11674400</v>
      </c>
      <c r="V60" s="17">
        <f>AGOSTO!V60+SEPTIEMBRE!AL60</f>
        <v>0</v>
      </c>
      <c r="W60" s="17">
        <f>AGOSTO!W60+SEPTIEMBRE!AM60</f>
        <v>0</v>
      </c>
      <c r="X60" s="20">
        <f>SUM(U60:W60)</f>
        <v>11674400</v>
      </c>
      <c r="Y60" s="21">
        <f>AGOSTO!AA60</f>
        <v>7353269</v>
      </c>
      <c r="Z60" s="457">
        <v>982369</v>
      </c>
      <c r="AA60" s="20">
        <f>SUM(Y60:Z60)</f>
        <v>8335638</v>
      </c>
      <c r="AB60" s="21">
        <f>AGOSTO!AD60</f>
        <v>7353269</v>
      </c>
      <c r="AC60" s="457">
        <v>982369</v>
      </c>
      <c r="AD60" s="20">
        <f>SUM(AB60:AC60)</f>
        <v>8335638</v>
      </c>
      <c r="AE60" s="21">
        <f>AGOSTO!AG60</f>
        <v>6370900</v>
      </c>
      <c r="AF60" s="457">
        <v>982369</v>
      </c>
      <c r="AG60" s="20">
        <f>SUM(AE60:AF60)</f>
        <v>7353269</v>
      </c>
      <c r="AH60" s="21">
        <f>X60-AA60</f>
        <v>3338762</v>
      </c>
      <c r="AI60" s="17">
        <f>X60-AD60</f>
        <v>3338762</v>
      </c>
      <c r="AJ60" s="18">
        <f>X60-AG60</f>
        <v>4321131</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+IF(AGOSTO!A61=0,"",AGOSTO!A61)</f>
        <v>1130112-1</v>
      </c>
      <c r="B61" s="189" t="str">
        <f>+CONCATENATE("Vigencia ",INSTRUCCIONES!$F$3)</f>
        <v>Vigencia 2014</v>
      </c>
      <c r="C61" s="456">
        <f>+ENERO!C61</f>
        <v>5883897</v>
      </c>
      <c r="D61" s="456">
        <f>AGOSTO!D61+SEPTIEMBRE!P61</f>
        <v>0</v>
      </c>
      <c r="E61" s="456">
        <f>AGOSTO!E61+SEPTIEMBRE!Q61</f>
        <v>0</v>
      </c>
      <c r="F61" s="170">
        <f>SUM(C61:E61)</f>
        <v>5883897</v>
      </c>
      <c r="G61" s="283">
        <f>AGOSTO!I61</f>
        <v>1608632</v>
      </c>
      <c r="H61" s="457">
        <v>548808</v>
      </c>
      <c r="I61" s="170">
        <f>SUM(G61:H61)</f>
        <v>2157440</v>
      </c>
      <c r="J61" s="283">
        <f>AGOSTO!L61</f>
        <v>214572</v>
      </c>
      <c r="K61" s="457">
        <v>0</v>
      </c>
      <c r="L61" s="170">
        <f>SUM(J61:K61)</f>
        <v>214572</v>
      </c>
      <c r="M61" s="283">
        <f>F61-I61</f>
        <v>3726457</v>
      </c>
      <c r="N61" s="170">
        <f>F61-L61</f>
        <v>5669325</v>
      </c>
      <c r="O61" s="467"/>
      <c r="P61" s="455">
        <v>0</v>
      </c>
      <c r="Q61" s="458">
        <v>0</v>
      </c>
      <c r="R61" s="10"/>
      <c r="S61" s="155">
        <f>+IF(AGOSTO!S61=0,"",AGOSTO!S61)</f>
        <v>1010499</v>
      </c>
      <c r="T61" s="159" t="str">
        <f>+IF(AGOSTO!T61=0,"",AGOSTO!T61)</f>
        <v>Vigencias Anteriores</v>
      </c>
      <c r="U61" s="29">
        <f>+ENERO!U61</f>
        <v>0</v>
      </c>
      <c r="V61" s="17">
        <f>AGOSTO!V61+SEPTIEMBRE!AL61</f>
        <v>0</v>
      </c>
      <c r="W61" s="17">
        <f>AGOSTO!W61+SEPTIEMBRE!AM61</f>
        <v>0</v>
      </c>
      <c r="X61" s="20">
        <f>SUM(U61:W61)</f>
        <v>0</v>
      </c>
      <c r="Y61" s="21">
        <f>AGOSTO!AA61</f>
        <v>0</v>
      </c>
      <c r="Z61" s="457">
        <v>0</v>
      </c>
      <c r="AA61" s="20">
        <f>SUM(Y61:Z61)</f>
        <v>0</v>
      </c>
      <c r="AB61" s="21">
        <f>AGOSTO!AD61</f>
        <v>0</v>
      </c>
      <c r="AC61" s="457">
        <v>0</v>
      </c>
      <c r="AD61" s="20">
        <f>SUM(AB61:AC61)</f>
        <v>0</v>
      </c>
      <c r="AE61" s="21">
        <f>AGOSTO!AG61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+IF(AGOSTO!A62=0,"",AGOSTO!A62)</f>
        <v>1130112-2</v>
      </c>
      <c r="B62" s="189" t="str">
        <f>+IF(AGOSTO!B62=0,"",AGOSTO!B62)</f>
        <v>Vigencias Anteriores</v>
      </c>
      <c r="C62" s="456">
        <f>+ENERO!C62</f>
        <v>3000000</v>
      </c>
      <c r="D62" s="456">
        <f>AGOSTO!D62+SEPTIEMBRE!P62</f>
        <v>0</v>
      </c>
      <c r="E62" s="456">
        <f>AGOSTO!E62+SEPTIEMBRE!Q62</f>
        <v>0</v>
      </c>
      <c r="F62" s="170">
        <f>SUM(C62:E62)</f>
        <v>3000000</v>
      </c>
      <c r="G62" s="283">
        <f>AGOSTO!I62</f>
        <v>2538134</v>
      </c>
      <c r="H62" s="457">
        <v>0</v>
      </c>
      <c r="I62" s="170">
        <f>SUM(G62:H62)</f>
        <v>2538134</v>
      </c>
      <c r="J62" s="283">
        <f>AGOSTO!L62</f>
        <v>2538134</v>
      </c>
      <c r="K62" s="457">
        <v>0</v>
      </c>
      <c r="L62" s="170">
        <f>SUM(J62:K62)</f>
        <v>2538134</v>
      </c>
      <c r="M62" s="283">
        <f>F62-I62</f>
        <v>461866</v>
      </c>
      <c r="N62" s="170">
        <f>F62-L62</f>
        <v>461866</v>
      </c>
      <c r="O62" s="467"/>
      <c r="P62" s="455">
        <v>0</v>
      </c>
      <c r="Q62" s="458">
        <v>0</v>
      </c>
      <c r="R62" s="10"/>
      <c r="S62" s="448" t="str">
        <f>+IF(AGOSTO!S62=0,"",AGOSTO!S62)</f>
        <v/>
      </c>
      <c r="T62" s="649" t="str">
        <f>+IF(AGOSTO!T62=0,"",AGOSTO!T62)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+IF(AGOSTO!A63=0,"",AGOSTO!A63)</f>
        <v>1130113</v>
      </c>
      <c r="B63" s="45" t="str">
        <f>+IF(AGOSTO!B63=0,"",AGOSTO!B63)</f>
        <v>COMPAÑIAS DE SEGUROS  - ACCIDENTES DE TRANSITO (SOAT)</v>
      </c>
      <c r="C63" s="53">
        <f t="shared" ref="C63:N63" si="62">SUM(C64:C65)</f>
        <v>52973202</v>
      </c>
      <c r="D63" s="53">
        <f t="shared" si="62"/>
        <v>0</v>
      </c>
      <c r="E63" s="53">
        <f t="shared" si="62"/>
        <v>0</v>
      </c>
      <c r="F63" s="54">
        <f t="shared" si="62"/>
        <v>52973202</v>
      </c>
      <c r="G63" s="52">
        <f t="shared" si="62"/>
        <v>29856453</v>
      </c>
      <c r="H63" s="53">
        <f t="shared" si="62"/>
        <v>4274024</v>
      </c>
      <c r="I63" s="54">
        <f t="shared" si="62"/>
        <v>34130477</v>
      </c>
      <c r="J63" s="52">
        <f t="shared" si="62"/>
        <v>24266611</v>
      </c>
      <c r="K63" s="53">
        <f t="shared" si="62"/>
        <v>1684290</v>
      </c>
      <c r="L63" s="54">
        <f t="shared" si="62"/>
        <v>25950901</v>
      </c>
      <c r="M63" s="52">
        <f t="shared" si="62"/>
        <v>18842725</v>
      </c>
      <c r="N63" s="54">
        <f t="shared" si="62"/>
        <v>27022301</v>
      </c>
      <c r="P63" s="52">
        <f>SUM(P64:P65)</f>
        <v>0</v>
      </c>
      <c r="Q63" s="54">
        <f>SUM(Q64:Q65)</f>
        <v>0</v>
      </c>
      <c r="R63" s="10"/>
      <c r="S63" s="469">
        <f>+IF(AGOSTO!S63=0,"",AGOSTO!S63)</f>
        <v>1020010</v>
      </c>
      <c r="T63" s="470" t="str">
        <f>+IF(AGOSTO!T63=0,"",AGOSTO!T63)</f>
        <v>Gastos de Operación</v>
      </c>
      <c r="U63" s="157">
        <f t="shared" ref="U63:AJ63" si="63">U65+U83+U90+U104</f>
        <v>1656122409</v>
      </c>
      <c r="V63" s="144">
        <f t="shared" si="63"/>
        <v>5657703</v>
      </c>
      <c r="W63" s="144">
        <f t="shared" si="63"/>
        <v>18789110</v>
      </c>
      <c r="X63" s="152">
        <f t="shared" si="63"/>
        <v>1680569222</v>
      </c>
      <c r="Y63" s="151">
        <f t="shared" si="63"/>
        <v>1039535935</v>
      </c>
      <c r="Z63" s="144">
        <f t="shared" si="63"/>
        <v>109260230</v>
      </c>
      <c r="AA63" s="152">
        <f t="shared" si="63"/>
        <v>1148796165</v>
      </c>
      <c r="AB63" s="151">
        <f t="shared" si="63"/>
        <v>1039535935</v>
      </c>
      <c r="AC63" s="144">
        <f t="shared" si="63"/>
        <v>109260230</v>
      </c>
      <c r="AD63" s="152">
        <f t="shared" si="63"/>
        <v>1148796165</v>
      </c>
      <c r="AE63" s="151">
        <f t="shared" si="63"/>
        <v>974340564</v>
      </c>
      <c r="AF63" s="144">
        <f t="shared" si="63"/>
        <v>109371396</v>
      </c>
      <c r="AG63" s="152">
        <f t="shared" si="63"/>
        <v>1083711960</v>
      </c>
      <c r="AH63" s="151">
        <f t="shared" si="63"/>
        <v>531773057</v>
      </c>
      <c r="AI63" s="144">
        <f t="shared" si="63"/>
        <v>531773057</v>
      </c>
      <c r="AJ63" s="153">
        <f t="shared" si="63"/>
        <v>596857262</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+IF(AGOSTO!A64=0,"",AGOSTO!A64)</f>
        <v>1130113-1</v>
      </c>
      <c r="B64" s="189" t="str">
        <f>+CONCATENATE("Vigencia ",INSTRUCCIONES!$F$3)</f>
        <v>Vigencia 2014</v>
      </c>
      <c r="C64" s="456">
        <f>+ENERO!C64</f>
        <v>40103182</v>
      </c>
      <c r="D64" s="456">
        <f>AGOSTO!D64+SEPTIEMBRE!P64</f>
        <v>0</v>
      </c>
      <c r="E64" s="456">
        <f>AGOSTO!E64+SEPTIEMBRE!Q64</f>
        <v>0</v>
      </c>
      <c r="F64" s="170">
        <f>SUM(C64:E64)</f>
        <v>40103182</v>
      </c>
      <c r="G64" s="283">
        <f>AGOSTO!I64</f>
        <v>21738727</v>
      </c>
      <c r="H64" s="457">
        <v>4241824</v>
      </c>
      <c r="I64" s="170">
        <f>SUM(G64:H64)</f>
        <v>25980551</v>
      </c>
      <c r="J64" s="283">
        <f>AGOSTO!L64</f>
        <v>16148885</v>
      </c>
      <c r="K64" s="457">
        <v>1652090</v>
      </c>
      <c r="L64" s="170">
        <f>SUM(J64:K64)</f>
        <v>17800975</v>
      </c>
      <c r="M64" s="283">
        <f>F64-I64</f>
        <v>14122631</v>
      </c>
      <c r="N64" s="170">
        <f>F64-L64</f>
        <v>22302207</v>
      </c>
      <c r="O64" s="467"/>
      <c r="P64" s="455">
        <v>0</v>
      </c>
      <c r="Q64" s="458">
        <v>0</v>
      </c>
      <c r="R64" s="10"/>
      <c r="S64" s="448" t="str">
        <f>+IF(AGOSTO!S64=0,"",AGOSTO!S64)</f>
        <v/>
      </c>
      <c r="T64" s="649" t="str">
        <f>+IF(AGOSTO!T64=0,"",AGOSTO!T64)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+IF(AGOSTO!A65=0,"",AGOSTO!A65)</f>
        <v>1130113-2</v>
      </c>
      <c r="B65" s="189" t="str">
        <f>+IF(AGOSTO!B65=0,"",AGOSTO!B65)</f>
        <v>Vigencias Anteriores</v>
      </c>
      <c r="C65" s="456">
        <f>+ENERO!C65</f>
        <v>12870020</v>
      </c>
      <c r="D65" s="456">
        <f>AGOSTO!D65+SEPTIEMBRE!P65</f>
        <v>0</v>
      </c>
      <c r="E65" s="456">
        <f>AGOSTO!E65+SEPTIEMBRE!Q65</f>
        <v>0</v>
      </c>
      <c r="F65" s="170">
        <f>SUM(C65:E65)</f>
        <v>12870020</v>
      </c>
      <c r="G65" s="283">
        <f>AGOSTO!I65</f>
        <v>8117726</v>
      </c>
      <c r="H65" s="457">
        <v>32200</v>
      </c>
      <c r="I65" s="170">
        <f>SUM(G65:H65)</f>
        <v>8149926</v>
      </c>
      <c r="J65" s="283">
        <f>AGOSTO!L65</f>
        <v>8117726</v>
      </c>
      <c r="K65" s="457">
        <v>32200</v>
      </c>
      <c r="L65" s="170">
        <f>SUM(J65:K65)</f>
        <v>8149926</v>
      </c>
      <c r="M65" s="283">
        <f>F65-I65</f>
        <v>4720094</v>
      </c>
      <c r="N65" s="170">
        <f>F65-L65</f>
        <v>4720094</v>
      </c>
      <c r="O65" s="467"/>
      <c r="P65" s="455">
        <v>0</v>
      </c>
      <c r="Q65" s="458">
        <v>0</v>
      </c>
      <c r="R65" s="10"/>
      <c r="S65" s="34">
        <f>+IF(AGOSTO!S65=0,"",AGOSTO!S65)</f>
        <v>1020100</v>
      </c>
      <c r="T65" s="158" t="str">
        <f>+IF(AGOSTO!T65=0,"",AGOSTO!T65)</f>
        <v>Servicios Personales Asociados a Nómina</v>
      </c>
      <c r="U65" s="157">
        <f t="shared" ref="U65:AJ65" si="64">SUM(U66:U69)+U81</f>
        <v>1157487731</v>
      </c>
      <c r="V65" s="144">
        <f t="shared" si="64"/>
        <v>5657703</v>
      </c>
      <c r="W65" s="144">
        <f t="shared" si="64"/>
        <v>8749212</v>
      </c>
      <c r="X65" s="152">
        <f t="shared" si="64"/>
        <v>1171894646</v>
      </c>
      <c r="Y65" s="151">
        <f t="shared" si="64"/>
        <v>738598372</v>
      </c>
      <c r="Z65" s="144">
        <f t="shared" si="64"/>
        <v>88561145</v>
      </c>
      <c r="AA65" s="152">
        <f t="shared" si="64"/>
        <v>827159517</v>
      </c>
      <c r="AB65" s="151">
        <f t="shared" si="64"/>
        <v>738598372</v>
      </c>
      <c r="AC65" s="144">
        <f t="shared" si="64"/>
        <v>88561145</v>
      </c>
      <c r="AD65" s="152">
        <f t="shared" si="64"/>
        <v>827159517</v>
      </c>
      <c r="AE65" s="151">
        <f t="shared" si="64"/>
        <v>701662644</v>
      </c>
      <c r="AF65" s="144">
        <f t="shared" si="64"/>
        <v>87952908</v>
      </c>
      <c r="AG65" s="152">
        <f t="shared" si="64"/>
        <v>789615552</v>
      </c>
      <c r="AH65" s="151">
        <f t="shared" si="64"/>
        <v>344735129</v>
      </c>
      <c r="AI65" s="144">
        <f t="shared" si="64"/>
        <v>344735129</v>
      </c>
      <c r="AJ65" s="153">
        <f t="shared" si="64"/>
        <v>382279094</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+IF(AGOSTO!A66=0,"",AGOSTO!A66)</f>
        <v>1130114</v>
      </c>
      <c r="B66" s="45" t="str">
        <f>+IF(AGOSTO!B66=0,"",AGOSTO!B66)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+IF(AGOSTO!S66=0,"",AGOSTO!S66)</f>
        <v>1020101</v>
      </c>
      <c r="T66" s="159" t="str">
        <f>+IF(AGOSTO!T66=0,"",AGOSTO!T66)</f>
        <v>Sueldos del Personal de nómina</v>
      </c>
      <c r="U66" s="29">
        <f>+ENERO!U66</f>
        <v>901111176</v>
      </c>
      <c r="V66" s="17">
        <f>AGOSTO!V66+SEPTIEMBRE!AL66</f>
        <v>0</v>
      </c>
      <c r="W66" s="17">
        <f>AGOSTO!W66+SEPTIEMBRE!AM66</f>
        <v>0</v>
      </c>
      <c r="X66" s="20">
        <f>SUM(U66:W66)</f>
        <v>901111176</v>
      </c>
      <c r="Y66" s="21">
        <f>AGOSTO!AA66</f>
        <v>617290242</v>
      </c>
      <c r="Z66" s="457">
        <v>77694276</v>
      </c>
      <c r="AA66" s="20">
        <f>SUM(Y66:Z66)</f>
        <v>694984518</v>
      </c>
      <c r="AB66" s="21">
        <f>AGOSTO!AD66</f>
        <v>617290242</v>
      </c>
      <c r="AC66" s="457">
        <v>77694276</v>
      </c>
      <c r="AD66" s="20">
        <f>SUM(AB66:AC66)</f>
        <v>694984518</v>
      </c>
      <c r="AE66" s="21">
        <f>AGOSTO!AG66</f>
        <v>593761341</v>
      </c>
      <c r="AF66" s="457">
        <v>77086039</v>
      </c>
      <c r="AG66" s="20">
        <f>SUM(AE66:AF66)</f>
        <v>670847380</v>
      </c>
      <c r="AH66" s="21">
        <f>X66-AA66</f>
        <v>206126658</v>
      </c>
      <c r="AI66" s="17">
        <f>X66-AD66</f>
        <v>206126658</v>
      </c>
      <c r="AJ66" s="18">
        <f>X66-AG66</f>
        <v>230263796</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+IF(AGOSTO!A67=0,"",AGOSTO!A67)</f>
        <v>1130114-1</v>
      </c>
      <c r="B67" s="189" t="str">
        <f>+CONCATENATE("Vigencia ",INSTRUCCIONES!$F$3)</f>
        <v>Vigencia 2014</v>
      </c>
      <c r="C67" s="456">
        <f>+ENERO!C67</f>
        <v>0</v>
      </c>
      <c r="D67" s="456">
        <f>AGOSTO!D67+SEPTIEMBRE!P67</f>
        <v>0</v>
      </c>
      <c r="E67" s="456">
        <f>AGOSTO!E67+SEPTIEMBRE!Q67</f>
        <v>0</v>
      </c>
      <c r="F67" s="170">
        <f>SUM(C67:E67)</f>
        <v>0</v>
      </c>
      <c r="G67" s="283">
        <f>AGOSTO!I67</f>
        <v>0</v>
      </c>
      <c r="H67" s="457">
        <v>0</v>
      </c>
      <c r="I67" s="170">
        <f>SUM(G67:H67)</f>
        <v>0</v>
      </c>
      <c r="J67" s="283">
        <f>AGOSTO!L67</f>
        <v>0</v>
      </c>
      <c r="K67" s="457">
        <v>0</v>
      </c>
      <c r="L67" s="170">
        <f>SUM(J67:K67)</f>
        <v>0</v>
      </c>
      <c r="M67" s="283">
        <f>F67-I67</f>
        <v>0</v>
      </c>
      <c r="N67" s="170">
        <f>F67-L67</f>
        <v>0</v>
      </c>
      <c r="O67" s="467"/>
      <c r="P67" s="455">
        <v>0</v>
      </c>
      <c r="Q67" s="458">
        <v>0</v>
      </c>
      <c r="R67" s="10"/>
      <c r="S67" s="155">
        <f>+IF(AGOSTO!S67=0,"",AGOSTO!S67)</f>
        <v>1020102</v>
      </c>
      <c r="T67" s="159" t="str">
        <f>+IF(AGOSTO!T67=0,"",AGOSTO!T67)</f>
        <v>Horas Extras,Dominic.,Festivos y Rec. Nocturnos</v>
      </c>
      <c r="U67" s="29">
        <f>+ENERO!U67</f>
        <v>116857377</v>
      </c>
      <c r="V67" s="17">
        <f>AGOSTO!V67+SEPTIEMBRE!AL67</f>
        <v>0</v>
      </c>
      <c r="W67" s="17">
        <f>AGOSTO!W67+SEPTIEMBRE!AM67</f>
        <v>0</v>
      </c>
      <c r="X67" s="20">
        <f>SUM(U67:W67)</f>
        <v>116857377</v>
      </c>
      <c r="Y67" s="21">
        <f>AGOSTO!AA67</f>
        <v>61903946</v>
      </c>
      <c r="Z67" s="457">
        <v>9028447</v>
      </c>
      <c r="AA67" s="20">
        <f>SUM(Y67:Z67)</f>
        <v>70932393</v>
      </c>
      <c r="AB67" s="21">
        <f>AGOSTO!AD67</f>
        <v>61903946</v>
      </c>
      <c r="AC67" s="457">
        <v>9028447</v>
      </c>
      <c r="AD67" s="20">
        <f>SUM(AB67:AC67)</f>
        <v>70932393</v>
      </c>
      <c r="AE67" s="21">
        <f>AGOSTO!AG67</f>
        <v>60156166</v>
      </c>
      <c r="AF67" s="457">
        <v>9028447</v>
      </c>
      <c r="AG67" s="20">
        <f>SUM(AE67:AF67)</f>
        <v>69184613</v>
      </c>
      <c r="AH67" s="21">
        <f>X67-AA67</f>
        <v>45924984</v>
      </c>
      <c r="AI67" s="17">
        <f>X67-AD67</f>
        <v>45924984</v>
      </c>
      <c r="AJ67" s="18">
        <f>X67-AG67</f>
        <v>47672764</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+IF(AGOSTO!A68=0,"",AGOSTO!A68)</f>
        <v>1130114-2</v>
      </c>
      <c r="B68" s="189" t="str">
        <f>+IF(AGOSTO!B68=0,"",AGOSTO!B68)</f>
        <v>Vigencias Anteriores</v>
      </c>
      <c r="C68" s="456">
        <f>+ENERO!C68</f>
        <v>0</v>
      </c>
      <c r="D68" s="456">
        <f>AGOSTO!D68+SEPTIEMBRE!P68</f>
        <v>0</v>
      </c>
      <c r="E68" s="456">
        <f>AGOSTO!E68+SEPTIEMBRE!Q68</f>
        <v>0</v>
      </c>
      <c r="F68" s="170">
        <f>SUM(C68:E68)</f>
        <v>0</v>
      </c>
      <c r="G68" s="283">
        <f>AGOSTO!I68</f>
        <v>0</v>
      </c>
      <c r="H68" s="457">
        <v>0</v>
      </c>
      <c r="I68" s="170">
        <f>SUM(G68:H68)</f>
        <v>0</v>
      </c>
      <c r="J68" s="283">
        <f>AGOSTO!L68</f>
        <v>0</v>
      </c>
      <c r="K68" s="457">
        <v>0</v>
      </c>
      <c r="L68" s="170">
        <f>SUM(J68:K68)</f>
        <v>0</v>
      </c>
      <c r="M68" s="283">
        <f>F68-I68</f>
        <v>0</v>
      </c>
      <c r="N68" s="170">
        <f>F68-L68</f>
        <v>0</v>
      </c>
      <c r="O68" s="467"/>
      <c r="P68" s="455">
        <v>0</v>
      </c>
      <c r="Q68" s="458">
        <v>0</v>
      </c>
      <c r="R68" s="10"/>
      <c r="S68" s="155">
        <f>+IF(AGOSTO!S68=0,"",AGOSTO!S68)</f>
        <v>1020103</v>
      </c>
      <c r="T68" s="159" t="str">
        <f>+IF(AGOSTO!T68=0,"",AGOSTO!T68)</f>
        <v>Prima Técnica</v>
      </c>
      <c r="U68" s="29">
        <f>+ENERO!U68</f>
        <v>0</v>
      </c>
      <c r="V68" s="17">
        <f>AGOSTO!V68+SEPTIEMBRE!AL68</f>
        <v>0</v>
      </c>
      <c r="W68" s="17">
        <f>AGOSTO!W68+SEPTIEMBRE!AM68</f>
        <v>0</v>
      </c>
      <c r="X68" s="20">
        <f>SUM(U68:W68)</f>
        <v>0</v>
      </c>
      <c r="Y68" s="21">
        <f>AGOSTO!AA68</f>
        <v>0</v>
      </c>
      <c r="Z68" s="457">
        <v>0</v>
      </c>
      <c r="AA68" s="20">
        <f>SUM(Y68:Z68)</f>
        <v>0</v>
      </c>
      <c r="AB68" s="21">
        <f>AGOSTO!AD68</f>
        <v>0</v>
      </c>
      <c r="AC68" s="457">
        <v>0</v>
      </c>
      <c r="AD68" s="20">
        <f>SUM(AB68:AC68)</f>
        <v>0</v>
      </c>
      <c r="AE68" s="21">
        <f>AGOSTO!AG68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+IF(AGOSTO!A69=0,"",AGOSTO!A69)</f>
        <v>1130115</v>
      </c>
      <c r="B69" s="45" t="str">
        <f>+IF(AGOSTO!B69=0,"",AGOSTO!B69)</f>
        <v>ENTIDADES DE REGIMEN ESPECIAL (Magisterio, Fuerza Pca.)</v>
      </c>
      <c r="C69" s="53">
        <f t="shared" ref="C69:N69" si="66">SUM(C70:C71)</f>
        <v>111446544</v>
      </c>
      <c r="D69" s="53">
        <f t="shared" si="66"/>
        <v>0</v>
      </c>
      <c r="E69" s="53">
        <f t="shared" si="66"/>
        <v>0</v>
      </c>
      <c r="F69" s="54">
        <f t="shared" si="66"/>
        <v>111446544</v>
      </c>
      <c r="G69" s="52">
        <f t="shared" si="66"/>
        <v>83627560</v>
      </c>
      <c r="H69" s="53">
        <f t="shared" si="66"/>
        <v>6418308</v>
      </c>
      <c r="I69" s="54">
        <f t="shared" si="66"/>
        <v>90045868</v>
      </c>
      <c r="J69" s="52">
        <f t="shared" si="66"/>
        <v>63376912</v>
      </c>
      <c r="K69" s="53">
        <f t="shared" si="66"/>
        <v>1546042</v>
      </c>
      <c r="L69" s="54">
        <f t="shared" si="66"/>
        <v>64922954</v>
      </c>
      <c r="M69" s="52">
        <f t="shared" si="66"/>
        <v>21400676</v>
      </c>
      <c r="N69" s="54">
        <f t="shared" si="66"/>
        <v>46523590</v>
      </c>
      <c r="P69" s="52">
        <f>SUM(P70:P71)</f>
        <v>0</v>
      </c>
      <c r="Q69" s="54">
        <f>SUM(Q70:Q71)</f>
        <v>0</v>
      </c>
      <c r="R69" s="10"/>
      <c r="S69" s="155">
        <f>+IF(AGOSTO!S69=0,"",AGOSTO!S69)</f>
        <v>1020104</v>
      </c>
      <c r="T69" s="159" t="str">
        <f>+IF(AGOSTO!T69=0,"",AGOSTO!T69)</f>
        <v>Otros</v>
      </c>
      <c r="U69" s="29">
        <f t="shared" ref="U69:AJ69" si="67">SUM(U70:U80)</f>
        <v>130781064</v>
      </c>
      <c r="V69" s="17">
        <f t="shared" si="67"/>
        <v>0</v>
      </c>
      <c r="W69" s="17">
        <f t="shared" si="67"/>
        <v>0</v>
      </c>
      <c r="X69" s="20">
        <f t="shared" si="67"/>
        <v>130781064</v>
      </c>
      <c r="Y69" s="21">
        <f t="shared" si="67"/>
        <v>36724155</v>
      </c>
      <c r="Z69" s="169">
        <f t="shared" si="67"/>
        <v>1838422</v>
      </c>
      <c r="AA69" s="20">
        <f t="shared" si="67"/>
        <v>38562577</v>
      </c>
      <c r="AB69" s="21">
        <f t="shared" si="67"/>
        <v>36724155</v>
      </c>
      <c r="AC69" s="169">
        <f t="shared" si="67"/>
        <v>1838422</v>
      </c>
      <c r="AD69" s="20">
        <f t="shared" si="67"/>
        <v>38562577</v>
      </c>
      <c r="AE69" s="21">
        <f t="shared" si="67"/>
        <v>25065108</v>
      </c>
      <c r="AF69" s="169">
        <f t="shared" si="67"/>
        <v>1838422</v>
      </c>
      <c r="AG69" s="20">
        <f t="shared" si="67"/>
        <v>26903530</v>
      </c>
      <c r="AH69" s="21">
        <f t="shared" si="67"/>
        <v>92218487</v>
      </c>
      <c r="AI69" s="17">
        <f t="shared" si="67"/>
        <v>92218487</v>
      </c>
      <c r="AJ69" s="18">
        <f t="shared" si="67"/>
        <v>103877534</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+IF(AGOSTO!A70=0,"",AGOSTO!A70)</f>
        <v>1130115-1</v>
      </c>
      <c r="B70" s="189" t="str">
        <f>+CONCATENATE("Vigencia ",INSTRUCCIONES!$F$3)</f>
        <v>Vigencia 2014</v>
      </c>
      <c r="C70" s="456">
        <f>+ENERO!C70</f>
        <v>75639118</v>
      </c>
      <c r="D70" s="456">
        <f>AGOSTO!D70+SEPTIEMBRE!P70</f>
        <v>0</v>
      </c>
      <c r="E70" s="456">
        <f>AGOSTO!E70+SEPTIEMBRE!Q70</f>
        <v>0</v>
      </c>
      <c r="F70" s="170">
        <f>SUM(C70:E70)</f>
        <v>75639118</v>
      </c>
      <c r="G70" s="283">
        <f>AGOSTO!I70</f>
        <v>32597578</v>
      </c>
      <c r="H70" s="457">
        <v>6418308</v>
      </c>
      <c r="I70" s="170">
        <f>SUM(G70:H70)</f>
        <v>39015886</v>
      </c>
      <c r="J70" s="283">
        <f>AGOSTO!L70</f>
        <v>12346930</v>
      </c>
      <c r="K70" s="457">
        <v>1546042</v>
      </c>
      <c r="L70" s="170">
        <f>SUM(J70:K70)</f>
        <v>13892972</v>
      </c>
      <c r="M70" s="283">
        <f>F70-I70</f>
        <v>36623232</v>
      </c>
      <c r="N70" s="170">
        <f>F70-L70</f>
        <v>61746146</v>
      </c>
      <c r="O70" s="467"/>
      <c r="P70" s="455">
        <v>0</v>
      </c>
      <c r="Q70" s="458">
        <v>0</v>
      </c>
      <c r="R70" s="10"/>
      <c r="S70" s="156" t="str">
        <f>+IF(AGOSTO!S70=0,"",AGOSTO!S70)</f>
        <v>1020104-1</v>
      </c>
      <c r="T70" s="55" t="str">
        <f>+IF(AGOSTO!T70=0,"",AGOSTO!T70)</f>
        <v xml:space="preserve">Prima de Navidad </v>
      </c>
      <c r="U70" s="29">
        <f>+ENERO!U70</f>
        <v>78694383</v>
      </c>
      <c r="V70" s="17">
        <f>AGOSTO!V70+SEPTIEMBRE!AL70</f>
        <v>0</v>
      </c>
      <c r="W70" s="17">
        <f>AGOSTO!W70+SEPTIEMBRE!AM70</f>
        <v>0</v>
      </c>
      <c r="X70" s="20">
        <f t="shared" ref="X70:X81" si="68">SUM(U70:W70)</f>
        <v>78694383</v>
      </c>
      <c r="Y70" s="21">
        <f>AGOSTO!AA70</f>
        <v>6426065</v>
      </c>
      <c r="Z70" s="457">
        <v>0</v>
      </c>
      <c r="AA70" s="20">
        <f t="shared" ref="AA70:AA81" si="69">SUM(Y70:Z70)</f>
        <v>6426065</v>
      </c>
      <c r="AB70" s="21">
        <f>AGOSTO!AD70</f>
        <v>6426065</v>
      </c>
      <c r="AC70" s="457">
        <v>0</v>
      </c>
      <c r="AD70" s="20">
        <f t="shared" ref="AD70:AD81" si="70">SUM(AB70:AC70)</f>
        <v>6426065</v>
      </c>
      <c r="AE70" s="21">
        <f>AGOSTO!AG70</f>
        <v>0</v>
      </c>
      <c r="AF70" s="457">
        <v>0</v>
      </c>
      <c r="AG70" s="20">
        <f t="shared" ref="AG70:AG81" si="71">SUM(AE70:AF70)</f>
        <v>0</v>
      </c>
      <c r="AH70" s="21">
        <f t="shared" ref="AH70:AH81" si="72">X70-AA70</f>
        <v>72268318</v>
      </c>
      <c r="AI70" s="17">
        <f t="shared" ref="AI70:AI81" si="73">X70-AD70</f>
        <v>72268318</v>
      </c>
      <c r="AJ70" s="18">
        <f t="shared" ref="AJ70:AJ81" si="74">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+IF(AGOSTO!A71=0,"",AGOSTO!A71)</f>
        <v>1130115-2</v>
      </c>
      <c r="B71" s="189" t="str">
        <f>+IF(AGOSTO!B71=0,"",AGOSTO!B71)</f>
        <v>Vigencias Anteriores</v>
      </c>
      <c r="C71" s="456">
        <f>+ENERO!C71</f>
        <v>35807426</v>
      </c>
      <c r="D71" s="456">
        <f>AGOSTO!D71+SEPTIEMBRE!P71</f>
        <v>0</v>
      </c>
      <c r="E71" s="456">
        <f>AGOSTO!E71+SEPTIEMBRE!Q71</f>
        <v>0</v>
      </c>
      <c r="F71" s="170">
        <f>SUM(C71:E71)</f>
        <v>35807426</v>
      </c>
      <c r="G71" s="283">
        <f>AGOSTO!I71</f>
        <v>51029982</v>
      </c>
      <c r="H71" s="457">
        <v>0</v>
      </c>
      <c r="I71" s="170">
        <f>SUM(G71:H71)</f>
        <v>51029982</v>
      </c>
      <c r="J71" s="283">
        <f>AGOSTO!L71</f>
        <v>51029982</v>
      </c>
      <c r="K71" s="457">
        <v>0</v>
      </c>
      <c r="L71" s="170">
        <f>SUM(J71:K71)</f>
        <v>51029982</v>
      </c>
      <c r="M71" s="283">
        <f>F71-I71</f>
        <v>-15222556</v>
      </c>
      <c r="N71" s="170">
        <f>F71-L71</f>
        <v>-15222556</v>
      </c>
      <c r="O71" s="467"/>
      <c r="P71" s="455">
        <v>0</v>
      </c>
      <c r="Q71" s="458">
        <v>0</v>
      </c>
      <c r="R71" s="10"/>
      <c r="S71" s="156" t="str">
        <f>+IF(AGOSTO!S71=0,"",AGOSTO!S71)</f>
        <v>1020104-2</v>
      </c>
      <c r="T71" s="55" t="str">
        <f>+IF(AGOSTO!T71=0,"",AGOSTO!T71)</f>
        <v>Prima Vida Cara</v>
      </c>
      <c r="U71" s="29">
        <f>+ENERO!U71</f>
        <v>0</v>
      </c>
      <c r="V71" s="17">
        <f>AGOSTO!V71+SEPTIEMBRE!AL71</f>
        <v>0</v>
      </c>
      <c r="W71" s="17">
        <f>AGOSTO!W71+SEPTIEMBRE!AM71</f>
        <v>0</v>
      </c>
      <c r="X71" s="20">
        <f t="shared" si="68"/>
        <v>0</v>
      </c>
      <c r="Y71" s="21">
        <f>AGOSTO!AA71</f>
        <v>0</v>
      </c>
      <c r="Z71" s="457">
        <v>0</v>
      </c>
      <c r="AA71" s="20">
        <f t="shared" si="69"/>
        <v>0</v>
      </c>
      <c r="AB71" s="21">
        <f>AGOSTO!AD71</f>
        <v>0</v>
      </c>
      <c r="AC71" s="457">
        <v>0</v>
      </c>
      <c r="AD71" s="20">
        <f t="shared" si="70"/>
        <v>0</v>
      </c>
      <c r="AE71" s="21">
        <f>AGOSTO!AG71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+IF(AGOSTO!A72=0,"",AGOSTO!A72)</f>
        <v>1130116</v>
      </c>
      <c r="B72" s="45" t="str">
        <f>+IF(AGOSTO!B72=0,"",AGOSTO!B72)</f>
        <v>ADMINISTRADORAS DE RIESGOS PROFESIONALES</v>
      </c>
      <c r="C72" s="53">
        <f t="shared" ref="C72:N72" si="75">SUM(C73:C74)</f>
        <v>17675457</v>
      </c>
      <c r="D72" s="53">
        <f t="shared" si="75"/>
        <v>0</v>
      </c>
      <c r="E72" s="53">
        <f t="shared" si="75"/>
        <v>0</v>
      </c>
      <c r="F72" s="54">
        <f t="shared" si="75"/>
        <v>17675457</v>
      </c>
      <c r="G72" s="52">
        <f t="shared" si="75"/>
        <v>18158262</v>
      </c>
      <c r="H72" s="53">
        <f t="shared" si="75"/>
        <v>2536070</v>
      </c>
      <c r="I72" s="54">
        <f t="shared" si="75"/>
        <v>20694332</v>
      </c>
      <c r="J72" s="52">
        <f t="shared" si="75"/>
        <v>11008991</v>
      </c>
      <c r="K72" s="53">
        <f t="shared" si="75"/>
        <v>3439289</v>
      </c>
      <c r="L72" s="54">
        <f t="shared" si="75"/>
        <v>14448280</v>
      </c>
      <c r="M72" s="52">
        <f t="shared" si="75"/>
        <v>-3018875</v>
      </c>
      <c r="N72" s="54">
        <f t="shared" si="75"/>
        <v>3227177</v>
      </c>
      <c r="P72" s="52">
        <f>SUM(P73:P74)</f>
        <v>0</v>
      </c>
      <c r="Q72" s="54">
        <f>SUM(Q73:Q74)</f>
        <v>0</v>
      </c>
      <c r="R72" s="10"/>
      <c r="S72" s="156" t="str">
        <f>+IF(AGOSTO!S72=0,"",AGOSTO!S72)</f>
        <v>1020104-3</v>
      </c>
      <c r="T72" s="55" t="str">
        <f>+IF(AGOSTO!T72=0,"",AGOSTO!T72)</f>
        <v>Prima de Vacaciones</v>
      </c>
      <c r="U72" s="29">
        <f>+ENERO!U72</f>
        <v>37546299</v>
      </c>
      <c r="V72" s="17">
        <f>AGOSTO!V72+SEPTIEMBRE!AL72</f>
        <v>0</v>
      </c>
      <c r="W72" s="17">
        <f>AGOSTO!W72+SEPTIEMBRE!AM72</f>
        <v>0</v>
      </c>
      <c r="X72" s="20">
        <f t="shared" si="68"/>
        <v>37546299</v>
      </c>
      <c r="Y72" s="21">
        <f>AGOSTO!AA72</f>
        <v>19672199</v>
      </c>
      <c r="Z72" s="457">
        <v>1336834</v>
      </c>
      <c r="AA72" s="20">
        <f t="shared" si="69"/>
        <v>21009033</v>
      </c>
      <c r="AB72" s="21">
        <f>AGOSTO!AD72</f>
        <v>19672199</v>
      </c>
      <c r="AC72" s="457">
        <v>1336834</v>
      </c>
      <c r="AD72" s="20">
        <f t="shared" si="70"/>
        <v>21009033</v>
      </c>
      <c r="AE72" s="21">
        <f>AGOSTO!AG72</f>
        <v>15054860</v>
      </c>
      <c r="AF72" s="457">
        <v>1336834</v>
      </c>
      <c r="AG72" s="20">
        <f t="shared" si="71"/>
        <v>16391694</v>
      </c>
      <c r="AH72" s="21">
        <f t="shared" si="72"/>
        <v>16537266</v>
      </c>
      <c r="AI72" s="17">
        <f t="shared" si="73"/>
        <v>16537266</v>
      </c>
      <c r="AJ72" s="18">
        <f t="shared" si="74"/>
        <v>21154605</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+IF(AGOSTO!A73=0,"",AGOSTO!A73)</f>
        <v>1130116-1</v>
      </c>
      <c r="B73" s="189" t="str">
        <f>+CONCATENATE("Vigencia ",INSTRUCCIONES!$F$3)</f>
        <v>Vigencia 2014</v>
      </c>
      <c r="C73" s="456">
        <f>+ENERO!C73</f>
        <v>13187137</v>
      </c>
      <c r="D73" s="456">
        <f>AGOSTO!D73+SEPTIEMBRE!P73</f>
        <v>0</v>
      </c>
      <c r="E73" s="456">
        <f>AGOSTO!E73+SEPTIEMBRE!Q73</f>
        <v>0</v>
      </c>
      <c r="F73" s="170">
        <f>SUM(C73:E73)</f>
        <v>13187137</v>
      </c>
      <c r="G73" s="283">
        <f>AGOSTO!I73</f>
        <v>15530231</v>
      </c>
      <c r="H73" s="457">
        <v>2316936</v>
      </c>
      <c r="I73" s="170">
        <f>SUM(G73:H73)</f>
        <v>17847167</v>
      </c>
      <c r="J73" s="283">
        <f>AGOSTO!L73</f>
        <v>8380960</v>
      </c>
      <c r="K73" s="457">
        <v>3220155</v>
      </c>
      <c r="L73" s="170">
        <f>SUM(J73:K73)</f>
        <v>11601115</v>
      </c>
      <c r="M73" s="283">
        <f>F73-I73</f>
        <v>-4660030</v>
      </c>
      <c r="N73" s="170">
        <f>F73-L73</f>
        <v>1586022</v>
      </c>
      <c r="O73" s="467"/>
      <c r="P73" s="455">
        <v>0</v>
      </c>
      <c r="Q73" s="458">
        <v>0</v>
      </c>
      <c r="R73" s="10"/>
      <c r="S73" s="156" t="str">
        <f>+IF(AGOSTO!S73=0,"",AGOSTO!S73)</f>
        <v>1020104-4</v>
      </c>
      <c r="T73" s="55" t="str">
        <f>+IF(AGOSTO!T73=0,"",AGOSTO!T73)</f>
        <v>Prima Clima</v>
      </c>
      <c r="U73" s="29">
        <f>+ENERO!U73</f>
        <v>0</v>
      </c>
      <c r="V73" s="17">
        <f>AGOSTO!V73+SEPTIEMBRE!AL73</f>
        <v>0</v>
      </c>
      <c r="W73" s="17">
        <f>AGOSTO!W73+SEPTIEMBRE!AM73</f>
        <v>0</v>
      </c>
      <c r="X73" s="20">
        <f t="shared" si="68"/>
        <v>0</v>
      </c>
      <c r="Y73" s="21">
        <f>AGOSTO!AA73</f>
        <v>0</v>
      </c>
      <c r="Z73" s="457">
        <v>0</v>
      </c>
      <c r="AA73" s="20">
        <f t="shared" si="69"/>
        <v>0</v>
      </c>
      <c r="AB73" s="21">
        <f>AGOSTO!AD73</f>
        <v>0</v>
      </c>
      <c r="AC73" s="457">
        <v>0</v>
      </c>
      <c r="AD73" s="20">
        <f t="shared" si="70"/>
        <v>0</v>
      </c>
      <c r="AE73" s="21">
        <f>AGOSTO!AG73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+IF(AGOSTO!A74=0,"",AGOSTO!A74)</f>
        <v>1130116-2</v>
      </c>
      <c r="B74" s="189" t="str">
        <f>+IF(AGOSTO!B74=0,"",AGOSTO!B74)</f>
        <v>Vigencias Anteriores</v>
      </c>
      <c r="C74" s="456">
        <f>+ENERO!C74</f>
        <v>4488320</v>
      </c>
      <c r="D74" s="456">
        <f>AGOSTO!D74+SEPTIEMBRE!P74</f>
        <v>0</v>
      </c>
      <c r="E74" s="456">
        <f>AGOSTO!E74+SEPTIEMBRE!Q74</f>
        <v>0</v>
      </c>
      <c r="F74" s="170">
        <f>SUM(C74:E74)</f>
        <v>4488320</v>
      </c>
      <c r="G74" s="283">
        <f>AGOSTO!I74</f>
        <v>2628031</v>
      </c>
      <c r="H74" s="457">
        <v>219134</v>
      </c>
      <c r="I74" s="170">
        <f>SUM(G74:H74)</f>
        <v>2847165</v>
      </c>
      <c r="J74" s="283">
        <f>AGOSTO!L74</f>
        <v>2628031</v>
      </c>
      <c r="K74" s="457">
        <v>219134</v>
      </c>
      <c r="L74" s="170">
        <f>SUM(J74:K74)</f>
        <v>2847165</v>
      </c>
      <c r="M74" s="283">
        <f>F74-I74</f>
        <v>1641155</v>
      </c>
      <c r="N74" s="170">
        <f>F74-L74</f>
        <v>1641155</v>
      </c>
      <c r="O74" s="467"/>
      <c r="P74" s="455">
        <v>0</v>
      </c>
      <c r="Q74" s="458">
        <v>0</v>
      </c>
      <c r="R74" s="10"/>
      <c r="S74" s="156" t="str">
        <f>+IF(AGOSTO!S74=0,"",AGOSTO!S74)</f>
        <v>1020104-5</v>
      </c>
      <c r="T74" s="55" t="str">
        <f>+IF(AGOSTO!T74=0,"",AGOSTO!T74)</f>
        <v>Prima de Servicios</v>
      </c>
      <c r="U74" s="29">
        <f>+ENERO!U74</f>
        <v>5675116</v>
      </c>
      <c r="V74" s="17">
        <f>AGOSTO!V74+SEPTIEMBRE!AL74</f>
        <v>0</v>
      </c>
      <c r="W74" s="17">
        <f>AGOSTO!W74+SEPTIEMBRE!AM74</f>
        <v>0</v>
      </c>
      <c r="X74" s="20">
        <f t="shared" si="68"/>
        <v>5675116</v>
      </c>
      <c r="Y74" s="21">
        <f>AGOSTO!AA74</f>
        <v>5675116</v>
      </c>
      <c r="Z74" s="457">
        <v>0</v>
      </c>
      <c r="AA74" s="20">
        <f t="shared" si="69"/>
        <v>5675116</v>
      </c>
      <c r="AB74" s="21">
        <f>AGOSTO!AD74</f>
        <v>5675116</v>
      </c>
      <c r="AC74" s="457">
        <v>0</v>
      </c>
      <c r="AD74" s="20">
        <f t="shared" si="70"/>
        <v>5675116</v>
      </c>
      <c r="AE74" s="21">
        <f>AGOSTO!AG74</f>
        <v>5675116</v>
      </c>
      <c r="AF74" s="457">
        <v>0</v>
      </c>
      <c r="AG74" s="20">
        <f t="shared" si="71"/>
        <v>5675116</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+IF(AGOSTO!A75=0,"",AGOSTO!A75)</f>
        <v>1130117</v>
      </c>
      <c r="B75" s="45" t="str">
        <f>+IF(AGOSTO!B75=0,"",AGOSTO!B75)</f>
        <v>CUOTAS DE RECUPERACION</v>
      </c>
      <c r="C75" s="53">
        <f t="shared" ref="C75:N75" si="76">SUM(C76:C77)</f>
        <v>1100000</v>
      </c>
      <c r="D75" s="53">
        <f t="shared" si="76"/>
        <v>0</v>
      </c>
      <c r="E75" s="53">
        <f t="shared" si="76"/>
        <v>0</v>
      </c>
      <c r="F75" s="54">
        <f t="shared" si="76"/>
        <v>1100000</v>
      </c>
      <c r="G75" s="52">
        <f t="shared" si="76"/>
        <v>32860005</v>
      </c>
      <c r="H75" s="53">
        <f t="shared" si="76"/>
        <v>0</v>
      </c>
      <c r="I75" s="54">
        <f t="shared" si="76"/>
        <v>32860005</v>
      </c>
      <c r="J75" s="52">
        <f t="shared" si="76"/>
        <v>32860005</v>
      </c>
      <c r="K75" s="53">
        <f t="shared" si="76"/>
        <v>0</v>
      </c>
      <c r="L75" s="54">
        <f t="shared" si="76"/>
        <v>32860005</v>
      </c>
      <c r="M75" s="52">
        <f t="shared" si="76"/>
        <v>-31760005</v>
      </c>
      <c r="N75" s="54">
        <f t="shared" si="76"/>
        <v>-31760005</v>
      </c>
      <c r="P75" s="52">
        <f>SUM(P76:P77)</f>
        <v>0</v>
      </c>
      <c r="Q75" s="54">
        <f>SUM(Q76:Q77)</f>
        <v>0</v>
      </c>
      <c r="R75" s="10"/>
      <c r="S75" s="156" t="str">
        <f>+IF(AGOSTO!S75=0,"",AGOSTO!S75)</f>
        <v>1020104-8</v>
      </c>
      <c r="T75" s="55" t="str">
        <f>+IF(AGOSTO!T75=0,"",AGOSTO!T75)</f>
        <v>Bonific. por Servicios Prestados (Convencional)</v>
      </c>
      <c r="U75" s="29">
        <f>+ENERO!U75</f>
        <v>0</v>
      </c>
      <c r="V75" s="17">
        <f>AGOSTO!V75+SEPTIEMBRE!AL75</f>
        <v>0</v>
      </c>
      <c r="W75" s="17">
        <f>AGOSTO!W75+SEPTIEMBRE!AM75</f>
        <v>0</v>
      </c>
      <c r="X75" s="20">
        <f t="shared" si="68"/>
        <v>0</v>
      </c>
      <c r="Y75" s="21">
        <f>AGOSTO!AA75</f>
        <v>0</v>
      </c>
      <c r="Z75" s="457">
        <v>0</v>
      </c>
      <c r="AA75" s="20">
        <f t="shared" si="69"/>
        <v>0</v>
      </c>
      <c r="AB75" s="21">
        <f>AGOSTO!AD75</f>
        <v>0</v>
      </c>
      <c r="AC75" s="457">
        <v>0</v>
      </c>
      <c r="AD75" s="20">
        <f t="shared" si="70"/>
        <v>0</v>
      </c>
      <c r="AE75" s="21">
        <f>AGOSTO!AG75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+IF(AGOSTO!A76=0,"",AGOSTO!A76)</f>
        <v>1130117-1</v>
      </c>
      <c r="B76" s="189" t="str">
        <f>+CONCATENATE("Vigencia ",INSTRUCCIONES!$F$3)</f>
        <v>Vigencia 2014</v>
      </c>
      <c r="C76" s="456">
        <f>+ENERO!C76</f>
        <v>1100000</v>
      </c>
      <c r="D76" s="456">
        <f>AGOSTO!D76+SEPTIEMBRE!P76</f>
        <v>0</v>
      </c>
      <c r="E76" s="456">
        <f>AGOSTO!E76+SEPTIEMBRE!Q76</f>
        <v>0</v>
      </c>
      <c r="F76" s="170">
        <f t="shared" ref="F76:F83" si="77">SUM(C76:E76)</f>
        <v>1100000</v>
      </c>
      <c r="G76" s="283">
        <f>AGOSTO!I76</f>
        <v>32860005</v>
      </c>
      <c r="H76" s="457">
        <v>0</v>
      </c>
      <c r="I76" s="170">
        <f t="shared" ref="I76:I83" si="78">SUM(G76:H76)</f>
        <v>32860005</v>
      </c>
      <c r="J76" s="283">
        <f>AGOSTO!L76</f>
        <v>32860005</v>
      </c>
      <c r="K76" s="457">
        <v>0</v>
      </c>
      <c r="L76" s="170">
        <f t="shared" ref="L76:L83" si="79">SUM(J76:K76)</f>
        <v>32860005</v>
      </c>
      <c r="M76" s="283">
        <f t="shared" ref="M76:M83" si="80">F76-I76</f>
        <v>-31760005</v>
      </c>
      <c r="N76" s="170">
        <f t="shared" ref="N76:N83" si="81">F76-L76</f>
        <v>-31760005</v>
      </c>
      <c r="O76" s="467"/>
      <c r="P76" s="455">
        <v>0</v>
      </c>
      <c r="Q76" s="458">
        <v>0</v>
      </c>
      <c r="R76" s="10"/>
      <c r="S76" s="156" t="str">
        <f>+IF(AGOSTO!S76=0,"",AGOSTO!S76)</f>
        <v>1020104-9</v>
      </c>
      <c r="T76" s="55" t="str">
        <f>+IF(AGOSTO!T76=0,"",AGOSTO!T76)</f>
        <v>Auxilio de Transporte</v>
      </c>
      <c r="U76" s="29">
        <f>+ENERO!U76</f>
        <v>0</v>
      </c>
      <c r="V76" s="17">
        <f>AGOSTO!V76+SEPTIEMBRE!AL76</f>
        <v>0</v>
      </c>
      <c r="W76" s="17">
        <f>AGOSTO!W76+SEPTIEMBRE!AM76</f>
        <v>0</v>
      </c>
      <c r="X76" s="20">
        <f t="shared" si="68"/>
        <v>0</v>
      </c>
      <c r="Y76" s="21">
        <f>AGOSTO!AA76</f>
        <v>0</v>
      </c>
      <c r="Z76" s="457">
        <v>0</v>
      </c>
      <c r="AA76" s="20">
        <f t="shared" si="69"/>
        <v>0</v>
      </c>
      <c r="AB76" s="21">
        <f>AGOSTO!AD76</f>
        <v>0</v>
      </c>
      <c r="AC76" s="457">
        <v>0</v>
      </c>
      <c r="AD76" s="20">
        <f t="shared" si="70"/>
        <v>0</v>
      </c>
      <c r="AE76" s="21">
        <f>AGOSTO!AG76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+IF(AGOSTO!A77=0,"",AGOSTO!A77)</f>
        <v>1130117-2</v>
      </c>
      <c r="B77" s="189" t="str">
        <f>+IF(AGOSTO!B77=0,"",AGOSTO!B77)</f>
        <v>Vigencias Anteriores</v>
      </c>
      <c r="C77" s="456">
        <f>+ENERO!C77</f>
        <v>0</v>
      </c>
      <c r="D77" s="456">
        <f>AGOSTO!D77+SEPTIEMBRE!P77</f>
        <v>0</v>
      </c>
      <c r="E77" s="456">
        <f>AGOSTO!E77+SEPTIEMBRE!Q77</f>
        <v>0</v>
      </c>
      <c r="F77" s="170">
        <f t="shared" si="77"/>
        <v>0</v>
      </c>
      <c r="G77" s="283">
        <f>AGOSTO!I77</f>
        <v>0</v>
      </c>
      <c r="H77" s="457">
        <v>0</v>
      </c>
      <c r="I77" s="170">
        <f t="shared" si="78"/>
        <v>0</v>
      </c>
      <c r="J77" s="283">
        <f>AGOSTO!L77</f>
        <v>0</v>
      </c>
      <c r="K77" s="457">
        <v>0</v>
      </c>
      <c r="L77" s="170">
        <f t="shared" si="79"/>
        <v>0</v>
      </c>
      <c r="M77" s="283">
        <f t="shared" si="80"/>
        <v>0</v>
      </c>
      <c r="N77" s="170">
        <f t="shared" si="81"/>
        <v>0</v>
      </c>
      <c r="O77" s="467"/>
      <c r="P77" s="455">
        <v>0</v>
      </c>
      <c r="Q77" s="458">
        <v>0</v>
      </c>
      <c r="R77" s="10"/>
      <c r="S77" s="156" t="str">
        <f>+IF(AGOSTO!S77=0,"",AGOSTO!S77)</f>
        <v>1020104-10</v>
      </c>
      <c r="T77" s="55" t="str">
        <f>+IF(AGOSTO!T77=0,"",AGOSTO!T77)</f>
        <v>Subsidio de Alimentación</v>
      </c>
      <c r="U77" s="29">
        <f>+ENERO!U77</f>
        <v>3859093</v>
      </c>
      <c r="V77" s="17">
        <f>AGOSTO!V77+SEPTIEMBRE!AL77</f>
        <v>0</v>
      </c>
      <c r="W77" s="17">
        <f>AGOSTO!W77+SEPTIEMBRE!AM77</f>
        <v>0</v>
      </c>
      <c r="X77" s="20">
        <f t="shared" si="68"/>
        <v>3859093</v>
      </c>
      <c r="Y77" s="21">
        <f>AGOSTO!AA77</f>
        <v>2332696</v>
      </c>
      <c r="Z77" s="457">
        <v>323344</v>
      </c>
      <c r="AA77" s="20">
        <f t="shared" si="69"/>
        <v>2656040</v>
      </c>
      <c r="AB77" s="21">
        <f>AGOSTO!AD77</f>
        <v>2332696</v>
      </c>
      <c r="AC77" s="457">
        <v>323344</v>
      </c>
      <c r="AD77" s="20">
        <f t="shared" si="70"/>
        <v>2656040</v>
      </c>
      <c r="AE77" s="21">
        <f>AGOSTO!AG77</f>
        <v>2332696</v>
      </c>
      <c r="AF77" s="457">
        <v>323344</v>
      </c>
      <c r="AG77" s="20">
        <f t="shared" si="71"/>
        <v>2656040</v>
      </c>
      <c r="AH77" s="21">
        <f t="shared" si="72"/>
        <v>1203053</v>
      </c>
      <c r="AI77" s="17">
        <f t="shared" si="73"/>
        <v>1203053</v>
      </c>
      <c r="AJ77" s="18">
        <f t="shared" si="74"/>
        <v>1203053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+IF(AGOSTO!A78=0,"",AGOSTO!A78)</f>
        <v>1130118</v>
      </c>
      <c r="B78" s="45" t="str">
        <f>+IF(AGOSTO!B78=0,"",AGOSTO!B78)</f>
        <v>PARTICULARES   (Venta de Contado)</v>
      </c>
      <c r="C78" s="53">
        <f>SUM(C79:C80)</f>
        <v>81679743</v>
      </c>
      <c r="D78" s="53">
        <f>SUM(D79:D80)</f>
        <v>0</v>
      </c>
      <c r="E78" s="53">
        <f>SUM(E79:E80)</f>
        <v>0</v>
      </c>
      <c r="F78" s="54">
        <f t="shared" si="77"/>
        <v>81679743</v>
      </c>
      <c r="G78" s="52">
        <f>SUM(G79:G80)</f>
        <v>25376493</v>
      </c>
      <c r="H78" s="53">
        <f>SUM(H79:H80)</f>
        <v>4844757</v>
      </c>
      <c r="I78" s="54">
        <f t="shared" si="78"/>
        <v>30221250</v>
      </c>
      <c r="J78" s="52">
        <f>SUM(J79:J80)</f>
        <v>24775999</v>
      </c>
      <c r="K78" s="53">
        <f>SUM(K79:K80)</f>
        <v>4768909</v>
      </c>
      <c r="L78" s="54">
        <f t="shared" si="79"/>
        <v>29544908</v>
      </c>
      <c r="M78" s="52">
        <f t="shared" si="80"/>
        <v>51458493</v>
      </c>
      <c r="N78" s="54">
        <f t="shared" si="81"/>
        <v>52134835</v>
      </c>
      <c r="O78" s="467"/>
      <c r="P78" s="52">
        <f>SUM(P79:P80)</f>
        <v>0</v>
      </c>
      <c r="Q78" s="54">
        <f>SUM(Q79:Q80)</f>
        <v>0</v>
      </c>
      <c r="R78" s="10"/>
      <c r="S78" s="156" t="str">
        <f>+IF(AGOSTO!S78=0,"",AGOSTO!S78)</f>
        <v>1020104-12</v>
      </c>
      <c r="T78" s="55" t="str">
        <f>+IF(AGOSTO!T78=0,"",AGOSTO!T78)</f>
        <v>Indemnizaciones por Vacaciones o Supresión de Cargos por Reestructuración</v>
      </c>
      <c r="U78" s="29">
        <f>+ENERO!U78</f>
        <v>0</v>
      </c>
      <c r="V78" s="17">
        <f>AGOSTO!V78+SEPTIEMBRE!AL78</f>
        <v>0</v>
      </c>
      <c r="W78" s="17">
        <f>AGOSTO!W78+SEPTIEMBRE!AM78</f>
        <v>0</v>
      </c>
      <c r="X78" s="20">
        <f t="shared" si="68"/>
        <v>0</v>
      </c>
      <c r="Y78" s="21">
        <f>AGOSTO!AA78</f>
        <v>0</v>
      </c>
      <c r="Z78" s="457">
        <v>0</v>
      </c>
      <c r="AA78" s="20">
        <f t="shared" si="69"/>
        <v>0</v>
      </c>
      <c r="AB78" s="21">
        <f>AGOSTO!AD78</f>
        <v>0</v>
      </c>
      <c r="AC78" s="457">
        <v>0</v>
      </c>
      <c r="AD78" s="20">
        <f t="shared" si="70"/>
        <v>0</v>
      </c>
      <c r="AE78" s="21">
        <f>AGOSTO!AG78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+IF(AGOSTO!A79=0,"",AGOSTO!A79)</f>
        <v>1130118-1</v>
      </c>
      <c r="B79" s="189" t="str">
        <f>+CONCATENATE("Vigencia ",INSTRUCCIONES!$F$3)</f>
        <v>Vigencia 2014</v>
      </c>
      <c r="C79" s="456">
        <f>+ENERO!C79</f>
        <v>81679743</v>
      </c>
      <c r="D79" s="456">
        <f>AGOSTO!D79+SEPTIEMBRE!P79</f>
        <v>0</v>
      </c>
      <c r="E79" s="456">
        <f>AGOSTO!E79+SEPTIEMBRE!Q79</f>
        <v>0</v>
      </c>
      <c r="F79" s="170">
        <f t="shared" si="77"/>
        <v>81679743</v>
      </c>
      <c r="G79" s="283">
        <f>AGOSTO!I79</f>
        <v>25376493</v>
      </c>
      <c r="H79" s="457">
        <v>4844757</v>
      </c>
      <c r="I79" s="170">
        <f t="shared" si="78"/>
        <v>30221250</v>
      </c>
      <c r="J79" s="283">
        <f>AGOSTO!L79</f>
        <v>24775999</v>
      </c>
      <c r="K79" s="457">
        <v>4768909</v>
      </c>
      <c r="L79" s="170">
        <f t="shared" si="79"/>
        <v>29544908</v>
      </c>
      <c r="M79" s="283">
        <f t="shared" si="80"/>
        <v>51458493</v>
      </c>
      <c r="N79" s="170">
        <f t="shared" si="81"/>
        <v>52134835</v>
      </c>
      <c r="P79" s="455">
        <v>0</v>
      </c>
      <c r="Q79" s="458">
        <v>0</v>
      </c>
      <c r="R79" s="10"/>
      <c r="S79" s="156" t="str">
        <f>+IF(AGOSTO!S79=0,"",AGOSTO!S79)</f>
        <v>1020104-13</v>
      </c>
      <c r="T79" s="55" t="str">
        <f>+IF(AGOSTO!T79=0,"",AGOSTO!T79)</f>
        <v>Bonificación Especial por Recreación</v>
      </c>
      <c r="U79" s="29">
        <f>+ENERO!U79</f>
        <v>5006173</v>
      </c>
      <c r="V79" s="17">
        <f>AGOSTO!V79+SEPTIEMBRE!AL79</f>
        <v>0</v>
      </c>
      <c r="W79" s="17">
        <f>AGOSTO!W79+SEPTIEMBRE!AM79</f>
        <v>0</v>
      </c>
      <c r="X79" s="20">
        <f t="shared" si="68"/>
        <v>5006173</v>
      </c>
      <c r="Y79" s="21">
        <f>AGOSTO!AA79</f>
        <v>2618079</v>
      </c>
      <c r="Z79" s="457">
        <v>178244</v>
      </c>
      <c r="AA79" s="20">
        <f t="shared" si="69"/>
        <v>2796323</v>
      </c>
      <c r="AB79" s="21">
        <f>AGOSTO!AD79</f>
        <v>2618079</v>
      </c>
      <c r="AC79" s="457">
        <v>178244</v>
      </c>
      <c r="AD79" s="20">
        <f t="shared" si="70"/>
        <v>2796323</v>
      </c>
      <c r="AE79" s="21">
        <f>AGOSTO!AG79</f>
        <v>2002436</v>
      </c>
      <c r="AF79" s="457">
        <v>178244</v>
      </c>
      <c r="AG79" s="20">
        <f t="shared" si="71"/>
        <v>2180680</v>
      </c>
      <c r="AH79" s="21">
        <f t="shared" si="72"/>
        <v>2209850</v>
      </c>
      <c r="AI79" s="17">
        <f t="shared" si="73"/>
        <v>2209850</v>
      </c>
      <c r="AJ79" s="18">
        <f t="shared" si="74"/>
        <v>2825493</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+IF(AGOSTO!A80=0,"",AGOSTO!A80)</f>
        <v>1130118-2</v>
      </c>
      <c r="B80" s="189" t="str">
        <f>+IF(AGOSTO!B80=0,"",AGOSTO!B80)</f>
        <v>Vigencias Anteriores</v>
      </c>
      <c r="C80" s="456">
        <f>+ENERO!C80</f>
        <v>0</v>
      </c>
      <c r="D80" s="456">
        <f>AGOSTO!D80+SEPTIEMBRE!P80</f>
        <v>0</v>
      </c>
      <c r="E80" s="456">
        <f>AGOSTO!E80+SEPTIEMBRE!Q80</f>
        <v>0</v>
      </c>
      <c r="F80" s="170">
        <f t="shared" si="77"/>
        <v>0</v>
      </c>
      <c r="G80" s="283">
        <f>AGOSTO!I80</f>
        <v>0</v>
      </c>
      <c r="H80" s="457">
        <v>0</v>
      </c>
      <c r="I80" s="170">
        <f t="shared" si="78"/>
        <v>0</v>
      </c>
      <c r="J80" s="283">
        <f>AGOSTO!L80</f>
        <v>0</v>
      </c>
      <c r="K80" s="457">
        <v>0</v>
      </c>
      <c r="L80" s="170">
        <f t="shared" si="79"/>
        <v>0</v>
      </c>
      <c r="M80" s="283">
        <f t="shared" si="80"/>
        <v>0</v>
      </c>
      <c r="N80" s="170">
        <f t="shared" si="81"/>
        <v>0</v>
      </c>
      <c r="O80" s="467"/>
      <c r="P80" s="455">
        <v>0</v>
      </c>
      <c r="Q80" s="458">
        <v>0</v>
      </c>
      <c r="S80" s="156" t="str">
        <f>+IF(AGOSTO!S80=0,"",AGOSTO!S80)</f>
        <v>1020104-14</v>
      </c>
      <c r="T80" s="55" t="str">
        <f>+IF(AGOSTO!T80=0,"",AGOSTO!T80)</f>
        <v/>
      </c>
      <c r="U80" s="29">
        <f>+ENERO!U80</f>
        <v>0</v>
      </c>
      <c r="V80" s="17">
        <f>AGOSTO!V80+SEPTIEMBRE!AL80</f>
        <v>0</v>
      </c>
      <c r="W80" s="17">
        <f>AGOSTO!W80+SEPTIEMBRE!AM80</f>
        <v>0</v>
      </c>
      <c r="X80" s="20">
        <f t="shared" si="68"/>
        <v>0</v>
      </c>
      <c r="Y80" s="21">
        <f>AGOSTO!AA80</f>
        <v>0</v>
      </c>
      <c r="Z80" s="457">
        <v>0</v>
      </c>
      <c r="AA80" s="20">
        <f t="shared" si="69"/>
        <v>0</v>
      </c>
      <c r="AB80" s="21">
        <f>AGOSTO!AD80</f>
        <v>0</v>
      </c>
      <c r="AC80" s="457">
        <v>0</v>
      </c>
      <c r="AD80" s="20">
        <f t="shared" si="70"/>
        <v>0</v>
      </c>
      <c r="AE80" s="21">
        <f>AGOSTO!AG80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+IF(AGOSTO!A81=0,"",AGOSTO!A81)</f>
        <v>1130119</v>
      </c>
      <c r="B81" s="45" t="str">
        <f>+IF(AGOSTO!B81=0,"",AGOSTO!B81)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+IF(AGOSTO!S81=0,"",AGOSTO!S81)</f>
        <v>1020199</v>
      </c>
      <c r="T81" s="159" t="str">
        <f>+IF(AGOSTO!T81=0,"",AGOSTO!T81)</f>
        <v>Vigencias Anteriores</v>
      </c>
      <c r="U81" s="29">
        <f>+ENERO!U81</f>
        <v>8738114</v>
      </c>
      <c r="V81" s="17">
        <f>AGOSTO!V81+SEPTIEMBRE!AL81</f>
        <v>5657703</v>
      </c>
      <c r="W81" s="17">
        <f>AGOSTO!W81+SEPTIEMBRE!AM81</f>
        <v>8749212</v>
      </c>
      <c r="X81" s="20">
        <f t="shared" si="68"/>
        <v>23145029</v>
      </c>
      <c r="Y81" s="21">
        <f>AGOSTO!AA81</f>
        <v>22680029</v>
      </c>
      <c r="Z81" s="457">
        <v>0</v>
      </c>
      <c r="AA81" s="20">
        <f t="shared" si="69"/>
        <v>22680029</v>
      </c>
      <c r="AB81" s="21">
        <f>AGOSTO!AD81</f>
        <v>22680029</v>
      </c>
      <c r="AC81" s="457">
        <v>0</v>
      </c>
      <c r="AD81" s="20">
        <f t="shared" si="70"/>
        <v>22680029</v>
      </c>
      <c r="AE81" s="21">
        <f>AGOSTO!AG81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+IF(AGOSTO!A82=0,"",AGOSTO!A82)</f>
        <v>1130119-1</v>
      </c>
      <c r="B82" s="189" t="str">
        <f>+CONCATENATE("Vigencia ",INSTRUCCIONES!$F$3)</f>
        <v>Vigencia 2014</v>
      </c>
      <c r="C82" s="456">
        <f>+ENERO!C82</f>
        <v>0</v>
      </c>
      <c r="D82" s="456">
        <f>AGOSTO!D82+SEPTIEMBRE!P82</f>
        <v>0</v>
      </c>
      <c r="E82" s="456">
        <f>AGOSTO!E82+SEPTIEMBRE!Q82</f>
        <v>0</v>
      </c>
      <c r="F82" s="170">
        <f t="shared" si="77"/>
        <v>0</v>
      </c>
      <c r="G82" s="283">
        <f>AGOSTO!I82</f>
        <v>0</v>
      </c>
      <c r="H82" s="457">
        <v>0</v>
      </c>
      <c r="I82" s="170">
        <f t="shared" si="78"/>
        <v>0</v>
      </c>
      <c r="J82" s="283">
        <f>AGOSTO!L82</f>
        <v>0</v>
      </c>
      <c r="K82" s="457">
        <v>0</v>
      </c>
      <c r="L82" s="170">
        <f t="shared" si="79"/>
        <v>0</v>
      </c>
      <c r="M82" s="283">
        <f t="shared" si="80"/>
        <v>0</v>
      </c>
      <c r="N82" s="170">
        <f t="shared" si="81"/>
        <v>0</v>
      </c>
      <c r="P82" s="455">
        <v>0</v>
      </c>
      <c r="Q82" s="458">
        <v>0</v>
      </c>
      <c r="R82" s="10"/>
      <c r="S82" s="448" t="str">
        <f>+IF(AGOSTO!S82=0,"",AGOSTO!S82)</f>
        <v/>
      </c>
      <c r="T82" s="649" t="str">
        <f>+IF(AGOSTO!T82=0,"",AGOSTO!T82)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+IF(AGOSTO!A83=0,"",AGOSTO!A83)</f>
        <v>1130119-2</v>
      </c>
      <c r="B83" s="189" t="str">
        <f>+IF(AGOSTO!B83=0,"",AGOSTO!B83)</f>
        <v>Vigencias Anteriores</v>
      </c>
      <c r="C83" s="456">
        <f>+ENERO!C83</f>
        <v>0</v>
      </c>
      <c r="D83" s="456">
        <f>AGOSTO!D83+SEPTIEMBRE!P83</f>
        <v>0</v>
      </c>
      <c r="E83" s="456">
        <f>AGOSTO!E83+SEPTIEMBRE!Q83</f>
        <v>0</v>
      </c>
      <c r="F83" s="170">
        <f t="shared" si="77"/>
        <v>0</v>
      </c>
      <c r="G83" s="283">
        <f>AGOSTO!I83</f>
        <v>0</v>
      </c>
      <c r="H83" s="457">
        <v>0</v>
      </c>
      <c r="I83" s="170">
        <f t="shared" si="78"/>
        <v>0</v>
      </c>
      <c r="J83" s="283">
        <f>AGOSTO!L83</f>
        <v>0</v>
      </c>
      <c r="K83" s="457">
        <v>0</v>
      </c>
      <c r="L83" s="170">
        <f t="shared" si="79"/>
        <v>0</v>
      </c>
      <c r="M83" s="283">
        <f t="shared" si="80"/>
        <v>0</v>
      </c>
      <c r="N83" s="170">
        <f t="shared" si="81"/>
        <v>0</v>
      </c>
      <c r="P83" s="455">
        <v>0</v>
      </c>
      <c r="Q83" s="458">
        <v>0</v>
      </c>
      <c r="R83" s="10"/>
      <c r="S83" s="34">
        <f>+IF(AGOSTO!S83=0,"",AGOSTO!S83)</f>
        <v>1020200</v>
      </c>
      <c r="T83" s="158" t="str">
        <f>+IF(AGOSTO!T83=0,"",AGOSTO!T83)</f>
        <v>Servicios Personales Indirectos</v>
      </c>
      <c r="U83" s="157">
        <f t="shared" ref="U83:AJ83" si="83">SUM(U84:U88)</f>
        <v>71000000</v>
      </c>
      <c r="V83" s="144">
        <f t="shared" si="83"/>
        <v>0</v>
      </c>
      <c r="W83" s="144">
        <f t="shared" si="83"/>
        <v>4687311</v>
      </c>
      <c r="X83" s="152">
        <f t="shared" si="83"/>
        <v>75687311</v>
      </c>
      <c r="Y83" s="151">
        <f t="shared" si="83"/>
        <v>33682388</v>
      </c>
      <c r="Z83" s="144">
        <f t="shared" si="83"/>
        <v>1519444</v>
      </c>
      <c r="AA83" s="152">
        <f t="shared" si="83"/>
        <v>35201832</v>
      </c>
      <c r="AB83" s="151">
        <f t="shared" si="83"/>
        <v>33682388</v>
      </c>
      <c r="AC83" s="144">
        <f t="shared" si="83"/>
        <v>1519444</v>
      </c>
      <c r="AD83" s="152">
        <f t="shared" si="83"/>
        <v>35201832</v>
      </c>
      <c r="AE83" s="151">
        <f t="shared" si="83"/>
        <v>29795528</v>
      </c>
      <c r="AF83" s="144">
        <f t="shared" si="83"/>
        <v>2229960</v>
      </c>
      <c r="AG83" s="152">
        <f t="shared" si="83"/>
        <v>32025488</v>
      </c>
      <c r="AH83" s="151">
        <f t="shared" si="83"/>
        <v>40485479</v>
      </c>
      <c r="AI83" s="144">
        <f t="shared" si="83"/>
        <v>40485479</v>
      </c>
      <c r="AJ83" s="153">
        <f t="shared" si="83"/>
        <v>43661823</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+IF(AGOSTO!A84=0,"",AGOSTO!A84)</f>
        <v/>
      </c>
      <c r="B84" s="557" t="str">
        <f>+IF(AGOSTO!B84=0,"",AGOSTO!B84)</f>
        <v/>
      </c>
      <c r="C84" s="495"/>
      <c r="D84" s="495"/>
      <c r="E84" s="495"/>
      <c r="F84" s="495"/>
      <c r="G84" s="495"/>
      <c r="H84" s="495"/>
      <c r="I84" s="495"/>
      <c r="J84" s="495"/>
      <c r="K84" s="495"/>
      <c r="L84" s="495"/>
      <c r="M84" s="495"/>
      <c r="N84" s="496"/>
      <c r="P84" s="497"/>
      <c r="Q84" s="496"/>
      <c r="R84" s="10"/>
      <c r="S84" s="155" t="str">
        <f>+IF(AGOSTO!S84=0,"",AGOSTO!S84)</f>
        <v>1020200-1</v>
      </c>
      <c r="T84" s="159" t="str">
        <f>+IF(AGOSTO!T84=0,"",AGOSTO!T84)</f>
        <v>Remuneración y Honorarios por Servicios Técnicos y Profesionales</v>
      </c>
      <c r="U84" s="29">
        <f>+ENERO!U84</f>
        <v>20000000</v>
      </c>
      <c r="V84" s="17">
        <f>AGOSTO!V84+SEPTIEMBRE!AL84</f>
        <v>0</v>
      </c>
      <c r="W84" s="17">
        <f>AGOSTO!W84+SEPTIEMBRE!AM84</f>
        <v>0</v>
      </c>
      <c r="X84" s="20">
        <f>SUM(U84:W84)</f>
        <v>20000000</v>
      </c>
      <c r="Y84" s="21">
        <f>AGOSTO!AA84</f>
        <v>12135788</v>
      </c>
      <c r="Z84" s="457">
        <v>1381744</v>
      </c>
      <c r="AA84" s="20">
        <f>SUM(Y84:Z84)</f>
        <v>13517532</v>
      </c>
      <c r="AB84" s="21">
        <f>AGOSTO!AD84</f>
        <v>12135788</v>
      </c>
      <c r="AC84" s="457">
        <v>1381744</v>
      </c>
      <c r="AD84" s="20">
        <f>SUM(AB84:AC84)</f>
        <v>13517532</v>
      </c>
      <c r="AE84" s="21">
        <f>AGOSTO!AG84</f>
        <v>10513828</v>
      </c>
      <c r="AF84" s="457">
        <v>1621960</v>
      </c>
      <c r="AG84" s="20">
        <f>SUM(AE84:AF84)</f>
        <v>12135788</v>
      </c>
      <c r="AH84" s="21">
        <f>X84-AA84</f>
        <v>6482468</v>
      </c>
      <c r="AI84" s="17">
        <f>X84-AD84</f>
        <v>6482468</v>
      </c>
      <c r="AJ84" s="18">
        <f>X84-AG84</f>
        <v>7864212</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+IF(AGOSTO!A85=0,"",AGOSTO!A85)</f>
        <v>11302</v>
      </c>
      <c r="B85" s="460" t="str">
        <f>+IF(AGOSTO!B85=0,"",AGOSTO!B85)</f>
        <v>Venta de Otros Bienes y Servicios</v>
      </c>
      <c r="C85" s="559">
        <f t="shared" ref="C85:N85" si="84">SUM(C86:C93)</f>
        <v>115179029</v>
      </c>
      <c r="D85" s="559">
        <f t="shared" si="84"/>
        <v>0</v>
      </c>
      <c r="E85" s="559">
        <f t="shared" si="84"/>
        <v>0</v>
      </c>
      <c r="F85" s="560">
        <f t="shared" si="84"/>
        <v>115179029</v>
      </c>
      <c r="G85" s="558">
        <f t="shared" si="84"/>
        <v>110439797</v>
      </c>
      <c r="H85" s="559">
        <f t="shared" si="84"/>
        <v>4954943</v>
      </c>
      <c r="I85" s="560">
        <f t="shared" si="84"/>
        <v>115394740</v>
      </c>
      <c r="J85" s="558">
        <f t="shared" si="84"/>
        <v>110439797</v>
      </c>
      <c r="K85" s="559">
        <f t="shared" si="84"/>
        <v>4954943</v>
      </c>
      <c r="L85" s="560">
        <f t="shared" si="84"/>
        <v>115394740</v>
      </c>
      <c r="M85" s="558">
        <f t="shared" si="84"/>
        <v>-215711</v>
      </c>
      <c r="N85" s="560">
        <f t="shared" si="84"/>
        <v>-215711</v>
      </c>
      <c r="P85" s="52">
        <f>SUM(P86:P93)</f>
        <v>0</v>
      </c>
      <c r="Q85" s="54">
        <f>SUM(Q86:Q93)</f>
        <v>0</v>
      </c>
      <c r="R85" s="10"/>
      <c r="S85" s="155" t="str">
        <f>+IF(AGOSTO!S85=0,"",AGOSTO!S85)</f>
        <v>1020200-2</v>
      </c>
      <c r="T85" s="159" t="str">
        <f>+IF(AGOSTO!T85=0,"",AGOSTO!T85)</f>
        <v>Personal Supernumerario</v>
      </c>
      <c r="U85" s="29">
        <f>+ENERO!U85</f>
        <v>22000000</v>
      </c>
      <c r="V85" s="17">
        <f>AGOSTO!V85+SEPTIEMBRE!AL85</f>
        <v>0</v>
      </c>
      <c r="W85" s="17">
        <f>AGOSTO!W85+SEPTIEMBRE!AM85</f>
        <v>0</v>
      </c>
      <c r="X85" s="20">
        <f>SUM(U85:W85)</f>
        <v>22000000</v>
      </c>
      <c r="Y85" s="21">
        <f>AGOSTO!AA85</f>
        <v>4512589</v>
      </c>
      <c r="Z85" s="457">
        <v>0</v>
      </c>
      <c r="AA85" s="20">
        <f>SUM(Y85:Z85)</f>
        <v>4512589</v>
      </c>
      <c r="AB85" s="21">
        <f>AGOSTO!AD85</f>
        <v>4512589</v>
      </c>
      <c r="AC85" s="457">
        <v>0</v>
      </c>
      <c r="AD85" s="20">
        <f>SUM(AB85:AC85)</f>
        <v>4512589</v>
      </c>
      <c r="AE85" s="21">
        <f>AGOSTO!AG85</f>
        <v>3904589</v>
      </c>
      <c r="AF85" s="457">
        <v>608000</v>
      </c>
      <c r="AG85" s="20">
        <f>SUM(AE85:AF85)</f>
        <v>4512589</v>
      </c>
      <c r="AH85" s="21">
        <f>X85-AA85</f>
        <v>17487411</v>
      </c>
      <c r="AI85" s="17">
        <f>X85-AD85</f>
        <v>17487411</v>
      </c>
      <c r="AJ85" s="18">
        <f>X85-AG85</f>
        <v>17487411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+IF(AGOSTO!A86=0,"",AGOSTO!A86)</f>
        <v>1130201</v>
      </c>
      <c r="B86" s="55" t="str">
        <f>+IF(AGOSTO!B86=0,"",AGOSTO!B86)</f>
        <v>ARRENDAMIENTO Y ALQUILER DE BIENES MUEBLES E INMUEBLES</v>
      </c>
      <c r="C86" s="456">
        <f>+ENERO!C86</f>
        <v>3552425</v>
      </c>
      <c r="D86" s="456">
        <f>AGOSTO!D86+SEPTIEMBRE!P86</f>
        <v>0</v>
      </c>
      <c r="E86" s="456">
        <f>AGOSTO!E86+SEPTIEMBRE!Q86</f>
        <v>0</v>
      </c>
      <c r="F86" s="170">
        <f t="shared" ref="F86:F92" si="85">SUM(C86:E86)</f>
        <v>3552425</v>
      </c>
      <c r="G86" s="283">
        <f>AGOSTO!I86</f>
        <v>5925576</v>
      </c>
      <c r="H86" s="457">
        <v>0</v>
      </c>
      <c r="I86" s="170">
        <f t="shared" ref="I86:I92" si="86">SUM(G86:H86)</f>
        <v>5925576</v>
      </c>
      <c r="J86" s="283">
        <f>AGOSTO!L86</f>
        <v>5925576</v>
      </c>
      <c r="K86" s="457">
        <v>0</v>
      </c>
      <c r="L86" s="170">
        <f t="shared" ref="L86:L92" si="87">SUM(J86:K86)</f>
        <v>5925576</v>
      </c>
      <c r="M86" s="283">
        <f t="shared" ref="M86:M92" si="88">F86-I86</f>
        <v>-2373151</v>
      </c>
      <c r="N86" s="170">
        <f t="shared" ref="N86:N92" si="89">F86-L86</f>
        <v>-2373151</v>
      </c>
      <c r="O86" s="467"/>
      <c r="P86" s="455">
        <v>0</v>
      </c>
      <c r="Q86" s="458">
        <v>0</v>
      </c>
      <c r="S86" s="155" t="str">
        <f>+IF(AGOSTO!S86=0,"",AGOSTO!S86)</f>
        <v>1020200-4</v>
      </c>
      <c r="T86" s="159" t="str">
        <f>+IF(AGOSTO!T86=0,"",AGOSTO!T86)</f>
        <v>Otros Honorarios (Servicios de Cooperativa)</v>
      </c>
      <c r="U86" s="29">
        <f>+ENERO!U86</f>
        <v>25000000</v>
      </c>
      <c r="V86" s="17">
        <f>AGOSTO!V86+SEPTIEMBRE!AL86</f>
        <v>0</v>
      </c>
      <c r="W86" s="17">
        <f>AGOSTO!W86+SEPTIEMBRE!AM86</f>
        <v>0</v>
      </c>
      <c r="X86" s="20">
        <f>SUM(U86:W86)</f>
        <v>25000000</v>
      </c>
      <c r="Y86" s="21">
        <f>AGOSTO!AA86</f>
        <v>8346700</v>
      </c>
      <c r="Z86" s="457">
        <v>137700</v>
      </c>
      <c r="AA86" s="20">
        <f>SUM(Y86:Z86)</f>
        <v>8484400</v>
      </c>
      <c r="AB86" s="21">
        <f>AGOSTO!AD86</f>
        <v>8346700</v>
      </c>
      <c r="AC86" s="457">
        <v>137700</v>
      </c>
      <c r="AD86" s="20">
        <f>SUM(AB86:AC86)</f>
        <v>8484400</v>
      </c>
      <c r="AE86" s="21">
        <f>AGOSTO!AG86</f>
        <v>6737100</v>
      </c>
      <c r="AF86" s="457">
        <v>0</v>
      </c>
      <c r="AG86" s="20">
        <f>SUM(AE86:AF86)</f>
        <v>6737100</v>
      </c>
      <c r="AH86" s="21">
        <f>X86-AA86</f>
        <v>16515600</v>
      </c>
      <c r="AI86" s="17">
        <f>X86-AD86</f>
        <v>16515600</v>
      </c>
      <c r="AJ86" s="18">
        <f>X86-AG86</f>
        <v>18262900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+IF(AGOSTO!A87=0,"",AGOSTO!A87)</f>
        <v>1130202</v>
      </c>
      <c r="B87" s="55" t="str">
        <f>+IF(AGOSTO!B87=0,"",AGOSTO!B87)</f>
        <v>COMERCIALIZACIÓN DE MERCANCÍAS</v>
      </c>
      <c r="C87" s="456">
        <f>+ENERO!C87</f>
        <v>0</v>
      </c>
      <c r="D87" s="456">
        <f>AGOSTO!D87+SEPTIEMBRE!P87</f>
        <v>0</v>
      </c>
      <c r="E87" s="456">
        <f>AGOSTO!E87+SEPTIEMBRE!Q87</f>
        <v>0</v>
      </c>
      <c r="F87" s="170">
        <f t="shared" si="85"/>
        <v>0</v>
      </c>
      <c r="G87" s="283">
        <f>AGOSTO!I87</f>
        <v>9657156</v>
      </c>
      <c r="H87" s="457">
        <v>2301680</v>
      </c>
      <c r="I87" s="170">
        <f t="shared" si="86"/>
        <v>11958836</v>
      </c>
      <c r="J87" s="283">
        <f>AGOSTO!L87</f>
        <v>9657156</v>
      </c>
      <c r="K87" s="457">
        <v>2301680</v>
      </c>
      <c r="L87" s="170">
        <f t="shared" si="87"/>
        <v>11958836</v>
      </c>
      <c r="M87" s="283">
        <f t="shared" si="88"/>
        <v>-11958836</v>
      </c>
      <c r="N87" s="170">
        <f t="shared" si="89"/>
        <v>-11958836</v>
      </c>
      <c r="P87" s="455">
        <v>0</v>
      </c>
      <c r="Q87" s="458">
        <v>0</v>
      </c>
      <c r="R87" s="10"/>
      <c r="S87" s="155" t="str">
        <f>+IF(AGOSTO!S87=0,"",AGOSTO!S87)</f>
        <v/>
      </c>
      <c r="T87" s="159" t="str">
        <f>+IF(AGOSTO!T87=0,"",AGOSTO!T87)</f>
        <v/>
      </c>
      <c r="U87" s="29">
        <f>+ENERO!U87</f>
        <v>0</v>
      </c>
      <c r="V87" s="17">
        <f>AGOSTO!V87+SEPTIEMBRE!AL87</f>
        <v>0</v>
      </c>
      <c r="W87" s="17">
        <f>AGOSTO!W87+SEPTIEMBRE!AM87</f>
        <v>0</v>
      </c>
      <c r="X87" s="20">
        <f>SUM(U87:W87)</f>
        <v>0</v>
      </c>
      <c r="Y87" s="21">
        <f>AGOSTO!AA87</f>
        <v>0</v>
      </c>
      <c r="Z87" s="457">
        <v>0</v>
      </c>
      <c r="AA87" s="20">
        <f>SUM(Y87:Z87)</f>
        <v>0</v>
      </c>
      <c r="AB87" s="21">
        <f>AGOSTO!AD87</f>
        <v>0</v>
      </c>
      <c r="AC87" s="457">
        <v>0</v>
      </c>
      <c r="AD87" s="20">
        <f>SUM(AB87:AC87)</f>
        <v>0</v>
      </c>
      <c r="AE87" s="21">
        <f>AGOSTO!AG87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+IF(AGOSTO!A88=0,"",AGOSTO!A88)</f>
        <v>1130203</v>
      </c>
      <c r="B88" s="55" t="str">
        <f>+IF(AGOSTO!B88=0,"",AGOSTO!B88)</f>
        <v>CONVENIOS CON LA NACION LIGADOS A LA VTA DE SERVICIOS</v>
      </c>
      <c r="C88" s="456">
        <f>+ENERO!C88</f>
        <v>0</v>
      </c>
      <c r="D88" s="456">
        <f>AGOSTO!D88+SEPTIEMBRE!P88</f>
        <v>0</v>
      </c>
      <c r="E88" s="456">
        <f>AGOSTO!E88+SEPTIEMBRE!Q88</f>
        <v>0</v>
      </c>
      <c r="F88" s="170">
        <f t="shared" si="85"/>
        <v>0</v>
      </c>
      <c r="G88" s="283">
        <f>AGOSTO!I88</f>
        <v>0</v>
      </c>
      <c r="H88" s="457">
        <v>0</v>
      </c>
      <c r="I88" s="170">
        <f t="shared" si="86"/>
        <v>0</v>
      </c>
      <c r="J88" s="283">
        <f>AGOSTO!L88</f>
        <v>0</v>
      </c>
      <c r="K88" s="457">
        <v>0</v>
      </c>
      <c r="L88" s="170">
        <f t="shared" si="87"/>
        <v>0</v>
      </c>
      <c r="M88" s="283">
        <f t="shared" si="88"/>
        <v>0</v>
      </c>
      <c r="N88" s="170">
        <f t="shared" si="89"/>
        <v>0</v>
      </c>
      <c r="P88" s="455">
        <v>0</v>
      </c>
      <c r="Q88" s="458">
        <v>0</v>
      </c>
      <c r="R88" s="10"/>
      <c r="S88" s="155">
        <f>+IF(AGOSTO!S88=0,"",AGOSTO!S88)</f>
        <v>1020299</v>
      </c>
      <c r="T88" s="159" t="str">
        <f>+IF(AGOSTO!T88=0,"",AGOSTO!T88)</f>
        <v>Vigencias Anteriores</v>
      </c>
      <c r="U88" s="29">
        <f>+ENERO!U88</f>
        <v>4000000</v>
      </c>
      <c r="V88" s="17">
        <f>AGOSTO!V88+SEPTIEMBRE!AL88</f>
        <v>0</v>
      </c>
      <c r="W88" s="17">
        <f>AGOSTO!W88+SEPTIEMBRE!AM88</f>
        <v>4687311</v>
      </c>
      <c r="X88" s="20">
        <f>SUM(U88:W88)</f>
        <v>8687311</v>
      </c>
      <c r="Y88" s="21">
        <f>AGOSTO!AA88</f>
        <v>8687311</v>
      </c>
      <c r="Z88" s="457">
        <v>0</v>
      </c>
      <c r="AA88" s="20">
        <f>SUM(Y88:Z88)</f>
        <v>8687311</v>
      </c>
      <c r="AB88" s="21">
        <f>AGOSTO!AD88</f>
        <v>8687311</v>
      </c>
      <c r="AC88" s="457">
        <v>0</v>
      </c>
      <c r="AD88" s="20">
        <f>SUM(AB88:AC88)</f>
        <v>8687311</v>
      </c>
      <c r="AE88" s="21">
        <f>AGOSTO!AG88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+IF(AGOSTO!A89=0,"",AGOSTO!A89)</f>
        <v>1130204</v>
      </c>
      <c r="B89" s="55" t="str">
        <f>+IF(AGOSTO!B89=0,"",AGOSTO!B89)</f>
        <v>CONVENIOS CON EL DEPARTAMENTO LIGADOS A LA VTA SERVICIOS</v>
      </c>
      <c r="C89" s="456">
        <f>+ENERO!C89</f>
        <v>0</v>
      </c>
      <c r="D89" s="456">
        <f>AGOSTO!D89+SEPTIEMBRE!P89</f>
        <v>0</v>
      </c>
      <c r="E89" s="456">
        <f>AGOSTO!E89+SEPTIEMBRE!Q89</f>
        <v>0</v>
      </c>
      <c r="F89" s="170">
        <f t="shared" si="85"/>
        <v>0</v>
      </c>
      <c r="G89" s="283">
        <f>AGOSTO!I89</f>
        <v>0</v>
      </c>
      <c r="H89" s="457">
        <v>0</v>
      </c>
      <c r="I89" s="170">
        <f t="shared" si="86"/>
        <v>0</v>
      </c>
      <c r="J89" s="283">
        <f>AGOSTO!L89</f>
        <v>0</v>
      </c>
      <c r="K89" s="457">
        <v>0</v>
      </c>
      <c r="L89" s="170">
        <f t="shared" si="87"/>
        <v>0</v>
      </c>
      <c r="M89" s="283">
        <f t="shared" si="88"/>
        <v>0</v>
      </c>
      <c r="N89" s="170">
        <f t="shared" si="89"/>
        <v>0</v>
      </c>
      <c r="P89" s="455">
        <v>0</v>
      </c>
      <c r="Q89" s="458">
        <v>0</v>
      </c>
      <c r="R89" s="10"/>
      <c r="S89" s="448" t="str">
        <f>+IF(AGOSTO!S89=0,"",AGOSTO!S89)</f>
        <v/>
      </c>
      <c r="T89" s="649" t="str">
        <f>+IF(AGOSTO!T89=0,"",AGOSTO!T89)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+IF(AGOSTO!A90=0,"",AGOSTO!A90)</f>
        <v>1130205</v>
      </c>
      <c r="B90" s="55" t="str">
        <f>+IF(AGOSTO!B90=0,"",AGOSTO!B90)</f>
        <v>CONVENIOS CON EL MUNICIPIO LIGADOS A LA VTA DE SERVICIOS</v>
      </c>
      <c r="C90" s="456">
        <f>+ENERO!C90</f>
        <v>0</v>
      </c>
      <c r="D90" s="456">
        <f>AGOSTO!D90+SEPTIEMBRE!P90</f>
        <v>0</v>
      </c>
      <c r="E90" s="456">
        <f>AGOSTO!E90+SEPTIEMBRE!Q90</f>
        <v>0</v>
      </c>
      <c r="F90" s="170">
        <f t="shared" si="85"/>
        <v>0</v>
      </c>
      <c r="G90" s="283">
        <f>AGOSTO!I90</f>
        <v>0</v>
      </c>
      <c r="H90" s="457">
        <v>0</v>
      </c>
      <c r="I90" s="170">
        <f t="shared" si="86"/>
        <v>0</v>
      </c>
      <c r="J90" s="283">
        <f>AGOSTO!L90</f>
        <v>0</v>
      </c>
      <c r="K90" s="457">
        <v>0</v>
      </c>
      <c r="L90" s="170">
        <f t="shared" si="87"/>
        <v>0</v>
      </c>
      <c r="M90" s="283">
        <f t="shared" si="88"/>
        <v>0</v>
      </c>
      <c r="N90" s="170">
        <f t="shared" si="89"/>
        <v>0</v>
      </c>
      <c r="O90" s="467"/>
      <c r="P90" s="455">
        <v>0</v>
      </c>
      <c r="Q90" s="458">
        <v>0</v>
      </c>
      <c r="R90" s="32"/>
      <c r="S90" s="34">
        <f>+IF(AGOSTO!S90=0,"",AGOSTO!S90)</f>
        <v>1020300</v>
      </c>
      <c r="T90" s="158" t="str">
        <f>+IF(AGOSTO!T90=0,"",AGOSTO!T90)</f>
        <v>Contribuciones Inherentes nómina al Sector Privado</v>
      </c>
      <c r="U90" s="157">
        <f t="shared" ref="U90:AJ90" si="90">U91+U96+U102</f>
        <v>371241003</v>
      </c>
      <c r="V90" s="144">
        <f t="shared" si="90"/>
        <v>0</v>
      </c>
      <c r="W90" s="144">
        <f t="shared" si="90"/>
        <v>5352587</v>
      </c>
      <c r="X90" s="152">
        <f t="shared" si="90"/>
        <v>376593590</v>
      </c>
      <c r="Y90" s="151">
        <f t="shared" si="90"/>
        <v>235544361</v>
      </c>
      <c r="Z90" s="144">
        <f t="shared" si="90"/>
        <v>15249127</v>
      </c>
      <c r="AA90" s="152">
        <f t="shared" si="90"/>
        <v>250793488</v>
      </c>
      <c r="AB90" s="151">
        <f t="shared" si="90"/>
        <v>235544361</v>
      </c>
      <c r="AC90" s="144">
        <f t="shared" si="90"/>
        <v>15249127</v>
      </c>
      <c r="AD90" s="152">
        <f t="shared" si="90"/>
        <v>250793488</v>
      </c>
      <c r="AE90" s="151">
        <f t="shared" si="90"/>
        <v>215287992</v>
      </c>
      <c r="AF90" s="144">
        <f t="shared" si="90"/>
        <v>15072114</v>
      </c>
      <c r="AG90" s="152">
        <f t="shared" si="90"/>
        <v>230360106</v>
      </c>
      <c r="AH90" s="151">
        <f t="shared" si="90"/>
        <v>125800102</v>
      </c>
      <c r="AI90" s="144">
        <f t="shared" si="90"/>
        <v>125800102</v>
      </c>
      <c r="AJ90" s="153">
        <f t="shared" si="90"/>
        <v>146233484</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+IF(AGOSTO!A91=0,"",AGOSTO!A91)</f>
        <v>1130206</v>
      </c>
      <c r="B91" s="55" t="str">
        <f>+IF(AGOSTO!B91=0,"",AGOSTO!B91)</f>
        <v>OTROS CONVENIOS LIGADOS A LA VTA DE SERVICIOS</v>
      </c>
      <c r="C91" s="456">
        <f>+ENERO!C91</f>
        <v>0</v>
      </c>
      <c r="D91" s="456">
        <f>AGOSTO!D91+SEPTIEMBRE!P91</f>
        <v>0</v>
      </c>
      <c r="E91" s="456">
        <f>AGOSTO!E91+SEPTIEMBRE!Q91</f>
        <v>0</v>
      </c>
      <c r="F91" s="170">
        <f t="shared" si="85"/>
        <v>0</v>
      </c>
      <c r="G91" s="283">
        <f>AGOSTO!I91</f>
        <v>0</v>
      </c>
      <c r="H91" s="457">
        <v>0</v>
      </c>
      <c r="I91" s="170">
        <f t="shared" si="86"/>
        <v>0</v>
      </c>
      <c r="J91" s="283">
        <f>AGOSTO!L91</f>
        <v>0</v>
      </c>
      <c r="K91" s="457">
        <v>0</v>
      </c>
      <c r="L91" s="170">
        <f t="shared" si="87"/>
        <v>0</v>
      </c>
      <c r="M91" s="283">
        <f t="shared" si="88"/>
        <v>0</v>
      </c>
      <c r="N91" s="170">
        <f t="shared" si="89"/>
        <v>0</v>
      </c>
      <c r="O91" s="467"/>
      <c r="P91" s="455">
        <v>0</v>
      </c>
      <c r="Q91" s="458">
        <v>0</v>
      </c>
      <c r="R91" s="32"/>
      <c r="S91" s="155">
        <f>+IF(AGOSTO!S91=0,"",AGOSTO!S91)</f>
        <v>1020301</v>
      </c>
      <c r="T91" s="159" t="str">
        <f>+IF(AGOSTO!T91=0,"",AGOSTO!T91)</f>
        <v>Contribuciones - Sin Situación de Fondos</v>
      </c>
      <c r="U91" s="29">
        <f t="shared" ref="U91:AJ91" si="91">SUM(U92:U95)</f>
        <v>165265755</v>
      </c>
      <c r="V91" s="17">
        <f t="shared" si="91"/>
        <v>0</v>
      </c>
      <c r="W91" s="17">
        <f t="shared" si="91"/>
        <v>0</v>
      </c>
      <c r="X91" s="20">
        <f t="shared" si="91"/>
        <v>165265755</v>
      </c>
      <c r="Y91" s="21">
        <f t="shared" si="91"/>
        <v>68741687</v>
      </c>
      <c r="Z91" s="169">
        <f t="shared" si="91"/>
        <v>2696458</v>
      </c>
      <c r="AA91" s="20">
        <f t="shared" si="91"/>
        <v>71438145</v>
      </c>
      <c r="AB91" s="21">
        <f t="shared" si="91"/>
        <v>68741687</v>
      </c>
      <c r="AC91" s="169">
        <f t="shared" si="91"/>
        <v>2696458</v>
      </c>
      <c r="AD91" s="20">
        <f t="shared" si="91"/>
        <v>71438145</v>
      </c>
      <c r="AE91" s="21">
        <f t="shared" si="91"/>
        <v>61975660</v>
      </c>
      <c r="AF91" s="169">
        <f t="shared" si="91"/>
        <v>2186947</v>
      </c>
      <c r="AG91" s="20">
        <f t="shared" si="91"/>
        <v>64162607</v>
      </c>
      <c r="AH91" s="21">
        <f t="shared" si="91"/>
        <v>93827610</v>
      </c>
      <c r="AI91" s="17">
        <f t="shared" si="91"/>
        <v>93827610</v>
      </c>
      <c r="AJ91" s="18">
        <f t="shared" si="91"/>
        <v>101103148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+IF(AGOSTO!A92=0,"",AGOSTO!A92)</f>
        <v>1130207</v>
      </c>
      <c r="B92" s="563" t="s">
        <v>482</v>
      </c>
      <c r="C92" s="456">
        <f>+ENERO!C92</f>
        <v>0</v>
      </c>
      <c r="D92" s="456">
        <f>AGOSTO!D92+SEPTIEMBRE!P92</f>
        <v>0</v>
      </c>
      <c r="E92" s="456">
        <f>AGOSTO!E92+SEPTIEMBRE!Q92</f>
        <v>0</v>
      </c>
      <c r="F92" s="170">
        <f t="shared" si="85"/>
        <v>0</v>
      </c>
      <c r="G92" s="283">
        <f>AGOSTO!I92</f>
        <v>0</v>
      </c>
      <c r="H92" s="457">
        <v>0</v>
      </c>
      <c r="I92" s="170">
        <f t="shared" si="86"/>
        <v>0</v>
      </c>
      <c r="J92" s="283">
        <f>AGOSTO!L92</f>
        <v>0</v>
      </c>
      <c r="K92" s="457">
        <v>0</v>
      </c>
      <c r="L92" s="170">
        <f t="shared" si="87"/>
        <v>0</v>
      </c>
      <c r="M92" s="283">
        <f t="shared" si="88"/>
        <v>0</v>
      </c>
      <c r="N92" s="170">
        <f t="shared" si="89"/>
        <v>0</v>
      </c>
      <c r="O92" s="467"/>
      <c r="P92" s="455">
        <v>0</v>
      </c>
      <c r="Q92" s="458">
        <v>0</v>
      </c>
      <c r="R92" s="32"/>
      <c r="S92" s="156" t="str">
        <f>+IF(AGOSTO!S92=0,"",AGOSTO!S92)</f>
        <v>1020301-1</v>
      </c>
      <c r="T92" s="55" t="str">
        <f>+IF(AGOSTO!T92=0,"",AGOSTO!T92)</f>
        <v>Aportes a E.P.S.- Sin sit. Fondos</v>
      </c>
      <c r="U92" s="29">
        <f>+ENERO!U92</f>
        <v>72234575</v>
      </c>
      <c r="V92" s="17">
        <f>AGOSTO!V92+SEPTIEMBRE!AL92</f>
        <v>0</v>
      </c>
      <c r="W92" s="17">
        <f>AGOSTO!W92+SEPTIEMBRE!AM92</f>
        <v>0</v>
      </c>
      <c r="X92" s="20">
        <f>SUM(U92:W92)</f>
        <v>72234575</v>
      </c>
      <c r="Y92" s="21">
        <f>AGOSTO!AA92</f>
        <v>31586877</v>
      </c>
      <c r="Z92" s="457">
        <v>2696458</v>
      </c>
      <c r="AA92" s="20">
        <f>SUM(Y92:Z92)</f>
        <v>34283335</v>
      </c>
      <c r="AB92" s="21">
        <f>AGOSTO!AD92</f>
        <v>31586877</v>
      </c>
      <c r="AC92" s="457">
        <v>2696458</v>
      </c>
      <c r="AD92" s="20">
        <f>SUM(AB92:AC92)</f>
        <v>34283335</v>
      </c>
      <c r="AE92" s="21">
        <f>AGOSTO!AG92</f>
        <v>31172780</v>
      </c>
      <c r="AF92" s="457">
        <v>2186947</v>
      </c>
      <c r="AG92" s="20">
        <f>SUM(AE92:AF92)</f>
        <v>33359727</v>
      </c>
      <c r="AH92" s="21">
        <f>X92-AA92</f>
        <v>37951240</v>
      </c>
      <c r="AI92" s="17">
        <f>X92-AD92</f>
        <v>37951240</v>
      </c>
      <c r="AJ92" s="18">
        <f>X92-AG92</f>
        <v>38874848</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+IF(AGOSTO!A93=0,"",AGOSTO!A93)</f>
        <v>1130209</v>
      </c>
      <c r="B93" s="170" t="str">
        <f>+IF(AGOSTO!B93=0,"",AGOSTO!B93)</f>
        <v>OTROS</v>
      </c>
      <c r="C93" s="172">
        <f t="shared" ref="C93:N93" si="92">SUM(C94:C97)</f>
        <v>111626604</v>
      </c>
      <c r="D93" s="172">
        <f t="shared" si="92"/>
        <v>0</v>
      </c>
      <c r="E93" s="172">
        <f t="shared" si="92"/>
        <v>0</v>
      </c>
      <c r="F93" s="173">
        <f t="shared" si="92"/>
        <v>111626604</v>
      </c>
      <c r="G93" s="171">
        <f t="shared" si="92"/>
        <v>94857065</v>
      </c>
      <c r="H93" s="172">
        <f t="shared" si="92"/>
        <v>2653263</v>
      </c>
      <c r="I93" s="173">
        <f t="shared" si="92"/>
        <v>97510328</v>
      </c>
      <c r="J93" s="171">
        <f t="shared" si="92"/>
        <v>94857065</v>
      </c>
      <c r="K93" s="172">
        <f t="shared" si="92"/>
        <v>2653263</v>
      </c>
      <c r="L93" s="173">
        <f t="shared" si="92"/>
        <v>97510328</v>
      </c>
      <c r="M93" s="171">
        <f t="shared" si="92"/>
        <v>14116276</v>
      </c>
      <c r="N93" s="173">
        <f t="shared" si="92"/>
        <v>14116276</v>
      </c>
      <c r="O93" s="467"/>
      <c r="P93" s="171">
        <f>SUM(P94:P97)</f>
        <v>0</v>
      </c>
      <c r="Q93" s="173">
        <f>SUM(Q94:Q97)</f>
        <v>0</v>
      </c>
      <c r="R93" s="32"/>
      <c r="S93" s="156" t="str">
        <f>+IF(AGOSTO!S93=0,"",AGOSTO!S93)</f>
        <v>1020301-2</v>
      </c>
      <c r="T93" s="55" t="str">
        <f>+IF(AGOSTO!T93=0,"",AGOSTO!T93)</f>
        <v>Aportes Fondos Pensionales - Sin Sit. Fondos</v>
      </c>
      <c r="U93" s="29">
        <f>+ENERO!U93</f>
        <v>78026691</v>
      </c>
      <c r="V93" s="17">
        <f>AGOSTO!V93+SEPTIEMBRE!AL93</f>
        <v>0</v>
      </c>
      <c r="W93" s="17">
        <f>AGOSTO!W93+SEPTIEMBRE!AM93</f>
        <v>0</v>
      </c>
      <c r="X93" s="20">
        <f>SUM(U93:W93)</f>
        <v>78026691</v>
      </c>
      <c r="Y93" s="21">
        <f>AGOSTO!AA93</f>
        <v>30802880</v>
      </c>
      <c r="Z93" s="457">
        <v>0</v>
      </c>
      <c r="AA93" s="20">
        <f>SUM(Y93:Z93)</f>
        <v>30802880</v>
      </c>
      <c r="AB93" s="21">
        <f>AGOSTO!AD93</f>
        <v>30802880</v>
      </c>
      <c r="AC93" s="457">
        <v>0</v>
      </c>
      <c r="AD93" s="20">
        <f>SUM(AB93:AC93)</f>
        <v>30802880</v>
      </c>
      <c r="AE93" s="21">
        <f>AGOSTO!AG93</f>
        <v>30802880</v>
      </c>
      <c r="AF93" s="457">
        <v>0</v>
      </c>
      <c r="AG93" s="20">
        <f>SUM(AE93:AF93)</f>
        <v>30802880</v>
      </c>
      <c r="AH93" s="21">
        <f>X93-AA93</f>
        <v>47223811</v>
      </c>
      <c r="AI93" s="17">
        <f>X93-AD93</f>
        <v>47223811</v>
      </c>
      <c r="AJ93" s="18">
        <f>X93-AG93</f>
        <v>47223811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+IF(AGOSTO!A94=0,"",AGOSTO!A94)</f>
        <v>1130209 - 1</v>
      </c>
      <c r="B94" s="58" t="str">
        <f>+IF(AGOSTO!B94=0,"",AGOSTO!B94)</f>
        <v>Bienestar Social</v>
      </c>
      <c r="C94" s="456">
        <f>+ENERO!C94</f>
        <v>6347410</v>
      </c>
      <c r="D94" s="456">
        <f>AGOSTO!D94+SEPTIEMBRE!P94</f>
        <v>0</v>
      </c>
      <c r="E94" s="456">
        <f>AGOSTO!E94+SEPTIEMBRE!Q94</f>
        <v>0</v>
      </c>
      <c r="F94" s="170">
        <f>SUM(C94:E94)</f>
        <v>6347410</v>
      </c>
      <c r="G94" s="283">
        <f>AGOSTO!I94</f>
        <v>0</v>
      </c>
      <c r="H94" s="457">
        <v>0</v>
      </c>
      <c r="I94" s="170">
        <f>SUM(G94:H94)</f>
        <v>0</v>
      </c>
      <c r="J94" s="283">
        <f>AGOSTO!L94</f>
        <v>0</v>
      </c>
      <c r="K94" s="457">
        <v>0</v>
      </c>
      <c r="L94" s="170">
        <f>SUM(J94:K94)</f>
        <v>0</v>
      </c>
      <c r="M94" s="283">
        <f>F94-I94</f>
        <v>6347410</v>
      </c>
      <c r="N94" s="170">
        <f>F94-L94</f>
        <v>6347410</v>
      </c>
      <c r="O94" s="467"/>
      <c r="P94" s="455">
        <v>0</v>
      </c>
      <c r="Q94" s="458">
        <v>0</v>
      </c>
      <c r="R94" s="32"/>
      <c r="S94" s="156" t="str">
        <f>+IF(AGOSTO!S94=0,"",AGOSTO!S94)</f>
        <v>1020301-3</v>
      </c>
      <c r="T94" s="55" t="str">
        <f>+IF(AGOSTO!T94=0,"",AGOSTO!T94)</f>
        <v xml:space="preserve">Aportes a Fondos de Cesantia - Sin Sit. de Fondos </v>
      </c>
      <c r="U94" s="29">
        <f>+ENERO!U94</f>
        <v>15004488</v>
      </c>
      <c r="V94" s="17">
        <f>AGOSTO!V94+SEPTIEMBRE!AL94</f>
        <v>0</v>
      </c>
      <c r="W94" s="17">
        <f>AGOSTO!W94+SEPTIEMBRE!AM94</f>
        <v>0</v>
      </c>
      <c r="X94" s="20">
        <f>SUM(U94:W94)</f>
        <v>15004488</v>
      </c>
      <c r="Y94" s="21">
        <f>AGOSTO!AA94</f>
        <v>6351930</v>
      </c>
      <c r="Z94" s="457">
        <v>0</v>
      </c>
      <c r="AA94" s="20">
        <f>SUM(Y94:Z94)</f>
        <v>6351930</v>
      </c>
      <c r="AB94" s="21">
        <f>AGOSTO!AD94</f>
        <v>6351930</v>
      </c>
      <c r="AC94" s="457">
        <v>0</v>
      </c>
      <c r="AD94" s="20">
        <f>SUM(AB94:AC94)</f>
        <v>6351930</v>
      </c>
      <c r="AE94" s="21">
        <f>AGOSTO!AG94</f>
        <v>0</v>
      </c>
      <c r="AF94" s="457">
        <v>0</v>
      </c>
      <c r="AG94" s="20">
        <f>SUM(AE94:AF94)</f>
        <v>0</v>
      </c>
      <c r="AH94" s="21">
        <f>X94-AA94</f>
        <v>8652558</v>
      </c>
      <c r="AI94" s="17">
        <f>X94-AD94</f>
        <v>8652558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+IF(AGOSTO!A95=0,"",AGOSTO!A95)</f>
        <v>1130209 - 2</v>
      </c>
      <c r="B95" s="58" t="str">
        <f>+IF(AGOSTO!B95=0,"",AGOSTO!B95)</f>
        <v>Fondo de la Vivienda</v>
      </c>
      <c r="C95" s="456">
        <f>+ENERO!C95</f>
        <v>0</v>
      </c>
      <c r="D95" s="456">
        <f>AGOSTO!D95+SEPTIEMBRE!P95</f>
        <v>0</v>
      </c>
      <c r="E95" s="456">
        <f>AGOSTO!E95+SEPTIEMBRE!Q95</f>
        <v>0</v>
      </c>
      <c r="F95" s="170">
        <f>SUM(C95:E95)</f>
        <v>0</v>
      </c>
      <c r="G95" s="283">
        <f>AGOSTO!I95</f>
        <v>0</v>
      </c>
      <c r="H95" s="457">
        <v>0</v>
      </c>
      <c r="I95" s="170">
        <f>SUM(G95:H95)</f>
        <v>0</v>
      </c>
      <c r="J95" s="283">
        <f>AGOSTO!L95</f>
        <v>0</v>
      </c>
      <c r="K95" s="457">
        <v>0</v>
      </c>
      <c r="L95" s="170">
        <f>SUM(J95:K95)</f>
        <v>0</v>
      </c>
      <c r="M95" s="283">
        <f>F95-I95</f>
        <v>0</v>
      </c>
      <c r="N95" s="170">
        <f>F95-L95</f>
        <v>0</v>
      </c>
      <c r="O95" s="467"/>
      <c r="P95" s="455">
        <v>0</v>
      </c>
      <c r="Q95" s="458">
        <v>0</v>
      </c>
      <c r="R95" s="32"/>
      <c r="S95" s="156" t="str">
        <f>+IF(AGOSTO!S95=0,"",AGOSTO!S95)</f>
        <v>1020301-4</v>
      </c>
      <c r="T95" s="55" t="str">
        <f>+IF(AGOSTO!T95=0,"",AGOSTO!T95)</f>
        <v>Aporte a ARL. - Sin Sit. de Fondos</v>
      </c>
      <c r="U95" s="29">
        <f>+ENERO!U95</f>
        <v>1</v>
      </c>
      <c r="V95" s="17">
        <f>AGOSTO!V95+SEPTIEMBRE!AL95</f>
        <v>0</v>
      </c>
      <c r="W95" s="17">
        <f>AGOSTO!W95+SEPTIEMBRE!AM95</f>
        <v>0</v>
      </c>
      <c r="X95" s="20">
        <f>SUM(U95:W95)</f>
        <v>1</v>
      </c>
      <c r="Y95" s="21">
        <f>AGOSTO!AA95</f>
        <v>0</v>
      </c>
      <c r="Z95" s="457">
        <v>0</v>
      </c>
      <c r="AA95" s="20">
        <f>SUM(Y95:Z95)</f>
        <v>0</v>
      </c>
      <c r="AB95" s="21">
        <f>AGOSTO!AD95</f>
        <v>0</v>
      </c>
      <c r="AC95" s="457">
        <v>0</v>
      </c>
      <c r="AD95" s="20">
        <f>SUM(AB95:AC95)</f>
        <v>0</v>
      </c>
      <c r="AE95" s="21">
        <f>AGOSTO!AG95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+IF(AGOSTO!A96=0,"",AGOSTO!A96)</f>
        <v>1130209 - 3</v>
      </c>
      <c r="B96" s="58" t="str">
        <f>+IF(AGOSTO!B96=0,"",AGOSTO!B96)</f>
        <v xml:space="preserve">Aprovechamientos </v>
      </c>
      <c r="C96" s="456">
        <f>+ENERO!C96</f>
        <v>105279194</v>
      </c>
      <c r="D96" s="456">
        <f>AGOSTO!D96+SEPTIEMBRE!P96</f>
        <v>0</v>
      </c>
      <c r="E96" s="456">
        <f>AGOSTO!E96+SEPTIEMBRE!Q96</f>
        <v>0</v>
      </c>
      <c r="F96" s="170">
        <f>SUM(C96:E96)</f>
        <v>105279194</v>
      </c>
      <c r="G96" s="283">
        <f>AGOSTO!I96</f>
        <v>94857065</v>
      </c>
      <c r="H96" s="457">
        <v>2653263</v>
      </c>
      <c r="I96" s="170">
        <f>SUM(G96:H96)</f>
        <v>97510328</v>
      </c>
      <c r="J96" s="283">
        <f>AGOSTO!L96</f>
        <v>94857065</v>
      </c>
      <c r="K96" s="457">
        <v>2653263</v>
      </c>
      <c r="L96" s="170">
        <f>SUM(J96:K96)</f>
        <v>97510328</v>
      </c>
      <c r="M96" s="283">
        <f>F96-I96</f>
        <v>7768866</v>
      </c>
      <c r="N96" s="170">
        <f>F96-L96</f>
        <v>7768866</v>
      </c>
      <c r="O96" s="467"/>
      <c r="P96" s="455">
        <v>0</v>
      </c>
      <c r="Q96" s="458">
        <v>0</v>
      </c>
      <c r="S96" s="155">
        <f>+IF(AGOSTO!S96=0,"",AGOSTO!S96)</f>
        <v>1020302</v>
      </c>
      <c r="T96" s="159" t="str">
        <f>+IF(AGOSTO!T96=0,"",AGOSTO!T96)</f>
        <v>Contribuciones - Otros</v>
      </c>
      <c r="U96" s="29">
        <f t="shared" ref="U96:AJ96" si="93">SUM(U97:U101)</f>
        <v>205975248</v>
      </c>
      <c r="V96" s="17">
        <f t="shared" si="93"/>
        <v>0</v>
      </c>
      <c r="W96" s="17">
        <f t="shared" si="93"/>
        <v>0</v>
      </c>
      <c r="X96" s="20">
        <f t="shared" si="93"/>
        <v>205975248</v>
      </c>
      <c r="Y96" s="21">
        <f t="shared" si="93"/>
        <v>161450087</v>
      </c>
      <c r="Z96" s="169">
        <f t="shared" si="93"/>
        <v>12552669</v>
      </c>
      <c r="AA96" s="20">
        <f t="shared" si="93"/>
        <v>174002756</v>
      </c>
      <c r="AB96" s="21">
        <f t="shared" si="93"/>
        <v>161450087</v>
      </c>
      <c r="AC96" s="169">
        <f t="shared" si="93"/>
        <v>12552669</v>
      </c>
      <c r="AD96" s="20">
        <f t="shared" si="93"/>
        <v>174002756</v>
      </c>
      <c r="AE96" s="21">
        <f t="shared" si="93"/>
        <v>147959745</v>
      </c>
      <c r="AF96" s="169">
        <f t="shared" si="93"/>
        <v>12885167</v>
      </c>
      <c r="AG96" s="20">
        <f t="shared" si="93"/>
        <v>160844912</v>
      </c>
      <c r="AH96" s="21">
        <f t="shared" si="93"/>
        <v>31972492</v>
      </c>
      <c r="AI96" s="17">
        <f t="shared" si="93"/>
        <v>31972492</v>
      </c>
      <c r="AJ96" s="18">
        <f t="shared" si="93"/>
        <v>45130336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+IF(AGOSTO!A97=0,"",AGOSTO!A97)</f>
        <v>1130209 - 4</v>
      </c>
      <c r="B97" s="219" t="str">
        <f>+IF(AGOSTO!B97=0,"",AGOSTO!B97)</f>
        <v>Otros</v>
      </c>
      <c r="C97" s="564">
        <f>+ENERO!C97</f>
        <v>0</v>
      </c>
      <c r="D97" s="564">
        <f>AGOSTO!D97+SEPTIEMBRE!P97</f>
        <v>0</v>
      </c>
      <c r="E97" s="564">
        <f>AGOSTO!E97+SEPTIEMBRE!Q97</f>
        <v>0</v>
      </c>
      <c r="F97" s="565">
        <f>SUM(C97:E97)</f>
        <v>0</v>
      </c>
      <c r="G97" s="566">
        <f>AGOSTO!I97</f>
        <v>0</v>
      </c>
      <c r="H97" s="475">
        <v>0</v>
      </c>
      <c r="I97" s="565">
        <f>SUM(G97:H97)</f>
        <v>0</v>
      </c>
      <c r="J97" s="566">
        <f>AGOSTO!L97</f>
        <v>0</v>
      </c>
      <c r="K97" s="475">
        <v>0</v>
      </c>
      <c r="L97" s="565">
        <f>SUM(J97:K97)</f>
        <v>0</v>
      </c>
      <c r="M97" s="566">
        <f>F97-I97</f>
        <v>0</v>
      </c>
      <c r="N97" s="565">
        <f>F97-L97</f>
        <v>0</v>
      </c>
      <c r="O97" s="467"/>
      <c r="P97" s="471">
        <v>0</v>
      </c>
      <c r="Q97" s="476">
        <v>0</v>
      </c>
      <c r="R97" s="32"/>
      <c r="S97" s="156" t="str">
        <f>+IF(AGOSTO!S97=0,"",AGOSTO!S97)</f>
        <v>1020302-1</v>
      </c>
      <c r="T97" s="55" t="str">
        <f>+IF(AGOSTO!T97=0,"",AGOSTO!T97)</f>
        <v>Aportes a E.P.S.- Con sit. Fondos</v>
      </c>
      <c r="U97" s="29">
        <f>+ENERO!U97</f>
        <v>13794433</v>
      </c>
      <c r="V97" s="17">
        <f>AGOSTO!V97+SEPTIEMBRE!AL97</f>
        <v>0</v>
      </c>
      <c r="W97" s="17">
        <f>AGOSTO!W97+SEPTIEMBRE!AM97</f>
        <v>0</v>
      </c>
      <c r="X97" s="20">
        <f t="shared" ref="X97:X102" si="94">SUM(U97:W97)</f>
        <v>13794433</v>
      </c>
      <c r="Y97" s="21">
        <f>AGOSTO!AA97</f>
        <v>12193060</v>
      </c>
      <c r="Z97" s="457">
        <v>0</v>
      </c>
      <c r="AA97" s="20">
        <f t="shared" ref="AA97:AA102" si="95">SUM(Y97:Z97)</f>
        <v>12193060</v>
      </c>
      <c r="AB97" s="21">
        <f>AGOSTO!AD97</f>
        <v>12193060</v>
      </c>
      <c r="AC97" s="457">
        <v>0</v>
      </c>
      <c r="AD97" s="20">
        <f t="shared" ref="AD97:AD102" si="96">SUM(AB97:AC97)</f>
        <v>12193060</v>
      </c>
      <c r="AE97" s="21">
        <f>AGOSTO!AG97</f>
        <v>12193060</v>
      </c>
      <c r="AF97" s="457">
        <v>0</v>
      </c>
      <c r="AG97" s="20">
        <f t="shared" ref="AG97:AG102" si="97">SUM(AE97:AF97)</f>
        <v>12193060</v>
      </c>
      <c r="AH97" s="21">
        <f t="shared" ref="AH97:AH102" si="98">X97-AA97</f>
        <v>1601373</v>
      </c>
      <c r="AI97" s="17">
        <f t="shared" ref="AI97:AI102" si="99">X97-AD97</f>
        <v>1601373</v>
      </c>
      <c r="AJ97" s="18">
        <f t="shared" ref="AJ97:AJ102" si="100">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+IF(AGOSTO!S98=0,"",AGOSTO!S98)</f>
        <v>1020302-2</v>
      </c>
      <c r="T98" s="55" t="str">
        <f>+IF(AGOSTO!T98=0,"",AGOSTO!T98)</f>
        <v>Aportes Fondos Pensionales - Con Sit. Fondos</v>
      </c>
      <c r="U98" s="29">
        <f>+ENERO!U98</f>
        <v>43426005</v>
      </c>
      <c r="V98" s="17">
        <f>AGOSTO!V98+SEPTIEMBRE!AL98</f>
        <v>0</v>
      </c>
      <c r="W98" s="17">
        <f>AGOSTO!W98+SEPTIEMBRE!AM98</f>
        <v>0</v>
      </c>
      <c r="X98" s="20">
        <f t="shared" si="94"/>
        <v>43426005</v>
      </c>
      <c r="Y98" s="21">
        <f>AGOSTO!AA98</f>
        <v>30950206</v>
      </c>
      <c r="Z98" s="457">
        <v>7160967</v>
      </c>
      <c r="AA98" s="20">
        <f t="shared" si="95"/>
        <v>38111173</v>
      </c>
      <c r="AB98" s="21">
        <f>AGOSTO!AD98</f>
        <v>30950206</v>
      </c>
      <c r="AC98" s="457">
        <v>7160967</v>
      </c>
      <c r="AD98" s="20">
        <f t="shared" si="96"/>
        <v>38111173</v>
      </c>
      <c r="AE98" s="21">
        <f>AGOSTO!AG98</f>
        <v>23624041</v>
      </c>
      <c r="AF98" s="457">
        <v>7326165</v>
      </c>
      <c r="AG98" s="20">
        <f t="shared" si="97"/>
        <v>30950206</v>
      </c>
      <c r="AH98" s="21">
        <f t="shared" si="98"/>
        <v>5314832</v>
      </c>
      <c r="AI98" s="17">
        <f t="shared" si="99"/>
        <v>5314832</v>
      </c>
      <c r="AJ98" s="18">
        <f t="shared" si="100"/>
        <v>12475799</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+IF(AGOSTO!A99=0,"",AGOSTO!A99)</f>
        <v>11303</v>
      </c>
      <c r="B99" s="570" t="str">
        <f>+IF(AGOSTO!B99=0,"",AGOSTO!B99)</f>
        <v>Aportes no ligados a venta servicios de salud</v>
      </c>
      <c r="C99" s="572">
        <f t="shared" ref="C99:N99" si="101">SUM(C100:C106)</f>
        <v>0</v>
      </c>
      <c r="D99" s="572">
        <f t="shared" si="101"/>
        <v>227076373</v>
      </c>
      <c r="E99" s="572">
        <f t="shared" si="101"/>
        <v>25449068</v>
      </c>
      <c r="F99" s="573">
        <f t="shared" si="101"/>
        <v>252525441</v>
      </c>
      <c r="G99" s="571">
        <f t="shared" si="101"/>
        <v>168350259</v>
      </c>
      <c r="H99" s="572">
        <f t="shared" si="101"/>
        <v>21043787</v>
      </c>
      <c r="I99" s="573">
        <f t="shared" si="101"/>
        <v>189394046</v>
      </c>
      <c r="J99" s="571">
        <f t="shared" si="101"/>
        <v>168350259</v>
      </c>
      <c r="K99" s="572">
        <f t="shared" si="101"/>
        <v>21043787</v>
      </c>
      <c r="L99" s="573">
        <f t="shared" si="101"/>
        <v>189394046</v>
      </c>
      <c r="M99" s="571">
        <f t="shared" si="101"/>
        <v>63131395</v>
      </c>
      <c r="N99" s="573">
        <f t="shared" si="101"/>
        <v>63131395</v>
      </c>
      <c r="P99" s="215">
        <f>SUM(P100:P106)</f>
        <v>0</v>
      </c>
      <c r="Q99" s="216">
        <f>SUM(Q100:Q106)</f>
        <v>0</v>
      </c>
      <c r="R99" s="32"/>
      <c r="S99" s="156" t="str">
        <f>+IF(AGOSTO!S99=0,"",AGOSTO!S99)</f>
        <v>1020302-3</v>
      </c>
      <c r="T99" s="55" t="str">
        <f>+IF(AGOSTO!T99=0,"",AGOSTO!T99)</f>
        <v xml:space="preserve">Aportes a Fondos de Cesantia - Con Sit. de Fondos </v>
      </c>
      <c r="U99" s="29">
        <f>+ENERO!U99</f>
        <v>78984976</v>
      </c>
      <c r="V99" s="17">
        <f>AGOSTO!V99+SEPTIEMBRE!AL99</f>
        <v>0</v>
      </c>
      <c r="W99" s="17">
        <f>AGOSTO!W99+SEPTIEMBRE!AM99</f>
        <v>0</v>
      </c>
      <c r="X99" s="20">
        <f t="shared" si="94"/>
        <v>78984976</v>
      </c>
      <c r="Y99" s="21">
        <f>AGOSTO!AA99</f>
        <v>77659419</v>
      </c>
      <c r="Z99" s="457">
        <v>0</v>
      </c>
      <c r="AA99" s="20">
        <f t="shared" si="95"/>
        <v>77659419</v>
      </c>
      <c r="AB99" s="21">
        <f>AGOSTO!AD99</f>
        <v>77659419</v>
      </c>
      <c r="AC99" s="457">
        <v>0</v>
      </c>
      <c r="AD99" s="20">
        <f t="shared" si="96"/>
        <v>77659419</v>
      </c>
      <c r="AE99" s="21">
        <f>AGOSTO!AG99</f>
        <v>77054244</v>
      </c>
      <c r="AF99" s="457">
        <v>0</v>
      </c>
      <c r="AG99" s="20">
        <f t="shared" si="97"/>
        <v>77054244</v>
      </c>
      <c r="AH99" s="21">
        <f t="shared" si="98"/>
        <v>1325557</v>
      </c>
      <c r="AI99" s="17">
        <f t="shared" si="99"/>
        <v>1325557</v>
      </c>
      <c r="AJ99" s="18">
        <f t="shared" si="100"/>
        <v>1930732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+IF(AGOSTO!A100=0,"",AGOSTO!A100)</f>
        <v>11303-1</v>
      </c>
      <c r="B100" s="59" t="str">
        <f>+IF(AGOSTO!B100=0,"",AGOSTO!B100)</f>
        <v xml:space="preserve">NACION </v>
      </c>
      <c r="C100" s="574">
        <f>+ENERO!C100</f>
        <v>0</v>
      </c>
      <c r="D100" s="574">
        <f>AGOSTO!D100+SEPTIEMBRE!P100</f>
        <v>0</v>
      </c>
      <c r="E100" s="574">
        <f>AGOSTO!E100+SEPTIEMBRE!Q100</f>
        <v>0</v>
      </c>
      <c r="F100" s="575">
        <f t="shared" ref="F100:F106" si="102">SUM(C100:E100)</f>
        <v>0</v>
      </c>
      <c r="G100" s="576">
        <f>AGOSTO!I100</f>
        <v>0</v>
      </c>
      <c r="H100" s="457">
        <v>0</v>
      </c>
      <c r="I100" s="575">
        <f t="shared" ref="I100:I106" si="103">SUM(G100:H100)</f>
        <v>0</v>
      </c>
      <c r="J100" s="576">
        <f>AGOSTO!L100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+IF(AGOSTO!S100=0,"",AGOSTO!S100)</f>
        <v>1020302-4</v>
      </c>
      <c r="T100" s="55" t="str">
        <f>+IF(AGOSTO!T100=0,"",AGOSTO!T100)</f>
        <v>Aporte a ARL. - Con Sit. de Fondos</v>
      </c>
      <c r="U100" s="29">
        <f>+ENERO!U100</f>
        <v>24654894</v>
      </c>
      <c r="V100" s="17">
        <f>AGOSTO!V100+SEPTIEMBRE!AL100</f>
        <v>0</v>
      </c>
      <c r="W100" s="17">
        <f>AGOSTO!W100+SEPTIEMBRE!AM100</f>
        <v>0</v>
      </c>
      <c r="X100" s="20">
        <f t="shared" si="94"/>
        <v>24654894</v>
      </c>
      <c r="Y100" s="21">
        <f>AGOSTO!AA100</f>
        <v>15728200</v>
      </c>
      <c r="Z100" s="457">
        <v>2363200</v>
      </c>
      <c r="AA100" s="20">
        <f t="shared" si="95"/>
        <v>18091400</v>
      </c>
      <c r="AB100" s="21">
        <f>AGOSTO!AD100</f>
        <v>15728200</v>
      </c>
      <c r="AC100" s="457">
        <v>2363200</v>
      </c>
      <c r="AD100" s="20">
        <f t="shared" si="96"/>
        <v>18091400</v>
      </c>
      <c r="AE100" s="21">
        <f>AGOSTO!AG100</f>
        <v>13345300</v>
      </c>
      <c r="AF100" s="457">
        <v>2382900</v>
      </c>
      <c r="AG100" s="20">
        <f t="shared" si="97"/>
        <v>15728200</v>
      </c>
      <c r="AH100" s="21">
        <f t="shared" si="98"/>
        <v>6563494</v>
      </c>
      <c r="AI100" s="17">
        <f t="shared" si="99"/>
        <v>6563494</v>
      </c>
      <c r="AJ100" s="18">
        <f t="shared" si="100"/>
        <v>8926694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+IF(AGOSTO!A101=0,"",AGOSTO!A101)</f>
        <v>11303-2</v>
      </c>
      <c r="B101" s="59" t="str">
        <f>+IF(AGOSTO!B101=0,"",AGOSTO!B101)</f>
        <v>DEPARTAMENTO</v>
      </c>
      <c r="C101" s="574">
        <f>+ENERO!C101</f>
        <v>0</v>
      </c>
      <c r="D101" s="574">
        <f>AGOSTO!D101+SEPTIEMBRE!P101</f>
        <v>0</v>
      </c>
      <c r="E101" s="574">
        <f>AGOSTO!E101+SEPTIEMBRE!Q101</f>
        <v>0</v>
      </c>
      <c r="F101" s="575">
        <f t="shared" si="102"/>
        <v>0</v>
      </c>
      <c r="G101" s="576">
        <f>AGOSTO!I101</f>
        <v>0</v>
      </c>
      <c r="H101" s="457">
        <v>0</v>
      </c>
      <c r="I101" s="575">
        <f t="shared" si="103"/>
        <v>0</v>
      </c>
      <c r="J101" s="576">
        <f>AGOSTO!L101</f>
        <v>0</v>
      </c>
      <c r="K101" s="457">
        <v>0</v>
      </c>
      <c r="L101" s="575">
        <f t="shared" si="104"/>
        <v>0</v>
      </c>
      <c r="M101" s="576">
        <f t="shared" si="105"/>
        <v>0</v>
      </c>
      <c r="N101" s="575">
        <f t="shared" si="106"/>
        <v>0</v>
      </c>
      <c r="O101" s="562"/>
      <c r="P101" s="455">
        <v>0</v>
      </c>
      <c r="Q101" s="458">
        <v>0</v>
      </c>
      <c r="R101" s="10"/>
      <c r="S101" s="156" t="str">
        <f>+IF(AGOSTO!S101=0,"",AGOSTO!S101)</f>
        <v>1020302-5</v>
      </c>
      <c r="T101" s="55" t="str">
        <f>+IF(AGOSTO!T101=0,"",AGOSTO!T101)</f>
        <v>Aporte a Caja Compensación Familiar</v>
      </c>
      <c r="U101" s="29">
        <f>+ENERO!U101</f>
        <v>45114940</v>
      </c>
      <c r="V101" s="17">
        <f>AGOSTO!V101+SEPTIEMBRE!AL101</f>
        <v>0</v>
      </c>
      <c r="W101" s="17">
        <f>AGOSTO!W101+SEPTIEMBRE!AM101</f>
        <v>0</v>
      </c>
      <c r="X101" s="20">
        <f t="shared" si="94"/>
        <v>45114940</v>
      </c>
      <c r="Y101" s="21">
        <f>AGOSTO!AA101</f>
        <v>24919202</v>
      </c>
      <c r="Z101" s="457">
        <v>3028502</v>
      </c>
      <c r="AA101" s="20">
        <f t="shared" si="95"/>
        <v>27947704</v>
      </c>
      <c r="AB101" s="21">
        <f>AGOSTO!AD101</f>
        <v>24919202</v>
      </c>
      <c r="AC101" s="457">
        <v>3028502</v>
      </c>
      <c r="AD101" s="20">
        <f t="shared" si="96"/>
        <v>27947704</v>
      </c>
      <c r="AE101" s="21">
        <f>AGOSTO!AG101</f>
        <v>21743100</v>
      </c>
      <c r="AF101" s="457">
        <v>3176102</v>
      </c>
      <c r="AG101" s="20">
        <f t="shared" si="97"/>
        <v>24919202</v>
      </c>
      <c r="AH101" s="21">
        <f t="shared" si="98"/>
        <v>17167236</v>
      </c>
      <c r="AI101" s="17">
        <f t="shared" si="99"/>
        <v>17167236</v>
      </c>
      <c r="AJ101" s="18">
        <f t="shared" si="100"/>
        <v>20195738</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+IF(AGOSTO!A102=0,"",AGOSTO!A102)</f>
        <v>11303-3</v>
      </c>
      <c r="B102" s="59" t="str">
        <f>+IF(AGOSTO!B102=0,"",AGOSTO!B102)</f>
        <v>MUNICIPIO</v>
      </c>
      <c r="C102" s="574">
        <f>+ENERO!C102</f>
        <v>0</v>
      </c>
      <c r="D102" s="574">
        <f>AGOSTO!D102+SEPTIEMBRE!P102</f>
        <v>0</v>
      </c>
      <c r="E102" s="574">
        <f>AGOSTO!E102+SEPTIEMBRE!Q102</f>
        <v>0</v>
      </c>
      <c r="F102" s="575">
        <f t="shared" si="102"/>
        <v>0</v>
      </c>
      <c r="G102" s="576">
        <f>AGOSTO!I102</f>
        <v>0</v>
      </c>
      <c r="H102" s="457">
        <v>0</v>
      </c>
      <c r="I102" s="575">
        <f t="shared" si="103"/>
        <v>0</v>
      </c>
      <c r="J102" s="576">
        <f>AGOSTO!L102</f>
        <v>0</v>
      </c>
      <c r="K102" s="457">
        <v>0</v>
      </c>
      <c r="L102" s="575">
        <f t="shared" si="104"/>
        <v>0</v>
      </c>
      <c r="M102" s="576">
        <f t="shared" si="105"/>
        <v>0</v>
      </c>
      <c r="N102" s="575">
        <f t="shared" si="106"/>
        <v>0</v>
      </c>
      <c r="O102" s="562"/>
      <c r="P102" s="455">
        <v>0</v>
      </c>
      <c r="Q102" s="458">
        <v>0</v>
      </c>
      <c r="R102" s="10"/>
      <c r="S102" s="155">
        <f>+IF(AGOSTO!S102=0,"",AGOSTO!S102)</f>
        <v>1020399</v>
      </c>
      <c r="T102" s="159" t="str">
        <f>+IF(AGOSTO!T102=0,"",AGOSTO!T102)</f>
        <v>Vigencias Anteriores</v>
      </c>
      <c r="U102" s="29">
        <f>+ENERO!U102</f>
        <v>0</v>
      </c>
      <c r="V102" s="17">
        <f>AGOSTO!V102+SEPTIEMBRE!AL102</f>
        <v>0</v>
      </c>
      <c r="W102" s="17">
        <f>AGOSTO!W102+SEPTIEMBRE!AM102</f>
        <v>5352587</v>
      </c>
      <c r="X102" s="20">
        <f t="shared" si="94"/>
        <v>5352587</v>
      </c>
      <c r="Y102" s="21">
        <f>AGOSTO!AA102</f>
        <v>5352587</v>
      </c>
      <c r="Z102" s="457">
        <v>0</v>
      </c>
      <c r="AA102" s="20">
        <f t="shared" si="95"/>
        <v>5352587</v>
      </c>
      <c r="AB102" s="21">
        <f>AGOSTO!AD102</f>
        <v>5352587</v>
      </c>
      <c r="AC102" s="457">
        <v>0</v>
      </c>
      <c r="AD102" s="20">
        <f t="shared" si="96"/>
        <v>5352587</v>
      </c>
      <c r="AE102" s="21">
        <f>AGOSTO!AG102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+IF(AGOSTO!A103=0,"",AGOSTO!A103)</f>
        <v>11303-4</v>
      </c>
      <c r="B103" s="59" t="str">
        <f>+IF(AGOSTO!B103=0,"",AGOSTO!B103)</f>
        <v>CONVENIOS (EMPRESTITO)</v>
      </c>
      <c r="C103" s="574">
        <f>+ENERO!C103</f>
        <v>0</v>
      </c>
      <c r="D103" s="574">
        <f>AGOSTO!D103+SEPTIEMBRE!P103</f>
        <v>0</v>
      </c>
      <c r="E103" s="574">
        <f>AGOSTO!E103+SEPTIEMBRE!Q103</f>
        <v>0</v>
      </c>
      <c r="F103" s="575">
        <f t="shared" si="102"/>
        <v>0</v>
      </c>
      <c r="G103" s="576">
        <f>AGOSTO!I103</f>
        <v>0</v>
      </c>
      <c r="H103" s="457">
        <v>0</v>
      </c>
      <c r="I103" s="575">
        <f t="shared" si="103"/>
        <v>0</v>
      </c>
      <c r="J103" s="576">
        <f>AGOSTO!L103</f>
        <v>0</v>
      </c>
      <c r="K103" s="457">
        <v>0</v>
      </c>
      <c r="L103" s="575">
        <f t="shared" si="104"/>
        <v>0</v>
      </c>
      <c r="M103" s="576">
        <f t="shared" si="105"/>
        <v>0</v>
      </c>
      <c r="N103" s="575">
        <f t="shared" si="106"/>
        <v>0</v>
      </c>
      <c r="O103" s="562"/>
      <c r="P103" s="455">
        <v>0</v>
      </c>
      <c r="Q103" s="458">
        <v>0</v>
      </c>
      <c r="R103" s="10"/>
      <c r="S103" s="448" t="str">
        <f>+IF(AGOSTO!S103=0,"",AGOSTO!S103)</f>
        <v/>
      </c>
      <c r="T103" s="649" t="str">
        <f>+IF(AGOSTO!T103=0,"",AGOSTO!T103)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+IF(AGOSTO!A104=0,"",AGOSTO!A104)</f>
        <v>11303-5</v>
      </c>
      <c r="B104" s="59" t="str">
        <f>+IF(AGOSTO!B104=0,"",AGOSTO!B104)</f>
        <v>OTROS CONVENIOS</v>
      </c>
      <c r="C104" s="574">
        <f>+ENERO!C104</f>
        <v>0</v>
      </c>
      <c r="D104" s="574">
        <f>AGOSTO!D104+SEPTIEMBRE!P104</f>
        <v>0</v>
      </c>
      <c r="E104" s="574">
        <f>AGOSTO!E104+SEPTIEMBRE!Q104</f>
        <v>0</v>
      </c>
      <c r="F104" s="575">
        <f t="shared" si="102"/>
        <v>0</v>
      </c>
      <c r="G104" s="576">
        <f>AGOSTO!I104</f>
        <v>0</v>
      </c>
      <c r="H104" s="457">
        <v>0</v>
      </c>
      <c r="I104" s="575">
        <f t="shared" si="103"/>
        <v>0</v>
      </c>
      <c r="J104" s="576">
        <f>AGOSTO!L104</f>
        <v>0</v>
      </c>
      <c r="K104" s="457">
        <v>0</v>
      </c>
      <c r="L104" s="575">
        <f t="shared" si="104"/>
        <v>0</v>
      </c>
      <c r="M104" s="576">
        <f t="shared" si="105"/>
        <v>0</v>
      </c>
      <c r="N104" s="575">
        <f t="shared" si="106"/>
        <v>0</v>
      </c>
      <c r="O104" s="562"/>
      <c r="P104" s="455">
        <v>0</v>
      </c>
      <c r="Q104" s="458">
        <v>0</v>
      </c>
      <c r="R104" s="10"/>
      <c r="S104" s="34">
        <f>+IF(AGOSTO!S104=0,"",AGOSTO!S104)</f>
        <v>1020400</v>
      </c>
      <c r="T104" s="158" t="str">
        <f>+IF(AGOSTO!T104=0,"",AGOSTO!T104)</f>
        <v>Contribuciones Inherentes nómina del Sector Publico</v>
      </c>
      <c r="U104" s="157">
        <f t="shared" ref="U104:AJ104" si="107">U105+U108</f>
        <v>56393675</v>
      </c>
      <c r="V104" s="144">
        <f t="shared" si="107"/>
        <v>0</v>
      </c>
      <c r="W104" s="144">
        <f t="shared" si="107"/>
        <v>0</v>
      </c>
      <c r="X104" s="152">
        <f t="shared" si="107"/>
        <v>56393675</v>
      </c>
      <c r="Y104" s="151">
        <f t="shared" si="107"/>
        <v>31710814</v>
      </c>
      <c r="Z104" s="144">
        <f t="shared" si="107"/>
        <v>3930514</v>
      </c>
      <c r="AA104" s="152">
        <f t="shared" si="107"/>
        <v>35641328</v>
      </c>
      <c r="AB104" s="151">
        <f t="shared" si="107"/>
        <v>31710814</v>
      </c>
      <c r="AC104" s="144">
        <f t="shared" si="107"/>
        <v>3930514</v>
      </c>
      <c r="AD104" s="152">
        <f t="shared" si="107"/>
        <v>35641328</v>
      </c>
      <c r="AE104" s="151">
        <f t="shared" si="107"/>
        <v>27594400</v>
      </c>
      <c r="AF104" s="144">
        <f t="shared" si="107"/>
        <v>4116414</v>
      </c>
      <c r="AG104" s="152">
        <f t="shared" si="107"/>
        <v>31710814</v>
      </c>
      <c r="AH104" s="151">
        <f t="shared" si="107"/>
        <v>20752347</v>
      </c>
      <c r="AI104" s="144">
        <f t="shared" si="107"/>
        <v>20752347</v>
      </c>
      <c r="AJ104" s="153">
        <f t="shared" si="107"/>
        <v>24682861</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+IF(AGOSTO!A105=0,"",AGOSTO!A105)</f>
        <v>11303-6</v>
      </c>
      <c r="B105" s="59" t="str">
        <f>+IF(AGOSTO!B105=0,"",AGOSTO!B105)</f>
        <v>APORTES PATRONALES MUNICIPIO / DEPARTAMENTO</v>
      </c>
      <c r="C105" s="574">
        <f>+ENERO!C105</f>
        <v>0</v>
      </c>
      <c r="D105" s="574">
        <f>AGOSTO!D105+SEPTIEMBRE!P105</f>
        <v>227076373</v>
      </c>
      <c r="E105" s="574">
        <f>AGOSTO!E105+SEPTIEMBRE!Q105</f>
        <v>25449068</v>
      </c>
      <c r="F105" s="575">
        <f t="shared" si="102"/>
        <v>252525441</v>
      </c>
      <c r="G105" s="576">
        <f>AGOSTO!I105</f>
        <v>168350259</v>
      </c>
      <c r="H105" s="457">
        <v>21043787</v>
      </c>
      <c r="I105" s="575">
        <f t="shared" si="103"/>
        <v>189394046</v>
      </c>
      <c r="J105" s="576">
        <f>AGOSTO!L105</f>
        <v>168350259</v>
      </c>
      <c r="K105" s="457">
        <v>21043787</v>
      </c>
      <c r="L105" s="575">
        <f t="shared" si="104"/>
        <v>189394046</v>
      </c>
      <c r="M105" s="576">
        <f t="shared" si="105"/>
        <v>63131395</v>
      </c>
      <c r="N105" s="575">
        <f t="shared" si="106"/>
        <v>63131395</v>
      </c>
      <c r="O105" s="562"/>
      <c r="P105" s="455">
        <v>0</v>
      </c>
      <c r="Q105" s="458">
        <v>0</v>
      </c>
      <c r="R105" s="10"/>
      <c r="S105" s="155">
        <f>+IF(AGOSTO!S105=0,"",AGOSTO!S105)</f>
        <v>1020402</v>
      </c>
      <c r="T105" s="159" t="str">
        <f>+IF(AGOSTO!T105=0,"",AGOSTO!T105)</f>
        <v>Contribuciones - Otros</v>
      </c>
      <c r="U105" s="29">
        <f t="shared" ref="U105:AJ105" si="108">SUM(U106:U107)</f>
        <v>56393675</v>
      </c>
      <c r="V105" s="17">
        <f t="shared" si="108"/>
        <v>0</v>
      </c>
      <c r="W105" s="17">
        <f t="shared" si="108"/>
        <v>0</v>
      </c>
      <c r="X105" s="20">
        <f t="shared" si="108"/>
        <v>56393675</v>
      </c>
      <c r="Y105" s="21">
        <f t="shared" si="108"/>
        <v>31710814</v>
      </c>
      <c r="Z105" s="169">
        <f t="shared" si="108"/>
        <v>3930514</v>
      </c>
      <c r="AA105" s="20">
        <f t="shared" si="108"/>
        <v>35641328</v>
      </c>
      <c r="AB105" s="21">
        <f t="shared" si="108"/>
        <v>31710814</v>
      </c>
      <c r="AC105" s="169">
        <f t="shared" si="108"/>
        <v>3930514</v>
      </c>
      <c r="AD105" s="20">
        <f t="shared" si="108"/>
        <v>35641328</v>
      </c>
      <c r="AE105" s="21">
        <f t="shared" si="108"/>
        <v>27594400</v>
      </c>
      <c r="AF105" s="169">
        <f t="shared" si="108"/>
        <v>4116414</v>
      </c>
      <c r="AG105" s="20">
        <f t="shared" si="108"/>
        <v>31710814</v>
      </c>
      <c r="AH105" s="21">
        <f t="shared" si="108"/>
        <v>20752347</v>
      </c>
      <c r="AI105" s="17">
        <f t="shared" si="108"/>
        <v>20752347</v>
      </c>
      <c r="AJ105" s="18">
        <f t="shared" si="108"/>
        <v>24682861</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+IF(AGOSTO!A106=0,"",AGOSTO!A106)</f>
        <v>11303-5</v>
      </c>
      <c r="B106" s="578" t="str">
        <f>+IF(AGOSTO!B106=0,"",AGOSTO!B106)</f>
        <v>Vigencias Anteriores</v>
      </c>
      <c r="C106" s="564">
        <f>+ENERO!C106</f>
        <v>0</v>
      </c>
      <c r="D106" s="564">
        <f>AGOSTO!D106+SEPTIEMBRE!P106</f>
        <v>0</v>
      </c>
      <c r="E106" s="564">
        <f>AGOSTO!E106+SEPTIEMBRE!Q106</f>
        <v>0</v>
      </c>
      <c r="F106" s="565">
        <f t="shared" si="102"/>
        <v>0</v>
      </c>
      <c r="G106" s="566">
        <f>AGOSTO!I106</f>
        <v>0</v>
      </c>
      <c r="H106" s="475">
        <v>0</v>
      </c>
      <c r="I106" s="565">
        <f t="shared" si="103"/>
        <v>0</v>
      </c>
      <c r="J106" s="566">
        <f>AGOSTO!L106</f>
        <v>0</v>
      </c>
      <c r="K106" s="475">
        <v>0</v>
      </c>
      <c r="L106" s="565">
        <f t="shared" si="104"/>
        <v>0</v>
      </c>
      <c r="M106" s="566">
        <f t="shared" si="105"/>
        <v>0</v>
      </c>
      <c r="N106" s="565">
        <f t="shared" si="106"/>
        <v>0</v>
      </c>
      <c r="O106" s="562"/>
      <c r="P106" s="471">
        <v>0</v>
      </c>
      <c r="Q106" s="476">
        <v>0</v>
      </c>
      <c r="R106" s="10"/>
      <c r="S106" s="156" t="str">
        <f>+IF(AGOSTO!S106=0,"",AGOSTO!S106)</f>
        <v>1020402-1</v>
      </c>
      <c r="T106" s="55" t="str">
        <f>+IF(AGOSTO!T106=0,"",AGOSTO!T106)</f>
        <v>S.E.N.A.</v>
      </c>
      <c r="U106" s="29">
        <f>+ENERO!U106</f>
        <v>22557470</v>
      </c>
      <c r="V106" s="17">
        <f>AGOSTO!V106+SEPTIEMBRE!AL106</f>
        <v>0</v>
      </c>
      <c r="W106" s="17">
        <f>AGOSTO!W106+SEPTIEMBRE!AM106</f>
        <v>0</v>
      </c>
      <c r="X106" s="20">
        <f>SUM(U106:W106)</f>
        <v>22557470</v>
      </c>
      <c r="Y106" s="21">
        <f>AGOSTO!AA106</f>
        <v>12730183</v>
      </c>
      <c r="Z106" s="457">
        <v>1576083</v>
      </c>
      <c r="AA106" s="20">
        <f>SUM(Y106:Z106)</f>
        <v>14306266</v>
      </c>
      <c r="AB106" s="21">
        <f>AGOSTO!AD106</f>
        <v>12730183</v>
      </c>
      <c r="AC106" s="457">
        <v>1576083</v>
      </c>
      <c r="AD106" s="20">
        <f>SUM(AB106:AC106)</f>
        <v>14306266</v>
      </c>
      <c r="AE106" s="21">
        <f>AGOSTO!AG106</f>
        <v>11079100</v>
      </c>
      <c r="AF106" s="457">
        <v>1651083</v>
      </c>
      <c r="AG106" s="20">
        <f>SUM(AE106:AF106)</f>
        <v>12730183</v>
      </c>
      <c r="AH106" s="21">
        <f>X106-AA106</f>
        <v>8251204</v>
      </c>
      <c r="AI106" s="17">
        <f>X106-AD106</f>
        <v>8251204</v>
      </c>
      <c r="AJ106" s="18">
        <f>X106-AG106</f>
        <v>9827287</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+IF(AGOSTO!S107=0,"",AGOSTO!S107)</f>
        <v>1020402-2</v>
      </c>
      <c r="T107" s="55" t="str">
        <f>+IF(AGOSTO!T107=0,"",AGOSTO!T107)</f>
        <v>I.C.B.F.</v>
      </c>
      <c r="U107" s="29">
        <f>+ENERO!U107</f>
        <v>33836205</v>
      </c>
      <c r="V107" s="17">
        <f>AGOSTO!V107+SEPTIEMBRE!AL107</f>
        <v>0</v>
      </c>
      <c r="W107" s="17">
        <f>AGOSTO!W107+SEPTIEMBRE!AM107</f>
        <v>0</v>
      </c>
      <c r="X107" s="20">
        <f>SUM(U107:W107)</f>
        <v>33836205</v>
      </c>
      <c r="Y107" s="21">
        <f>AGOSTO!AA107</f>
        <v>18980631</v>
      </c>
      <c r="Z107" s="457">
        <v>2354431</v>
      </c>
      <c r="AA107" s="20">
        <f>SUM(Y107:Z107)</f>
        <v>21335062</v>
      </c>
      <c r="AB107" s="21">
        <f>AGOSTO!AD107</f>
        <v>18980631</v>
      </c>
      <c r="AC107" s="457">
        <v>2354431</v>
      </c>
      <c r="AD107" s="20">
        <f>SUM(AB107:AC107)</f>
        <v>21335062</v>
      </c>
      <c r="AE107" s="21">
        <f>AGOSTO!AG107</f>
        <v>16515300</v>
      </c>
      <c r="AF107" s="457">
        <v>2465331</v>
      </c>
      <c r="AG107" s="20">
        <f>SUM(AE107:AF107)</f>
        <v>18980631</v>
      </c>
      <c r="AH107" s="21">
        <f>X107-AA107</f>
        <v>12501143</v>
      </c>
      <c r="AI107" s="17">
        <f>X107-AD107</f>
        <v>12501143</v>
      </c>
      <c r="AJ107" s="18">
        <f>X107-AG107</f>
        <v>14855574</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703">
        <f>+IF(AGOSTO!A108=0,"",AGOSTO!A108)</f>
        <v>2000</v>
      </c>
      <c r="B108" s="704" t="str">
        <f>+IF(AGOSTO!B108=0,"",AGOSTO!B108)</f>
        <v>INGRESOS DE CAPITAL</v>
      </c>
      <c r="C108" s="215">
        <f t="shared" ref="C108:N108" si="109">SUM(C109:C117)</f>
        <v>1452387</v>
      </c>
      <c r="D108" s="435">
        <f t="shared" si="109"/>
        <v>0</v>
      </c>
      <c r="E108" s="435">
        <f t="shared" si="109"/>
        <v>149110140</v>
      </c>
      <c r="F108" s="216">
        <f t="shared" si="109"/>
        <v>150562527</v>
      </c>
      <c r="G108" s="215">
        <f t="shared" si="109"/>
        <v>2738709</v>
      </c>
      <c r="H108" s="435">
        <f t="shared" si="109"/>
        <v>142565617</v>
      </c>
      <c r="I108" s="216">
        <f t="shared" si="109"/>
        <v>145304326</v>
      </c>
      <c r="J108" s="215">
        <f t="shared" si="109"/>
        <v>2738709</v>
      </c>
      <c r="K108" s="435">
        <f t="shared" si="109"/>
        <v>142565617</v>
      </c>
      <c r="L108" s="216">
        <f t="shared" si="109"/>
        <v>145304326</v>
      </c>
      <c r="M108" s="215">
        <f t="shared" si="109"/>
        <v>5258201</v>
      </c>
      <c r="N108" s="216">
        <f t="shared" si="109"/>
        <v>5258201</v>
      </c>
      <c r="O108" s="562"/>
      <c r="P108" s="215">
        <f>SUM(P109:P117)</f>
        <v>0</v>
      </c>
      <c r="Q108" s="216">
        <f>SUM(Q109:Q117)</f>
        <v>0</v>
      </c>
      <c r="R108" s="10"/>
      <c r="S108" s="155">
        <f>+IF(AGOSTO!S108=0,"",AGOSTO!S108)</f>
        <v>1020499</v>
      </c>
      <c r="T108" s="159" t="str">
        <f>+IF(AGOSTO!T108=0,"",AGOSTO!T108)</f>
        <v>Vigencias Anteriores</v>
      </c>
      <c r="U108" s="29">
        <f>+ENERO!U108</f>
        <v>0</v>
      </c>
      <c r="V108" s="17">
        <f>AGOSTO!V108+SEPTIEMBRE!AL108</f>
        <v>0</v>
      </c>
      <c r="W108" s="17">
        <f>AGOSTO!W108+SEPTIEMBRE!AM108</f>
        <v>0</v>
      </c>
      <c r="X108" s="20">
        <f>SUM(U108:W108)</f>
        <v>0</v>
      </c>
      <c r="Y108" s="21">
        <f>AGOSTO!AA108</f>
        <v>0</v>
      </c>
      <c r="Z108" s="457">
        <v>0</v>
      </c>
      <c r="AA108" s="20">
        <f>SUM(Y108:Z108)</f>
        <v>0</v>
      </c>
      <c r="AB108" s="21">
        <f>AGOSTO!AD108</f>
        <v>0</v>
      </c>
      <c r="AC108" s="457">
        <v>0</v>
      </c>
      <c r="AD108" s="20">
        <f>SUM(AB108:AC108)</f>
        <v>0</v>
      </c>
      <c r="AE108" s="21">
        <f>AGOSTO!AG108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+IF(AGOSTO!A109=0,"",AGOSTO!A109)</f>
        <v>2100</v>
      </c>
      <c r="B109" s="56" t="str">
        <f>+IF(AGOSTO!B109=0,"",AGOSTO!B109)</f>
        <v>CREDITO INTERNO</v>
      </c>
      <c r="C109" s="576">
        <f>+ENERO!C109</f>
        <v>0</v>
      </c>
      <c r="D109" s="574">
        <f>AGOSTO!D109+SEPTIEMBRE!P109</f>
        <v>0</v>
      </c>
      <c r="E109" s="574">
        <f>AGOSTO!E109+SEPTIEMBRE!Q109</f>
        <v>0</v>
      </c>
      <c r="F109" s="575">
        <f t="shared" ref="F109:F116" si="110">SUM(C109:E109)</f>
        <v>0</v>
      </c>
      <c r="G109" s="576">
        <f>AGOSTO!I109</f>
        <v>0</v>
      </c>
      <c r="H109" s="457">
        <v>0</v>
      </c>
      <c r="I109" s="575">
        <f t="shared" ref="I109:I116" si="111">SUM(G109:H109)</f>
        <v>0</v>
      </c>
      <c r="J109" s="576">
        <f>AGOSTO!L109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+IF(AGOSTO!S109=0,"",AGOSTO!S109)</f>
        <v/>
      </c>
      <c r="T109" s="649" t="str">
        <f>+IF(AGOSTO!T109=0,"",AGOSTO!T109)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+IF(AGOSTO!A110=0,"",AGOSTO!A110)</f>
        <v>2100-1</v>
      </c>
      <c r="B110" s="705" t="s">
        <v>482</v>
      </c>
      <c r="C110" s="576">
        <f>+ENERO!C110</f>
        <v>0</v>
      </c>
      <c r="D110" s="574">
        <f>AGOSTO!D110+SEPTIEMBRE!P110</f>
        <v>0</v>
      </c>
      <c r="E110" s="574">
        <f>AGOSTO!E110+SEPTIEMBRE!Q110</f>
        <v>0</v>
      </c>
      <c r="F110" s="575">
        <f t="shared" si="110"/>
        <v>0</v>
      </c>
      <c r="G110" s="576">
        <f>AGOSTO!I110</f>
        <v>0</v>
      </c>
      <c r="H110" s="457">
        <v>0</v>
      </c>
      <c r="I110" s="575">
        <f t="shared" si="111"/>
        <v>0</v>
      </c>
      <c r="J110" s="576">
        <f>AGOSTO!L110</f>
        <v>0</v>
      </c>
      <c r="K110" s="457">
        <v>0</v>
      </c>
      <c r="L110" s="575">
        <f t="shared" si="112"/>
        <v>0</v>
      </c>
      <c r="M110" s="576">
        <f t="shared" si="113"/>
        <v>0</v>
      </c>
      <c r="N110" s="575">
        <f t="shared" si="114"/>
        <v>0</v>
      </c>
      <c r="O110" s="562"/>
      <c r="P110" s="455">
        <v>0</v>
      </c>
      <c r="Q110" s="458">
        <v>0</v>
      </c>
      <c r="R110" s="10"/>
      <c r="S110" s="469">
        <f>+IF(AGOSTO!S110=0,"",AGOSTO!S110)</f>
        <v>2000000</v>
      </c>
      <c r="T110" s="588" t="str">
        <f>+IF(AGOSTO!T110=0,"",AGOSTO!T110)</f>
        <v>GASTOS GENERALES</v>
      </c>
      <c r="U110" s="589">
        <f t="shared" ref="U110:AJ110" si="115">U112+U145</f>
        <v>576550123</v>
      </c>
      <c r="V110" s="590">
        <f t="shared" si="115"/>
        <v>-746499</v>
      </c>
      <c r="W110" s="590">
        <f t="shared" si="115"/>
        <v>84451005</v>
      </c>
      <c r="X110" s="591">
        <f t="shared" si="115"/>
        <v>660254629</v>
      </c>
      <c r="Y110" s="464">
        <f t="shared" si="115"/>
        <v>459798920</v>
      </c>
      <c r="Z110" s="590">
        <f t="shared" si="115"/>
        <v>41038616</v>
      </c>
      <c r="AA110" s="591">
        <f t="shared" si="115"/>
        <v>500837536</v>
      </c>
      <c r="AB110" s="464">
        <f t="shared" si="115"/>
        <v>459798918</v>
      </c>
      <c r="AC110" s="590">
        <f t="shared" si="115"/>
        <v>40768616</v>
      </c>
      <c r="AD110" s="591">
        <f t="shared" si="115"/>
        <v>500567534</v>
      </c>
      <c r="AE110" s="464">
        <f t="shared" si="115"/>
        <v>388602610</v>
      </c>
      <c r="AF110" s="590">
        <f t="shared" si="115"/>
        <v>52127556</v>
      </c>
      <c r="AG110" s="591">
        <f t="shared" si="115"/>
        <v>440730166</v>
      </c>
      <c r="AH110" s="464">
        <f t="shared" si="115"/>
        <v>159417093</v>
      </c>
      <c r="AI110" s="590">
        <f t="shared" si="115"/>
        <v>159687095</v>
      </c>
      <c r="AJ110" s="465">
        <f t="shared" si="115"/>
        <v>219524463</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+IF(AGOSTO!A111=0,"",AGOSTO!A111)</f>
        <v>2200</v>
      </c>
      <c r="B111" s="56" t="str">
        <f>+IF(AGOSTO!B111=0,"",AGOSTO!B111)</f>
        <v>CREDITO EXTERNO</v>
      </c>
      <c r="C111" s="576">
        <f>+ENERO!C111</f>
        <v>0</v>
      </c>
      <c r="D111" s="574">
        <f>AGOSTO!D111+SEPTIEMBRE!P111</f>
        <v>0</v>
      </c>
      <c r="E111" s="574">
        <f>AGOSTO!E111+SEPTIEMBRE!Q111</f>
        <v>0</v>
      </c>
      <c r="F111" s="575">
        <f t="shared" si="110"/>
        <v>0</v>
      </c>
      <c r="G111" s="576">
        <f>AGOSTO!I111</f>
        <v>0</v>
      </c>
      <c r="H111" s="457">
        <v>0</v>
      </c>
      <c r="I111" s="575">
        <f t="shared" si="111"/>
        <v>0</v>
      </c>
      <c r="J111" s="576">
        <f>AGOSTO!L111</f>
        <v>0</v>
      </c>
      <c r="K111" s="457">
        <v>0</v>
      </c>
      <c r="L111" s="575">
        <f t="shared" si="112"/>
        <v>0</v>
      </c>
      <c r="M111" s="576">
        <f t="shared" si="113"/>
        <v>0</v>
      </c>
      <c r="N111" s="575">
        <f t="shared" si="114"/>
        <v>0</v>
      </c>
      <c r="O111" s="562"/>
      <c r="P111" s="455">
        <v>0</v>
      </c>
      <c r="Q111" s="458">
        <v>0</v>
      </c>
      <c r="R111" s="10"/>
      <c r="S111" s="448" t="str">
        <f>+IF(AGOSTO!S111=0,"",AGOSTO!S111)</f>
        <v/>
      </c>
      <c r="T111" s="649" t="str">
        <f>+IF(AGOSTO!T111=0,"",AGOSTO!T111)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+IF(AGOSTO!A112=0,"",AGOSTO!A112)</f>
        <v>2200-1</v>
      </c>
      <c r="B112" s="705" t="s">
        <v>482</v>
      </c>
      <c r="C112" s="576">
        <f>+ENERO!C112</f>
        <v>0</v>
      </c>
      <c r="D112" s="574">
        <f>AGOSTO!D112+SEPTIEMBRE!P112</f>
        <v>0</v>
      </c>
      <c r="E112" s="574">
        <f>AGOSTO!E112+SEPTIEMBRE!Q112</f>
        <v>0</v>
      </c>
      <c r="F112" s="575">
        <f t="shared" si="110"/>
        <v>0</v>
      </c>
      <c r="G112" s="576">
        <f>AGOSTO!I112</f>
        <v>0</v>
      </c>
      <c r="H112" s="457">
        <v>0</v>
      </c>
      <c r="I112" s="575">
        <f t="shared" si="111"/>
        <v>0</v>
      </c>
      <c r="J112" s="576">
        <f>AGOSTO!L112</f>
        <v>0</v>
      </c>
      <c r="K112" s="457">
        <v>0</v>
      </c>
      <c r="L112" s="575">
        <f t="shared" si="112"/>
        <v>0</v>
      </c>
      <c r="M112" s="576">
        <f t="shared" si="113"/>
        <v>0</v>
      </c>
      <c r="N112" s="575">
        <f t="shared" si="114"/>
        <v>0</v>
      </c>
      <c r="O112" s="562"/>
      <c r="P112" s="455">
        <v>0</v>
      </c>
      <c r="Q112" s="458">
        <v>0</v>
      </c>
      <c r="R112" s="10"/>
      <c r="S112" s="469">
        <f>+IF(AGOSTO!S112=0,"",AGOSTO!S112)</f>
        <v>2010000</v>
      </c>
      <c r="T112" s="470" t="str">
        <f>+IF(AGOSTO!T112=0,"",AGOSTO!T112)</f>
        <v>Gastos de Administración</v>
      </c>
      <c r="U112" s="157">
        <f t="shared" ref="U112:AJ112" si="116">U114+U123+U141</f>
        <v>198386660</v>
      </c>
      <c r="V112" s="144">
        <f t="shared" si="116"/>
        <v>0</v>
      </c>
      <c r="W112" s="144">
        <f t="shared" si="116"/>
        <v>6463473</v>
      </c>
      <c r="X112" s="152">
        <f t="shared" si="116"/>
        <v>204850133</v>
      </c>
      <c r="Y112" s="151">
        <f t="shared" si="116"/>
        <v>157919427</v>
      </c>
      <c r="Z112" s="144">
        <f t="shared" si="116"/>
        <v>16186867</v>
      </c>
      <c r="AA112" s="152">
        <f t="shared" si="116"/>
        <v>174106294</v>
      </c>
      <c r="AB112" s="151">
        <f t="shared" si="116"/>
        <v>157919425</v>
      </c>
      <c r="AC112" s="144">
        <f t="shared" si="116"/>
        <v>16186867</v>
      </c>
      <c r="AD112" s="152">
        <f t="shared" si="116"/>
        <v>174106292</v>
      </c>
      <c r="AE112" s="151">
        <f t="shared" si="116"/>
        <v>153041525</v>
      </c>
      <c r="AF112" s="144">
        <f t="shared" si="116"/>
        <v>13027837</v>
      </c>
      <c r="AG112" s="152">
        <f t="shared" si="116"/>
        <v>166069362</v>
      </c>
      <c r="AH112" s="151">
        <f t="shared" si="116"/>
        <v>30743839</v>
      </c>
      <c r="AI112" s="144">
        <f t="shared" si="116"/>
        <v>30743841</v>
      </c>
      <c r="AJ112" s="153">
        <f t="shared" si="116"/>
        <v>38780771</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+IF(AGOSTO!A113=0,"",AGOSTO!A113)</f>
        <v>2300</v>
      </c>
      <c r="B113" s="56" t="str">
        <f>+IF(AGOSTO!B113=0,"",AGOSTO!B113)</f>
        <v>RENDIMIENTOS FINANCIEROS</v>
      </c>
      <c r="C113" s="576">
        <f>+ENERO!C113</f>
        <v>305317</v>
      </c>
      <c r="D113" s="574">
        <f>AGOSTO!D113+SEPTIEMBRE!P113</f>
        <v>0</v>
      </c>
      <c r="E113" s="574">
        <f>AGOSTO!E113+SEPTIEMBRE!Q113</f>
        <v>0</v>
      </c>
      <c r="F113" s="575">
        <f t="shared" si="110"/>
        <v>305317</v>
      </c>
      <c r="G113" s="576">
        <f>AGOSTO!I113</f>
        <v>644803</v>
      </c>
      <c r="H113" s="457">
        <v>29929</v>
      </c>
      <c r="I113" s="575">
        <f t="shared" si="111"/>
        <v>674732</v>
      </c>
      <c r="J113" s="576">
        <f>AGOSTO!L113</f>
        <v>644803</v>
      </c>
      <c r="K113" s="457">
        <v>29929</v>
      </c>
      <c r="L113" s="575">
        <f t="shared" si="112"/>
        <v>674732</v>
      </c>
      <c r="M113" s="576">
        <f t="shared" si="113"/>
        <v>-369415</v>
      </c>
      <c r="N113" s="575">
        <f t="shared" si="114"/>
        <v>-369415</v>
      </c>
      <c r="O113" s="562"/>
      <c r="P113" s="455">
        <v>0</v>
      </c>
      <c r="Q113" s="458">
        <v>0</v>
      </c>
      <c r="R113" s="10"/>
      <c r="S113" s="448" t="str">
        <f>+IF(AGOSTO!S113=0,"",AGOSTO!S113)</f>
        <v/>
      </c>
      <c r="T113" s="649" t="str">
        <f>+IF(AGOSTO!T113=0,"",AGOSTO!T113)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7">
        <f>+IF(AGOSTO!A114=0,"",AGOSTO!A114)</f>
        <v>2400</v>
      </c>
      <c r="B114" s="56" t="str">
        <f>+IF(AGOSTO!B114=0,"",AGOSTO!B114)</f>
        <v>VENTA DE ACTIVOS</v>
      </c>
      <c r="C114" s="283">
        <f>+ENERO!C114</f>
        <v>0</v>
      </c>
      <c r="D114" s="456">
        <f>AGOSTO!D114+SEPTIEMBRE!P114</f>
        <v>0</v>
      </c>
      <c r="E114" s="456">
        <f>AGOSTO!E114+SEPTIEMBRE!Q114</f>
        <v>0</v>
      </c>
      <c r="F114" s="170">
        <f t="shared" si="110"/>
        <v>0</v>
      </c>
      <c r="G114" s="283">
        <f>AGOSTO!I114</f>
        <v>0</v>
      </c>
      <c r="H114" s="457">
        <v>0</v>
      </c>
      <c r="I114" s="170">
        <f t="shared" si="111"/>
        <v>0</v>
      </c>
      <c r="J114" s="283">
        <f>AGOSTO!L114</f>
        <v>0</v>
      </c>
      <c r="K114" s="457">
        <v>0</v>
      </c>
      <c r="L114" s="170">
        <f t="shared" si="112"/>
        <v>0</v>
      </c>
      <c r="M114" s="283">
        <f t="shared" si="113"/>
        <v>0</v>
      </c>
      <c r="N114" s="170">
        <f t="shared" si="114"/>
        <v>0</v>
      </c>
      <c r="O114" s="562"/>
      <c r="P114" s="455">
        <v>0</v>
      </c>
      <c r="Q114" s="458">
        <v>0</v>
      </c>
      <c r="R114" s="10"/>
      <c r="S114" s="34">
        <f>+IF(AGOSTO!S114=0,"",AGOSTO!S114)</f>
        <v>2010100</v>
      </c>
      <c r="T114" s="158" t="str">
        <f>+IF(AGOSTO!T114=0,"",AGOSTO!T114)</f>
        <v>Adquisición de bienes</v>
      </c>
      <c r="U114" s="157">
        <f t="shared" ref="U114:AJ114" si="117">SUM(U115:U121)</f>
        <v>67419307</v>
      </c>
      <c r="V114" s="144">
        <f t="shared" si="117"/>
        <v>0</v>
      </c>
      <c r="W114" s="144">
        <f t="shared" si="117"/>
        <v>1397432</v>
      </c>
      <c r="X114" s="152">
        <f t="shared" si="117"/>
        <v>68816739</v>
      </c>
      <c r="Y114" s="151">
        <f t="shared" si="117"/>
        <v>67097917</v>
      </c>
      <c r="Z114" s="144">
        <f t="shared" si="117"/>
        <v>330160</v>
      </c>
      <c r="AA114" s="152">
        <f t="shared" si="117"/>
        <v>67428077</v>
      </c>
      <c r="AB114" s="151">
        <f t="shared" si="117"/>
        <v>67097915</v>
      </c>
      <c r="AC114" s="144">
        <f t="shared" si="117"/>
        <v>330160</v>
      </c>
      <c r="AD114" s="152">
        <f t="shared" si="117"/>
        <v>67428075</v>
      </c>
      <c r="AE114" s="151">
        <f t="shared" si="117"/>
        <v>63828314</v>
      </c>
      <c r="AF114" s="144">
        <f t="shared" si="117"/>
        <v>1806479</v>
      </c>
      <c r="AG114" s="152">
        <f t="shared" si="117"/>
        <v>65634793</v>
      </c>
      <c r="AH114" s="151">
        <f t="shared" si="117"/>
        <v>1388662</v>
      </c>
      <c r="AI114" s="144">
        <f t="shared" si="117"/>
        <v>1388664</v>
      </c>
      <c r="AJ114" s="153">
        <f t="shared" si="117"/>
        <v>3181946</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7">
        <f>+IF(AGOSTO!A115=0,"",AGOSTO!A115)</f>
        <v>2500</v>
      </c>
      <c r="B115" s="56" t="str">
        <f>+IF(AGOSTO!B115=0,"",AGOSTO!B115)</f>
        <v>DONACIONES</v>
      </c>
      <c r="C115" s="283">
        <f>+ENERO!C115</f>
        <v>0</v>
      </c>
      <c r="D115" s="456">
        <f>AGOSTO!D115+SEPTIEMBRE!P115</f>
        <v>0</v>
      </c>
      <c r="E115" s="456">
        <f>AGOSTO!E115+SEPTIEMBRE!Q115</f>
        <v>0</v>
      </c>
      <c r="F115" s="170">
        <f t="shared" si="110"/>
        <v>0</v>
      </c>
      <c r="G115" s="283">
        <f>AGOSTO!I115</f>
        <v>0</v>
      </c>
      <c r="H115" s="457">
        <v>0</v>
      </c>
      <c r="I115" s="170">
        <f t="shared" si="111"/>
        <v>0</v>
      </c>
      <c r="J115" s="283">
        <f>AGOSTO!L115</f>
        <v>0</v>
      </c>
      <c r="K115" s="457">
        <v>0</v>
      </c>
      <c r="L115" s="170">
        <f t="shared" si="112"/>
        <v>0</v>
      </c>
      <c r="M115" s="283">
        <f t="shared" si="113"/>
        <v>0</v>
      </c>
      <c r="N115" s="170">
        <f t="shared" si="114"/>
        <v>0</v>
      </c>
      <c r="P115" s="455">
        <v>0</v>
      </c>
      <c r="Q115" s="458">
        <v>0</v>
      </c>
      <c r="R115" s="10"/>
      <c r="S115" s="155" t="str">
        <f>+IF(AGOSTO!S115=0,"",AGOSTO!S115)</f>
        <v>2010100-1</v>
      </c>
      <c r="T115" s="159" t="str">
        <f>+IF(AGOSTO!T115=0,"",AGOSTO!T115)</f>
        <v>Compra de Equipos</v>
      </c>
      <c r="U115" s="29">
        <f>+ENERO!U115</f>
        <v>42018487</v>
      </c>
      <c r="V115" s="17">
        <f>AGOSTO!V115+SEPTIEMBRE!AL115</f>
        <v>0</v>
      </c>
      <c r="W115" s="17">
        <f>AGOSTO!W115+SEPTIEMBRE!AM115</f>
        <v>0</v>
      </c>
      <c r="X115" s="20">
        <f t="shared" ref="X115:X121" si="118">SUM(U115:W115)</f>
        <v>42018487</v>
      </c>
      <c r="Y115" s="21">
        <f>AGOSTO!AA115</f>
        <v>41250742</v>
      </c>
      <c r="Z115" s="457">
        <v>0</v>
      </c>
      <c r="AA115" s="20">
        <f t="shared" ref="AA115:AA121" si="119">SUM(Y115:Z115)</f>
        <v>41250742</v>
      </c>
      <c r="AB115" s="21">
        <f>AGOSTO!AD115</f>
        <v>41250742</v>
      </c>
      <c r="AC115" s="457">
        <v>0</v>
      </c>
      <c r="AD115" s="20">
        <f t="shared" ref="AD115:AD121" si="120">SUM(AB115:AC115)</f>
        <v>41250742</v>
      </c>
      <c r="AE115" s="21">
        <f>AGOSTO!AG115</f>
        <v>41250742</v>
      </c>
      <c r="AF115" s="457">
        <v>0</v>
      </c>
      <c r="AG115" s="20">
        <f t="shared" ref="AG115:AG121" si="121">SUM(AE115:AF115)</f>
        <v>41250742</v>
      </c>
      <c r="AH115" s="21">
        <f t="shared" ref="AH115:AH121" si="122">X115-AA115</f>
        <v>767745</v>
      </c>
      <c r="AI115" s="17">
        <f t="shared" ref="AI115:AI121" si="123">X115-AD115</f>
        <v>767745</v>
      </c>
      <c r="AJ115" s="18">
        <f t="shared" ref="AJ115:AJ121" si="124">X115-AG115</f>
        <v>767745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7">
        <f>+IF(AGOSTO!A116=0,"",AGOSTO!A116)</f>
        <v>2600</v>
      </c>
      <c r="B116" s="56" t="str">
        <f>+IF(AGOSTO!B116=0,"",AGOSTO!B116)</f>
        <v>RECUPERACIÓN DE CARTERA (AÑO 2012 Y ANTERIORES)</v>
      </c>
      <c r="C116" s="283">
        <f>+ENERO!C116</f>
        <v>1147070</v>
      </c>
      <c r="D116" s="456">
        <f>AGOSTO!D116+SEPTIEMBRE!P116</f>
        <v>0</v>
      </c>
      <c r="E116" s="456">
        <f>AGOSTO!E116+SEPTIEMBRE!Q116</f>
        <v>0</v>
      </c>
      <c r="F116" s="170">
        <f t="shared" si="110"/>
        <v>1147070</v>
      </c>
      <c r="G116" s="283">
        <f>AGOSTO!I116</f>
        <v>2093906</v>
      </c>
      <c r="H116" s="457">
        <v>135505</v>
      </c>
      <c r="I116" s="170">
        <f t="shared" si="111"/>
        <v>2229411</v>
      </c>
      <c r="J116" s="283">
        <f>AGOSTO!L116</f>
        <v>2093906</v>
      </c>
      <c r="K116" s="457">
        <v>135505</v>
      </c>
      <c r="L116" s="170">
        <f t="shared" si="112"/>
        <v>2229411</v>
      </c>
      <c r="M116" s="283">
        <f t="shared" si="113"/>
        <v>-1082341</v>
      </c>
      <c r="N116" s="170">
        <f t="shared" si="114"/>
        <v>-1082341</v>
      </c>
      <c r="P116" s="455">
        <v>0</v>
      </c>
      <c r="Q116" s="458">
        <v>0</v>
      </c>
      <c r="R116" s="10"/>
      <c r="S116" s="155" t="str">
        <f>+IF(AGOSTO!S116=0,"",AGOSTO!S116)</f>
        <v>2010100-2</v>
      </c>
      <c r="T116" s="159" t="str">
        <f>+IF(AGOSTO!T116=0,"",AGOSTO!T116)</f>
        <v>Materiales</v>
      </c>
      <c r="U116" s="29">
        <f>+ENERO!U116</f>
        <v>23400820</v>
      </c>
      <c r="V116" s="17">
        <f>AGOSTO!V116+SEPTIEMBRE!AL116</f>
        <v>0</v>
      </c>
      <c r="W116" s="17">
        <f>AGOSTO!W116+SEPTIEMBRE!AM116</f>
        <v>0</v>
      </c>
      <c r="X116" s="20">
        <f t="shared" si="118"/>
        <v>23400820</v>
      </c>
      <c r="Y116" s="21">
        <f>AGOSTO!AA116</f>
        <v>22450743</v>
      </c>
      <c r="Z116" s="457">
        <v>330160</v>
      </c>
      <c r="AA116" s="20">
        <f t="shared" si="119"/>
        <v>22780903</v>
      </c>
      <c r="AB116" s="21">
        <f>AGOSTO!AD116</f>
        <v>22450741</v>
      </c>
      <c r="AC116" s="457">
        <v>330160</v>
      </c>
      <c r="AD116" s="20">
        <f t="shared" si="120"/>
        <v>22780901</v>
      </c>
      <c r="AE116" s="21">
        <f>AGOSTO!AG116</f>
        <v>19181140</v>
      </c>
      <c r="AF116" s="457">
        <v>1806479</v>
      </c>
      <c r="AG116" s="20">
        <f t="shared" si="121"/>
        <v>20987619</v>
      </c>
      <c r="AH116" s="21">
        <f t="shared" si="122"/>
        <v>619917</v>
      </c>
      <c r="AI116" s="17">
        <f t="shared" si="123"/>
        <v>619919</v>
      </c>
      <c r="AJ116" s="18">
        <f t="shared" si="124"/>
        <v>2413201</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7">
        <f>+IF(AGOSTO!A117=0,"",AGOSTO!A117)</f>
        <v>2700</v>
      </c>
      <c r="B117" s="56" t="str">
        <f>+IF(AGOSTO!B117=0,"",AGOSTO!B117)</f>
        <v>OTROS INGRESOS DE CAPITAL</v>
      </c>
      <c r="C117" s="283">
        <f>SUM(C118:C119)</f>
        <v>0</v>
      </c>
      <c r="D117" s="456">
        <f t="shared" ref="D117:N117" si="125">SUM(D118:D119)</f>
        <v>0</v>
      </c>
      <c r="E117" s="456">
        <f t="shared" si="125"/>
        <v>149110140</v>
      </c>
      <c r="F117" s="170">
        <f t="shared" si="125"/>
        <v>149110140</v>
      </c>
      <c r="G117" s="283">
        <f t="shared" si="125"/>
        <v>0</v>
      </c>
      <c r="H117" s="169">
        <f t="shared" si="125"/>
        <v>142400183</v>
      </c>
      <c r="I117" s="170">
        <f t="shared" si="125"/>
        <v>142400183</v>
      </c>
      <c r="J117" s="283">
        <f t="shared" si="125"/>
        <v>0</v>
      </c>
      <c r="K117" s="169">
        <f t="shared" si="125"/>
        <v>142400183</v>
      </c>
      <c r="L117" s="170">
        <f t="shared" si="125"/>
        <v>142400183</v>
      </c>
      <c r="M117" s="283">
        <f t="shared" si="125"/>
        <v>6709957</v>
      </c>
      <c r="N117" s="170">
        <f t="shared" si="125"/>
        <v>6709957</v>
      </c>
      <c r="P117" s="36">
        <f>SUM(P118:P119)</f>
        <v>0</v>
      </c>
      <c r="Q117" s="37">
        <f>SUM(Q118:Q119)</f>
        <v>0</v>
      </c>
      <c r="R117" s="10"/>
      <c r="S117" s="155" t="str">
        <f>+IF(AGOSTO!S117=0,"",AGOSTO!S117)</f>
        <v>2010100-3</v>
      </c>
      <c r="T117" s="159" t="str">
        <f>+IF(AGOSTO!T117=0,"",AGOSTO!T117)</f>
        <v>Salud Ocupacional</v>
      </c>
      <c r="U117" s="29">
        <f>+ENERO!U117</f>
        <v>0</v>
      </c>
      <c r="V117" s="17">
        <f>AGOSTO!V117+SEPTIEMBRE!AL117</f>
        <v>0</v>
      </c>
      <c r="W117" s="17">
        <f>AGOSTO!W117+SEPTIEMBRE!AM117</f>
        <v>0</v>
      </c>
      <c r="X117" s="20">
        <f t="shared" si="118"/>
        <v>0</v>
      </c>
      <c r="Y117" s="21">
        <f>AGOSTO!AA117</f>
        <v>0</v>
      </c>
      <c r="Z117" s="457">
        <v>0</v>
      </c>
      <c r="AA117" s="20">
        <f t="shared" si="119"/>
        <v>0</v>
      </c>
      <c r="AB117" s="21">
        <f>AGOSTO!AD117</f>
        <v>0</v>
      </c>
      <c r="AC117" s="457">
        <v>0</v>
      </c>
      <c r="AD117" s="20">
        <f t="shared" si="120"/>
        <v>0</v>
      </c>
      <c r="AE117" s="21">
        <f>AGOSTO!AG117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7" t="str">
        <f>+IF(AGOSTO!A118=0,"",AGOSTO!A118)</f>
        <v>2700-1</v>
      </c>
      <c r="B118" s="59" t="str">
        <f>+IF(AGOSTO!B118=0,"",AGOSTO!B118)</f>
        <v>Descuentos por pronto pago</v>
      </c>
      <c r="C118" s="283">
        <f>+ENERO!C118</f>
        <v>0</v>
      </c>
      <c r="D118" s="456">
        <f>AGOSTO!D118+SEPTIEMBRE!P118</f>
        <v>0</v>
      </c>
      <c r="E118" s="456">
        <f>AGOSTO!E118+SEPTIEMBRE!Q118</f>
        <v>149110140</v>
      </c>
      <c r="F118" s="170">
        <f>SUM(C118:E118)</f>
        <v>149110140</v>
      </c>
      <c r="G118" s="283">
        <f>AGOSTO!I118</f>
        <v>0</v>
      </c>
      <c r="H118" s="457">
        <v>142400183</v>
      </c>
      <c r="I118" s="170">
        <f>SUM(G118:H118)</f>
        <v>142400183</v>
      </c>
      <c r="J118" s="283">
        <f>AGOSTO!L118</f>
        <v>0</v>
      </c>
      <c r="K118" s="457">
        <v>142400183</v>
      </c>
      <c r="L118" s="170">
        <f>SUM(J118:K118)</f>
        <v>142400183</v>
      </c>
      <c r="M118" s="283">
        <f>F118-I118</f>
        <v>6709957</v>
      </c>
      <c r="N118" s="170">
        <f>F118-L118</f>
        <v>6709957</v>
      </c>
      <c r="P118" s="455">
        <v>0</v>
      </c>
      <c r="Q118" s="458">
        <v>0</v>
      </c>
      <c r="R118" s="10"/>
      <c r="S118" s="155" t="str">
        <f>+IF(AGOSTO!S118=0,"",AGOSTO!S118)</f>
        <v>2010100-4</v>
      </c>
      <c r="T118" s="159" t="str">
        <f>+IF(AGOSTO!T118=0,"",AGOSTO!T118)</f>
        <v/>
      </c>
      <c r="U118" s="29">
        <f>+ENERO!U118</f>
        <v>0</v>
      </c>
      <c r="V118" s="17">
        <f>AGOSTO!V118+SEPTIEMBRE!AL118</f>
        <v>0</v>
      </c>
      <c r="W118" s="17">
        <f>AGOSTO!W118+SEPTIEMBRE!AM118</f>
        <v>0</v>
      </c>
      <c r="X118" s="20">
        <f t="shared" si="118"/>
        <v>0</v>
      </c>
      <c r="Y118" s="21">
        <f>AGOSTO!AA118</f>
        <v>0</v>
      </c>
      <c r="Z118" s="457">
        <v>0</v>
      </c>
      <c r="AA118" s="20">
        <f t="shared" si="119"/>
        <v>0</v>
      </c>
      <c r="AB118" s="21">
        <f>AGOSTO!AD118</f>
        <v>0</v>
      </c>
      <c r="AC118" s="457">
        <v>0</v>
      </c>
      <c r="AD118" s="20">
        <f t="shared" si="120"/>
        <v>0</v>
      </c>
      <c r="AE118" s="21">
        <f>AGOSTO!AG118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253" t="str">
        <f>+IF(AGOSTO!A119=0,"",AGOSTO!A119)</f>
        <v>2700-2</v>
      </c>
      <c r="B119" s="219" t="str">
        <f>+IF(AGOSTO!B119=0,"",AGOSTO!B119)</f>
        <v>Otros</v>
      </c>
      <c r="C119" s="474">
        <f>+ENERO!C119</f>
        <v>0</v>
      </c>
      <c r="D119" s="472">
        <f>AGOSTO!D119+SEPTIEMBRE!P119</f>
        <v>0</v>
      </c>
      <c r="E119" s="472">
        <f>AGOSTO!E119+SEPTIEMBRE!Q119</f>
        <v>0</v>
      </c>
      <c r="F119" s="473">
        <f>SUM(C119:E119)</f>
        <v>0</v>
      </c>
      <c r="G119" s="474">
        <f>AGOSTO!I119</f>
        <v>0</v>
      </c>
      <c r="H119" s="475">
        <v>0</v>
      </c>
      <c r="I119" s="473">
        <f>SUM(G119:H119)</f>
        <v>0</v>
      </c>
      <c r="J119" s="474">
        <f>AGOSTO!L119</f>
        <v>0</v>
      </c>
      <c r="K119" s="475">
        <v>0</v>
      </c>
      <c r="L119" s="473">
        <f>SUM(J119:K119)</f>
        <v>0</v>
      </c>
      <c r="M119" s="474">
        <f>F119-I119</f>
        <v>0</v>
      </c>
      <c r="N119" s="473">
        <f>F119-L119</f>
        <v>0</v>
      </c>
      <c r="P119" s="471">
        <v>0</v>
      </c>
      <c r="Q119" s="476">
        <v>0</v>
      </c>
      <c r="R119" s="10"/>
      <c r="S119" s="155" t="str">
        <f>+IF(AGOSTO!S119=0,"",AGOSTO!S119)</f>
        <v>2010100-5</v>
      </c>
      <c r="T119" s="159" t="str">
        <f>+IF(AGOSTO!T119=0,"",AGOSTO!T119)</f>
        <v/>
      </c>
      <c r="U119" s="29">
        <f>+ENERO!U119</f>
        <v>0</v>
      </c>
      <c r="V119" s="17">
        <f>AGOSTO!V119+SEPTIEMBRE!AL119</f>
        <v>0</v>
      </c>
      <c r="W119" s="17">
        <f>AGOSTO!W119+SEPTIEMBRE!AM119</f>
        <v>0</v>
      </c>
      <c r="X119" s="20">
        <f t="shared" si="118"/>
        <v>0</v>
      </c>
      <c r="Y119" s="21">
        <f>AGOSTO!AA119</f>
        <v>0</v>
      </c>
      <c r="Z119" s="457">
        <v>0</v>
      </c>
      <c r="AA119" s="20">
        <f t="shared" si="119"/>
        <v>0</v>
      </c>
      <c r="AB119" s="21">
        <f>AGOSTO!AD119</f>
        <v>0</v>
      </c>
      <c r="AC119" s="457">
        <v>0</v>
      </c>
      <c r="AD119" s="20">
        <f t="shared" si="120"/>
        <v>0</v>
      </c>
      <c r="AE119" s="21">
        <f>AGOSTO!AG119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+IF(AGOSTO!S120=0,"",AGOSTO!S120)</f>
        <v>2010100-6</v>
      </c>
      <c r="T120" s="159" t="str">
        <f>+IF(AGOSTO!T120=0,"",AGOSTO!T120)</f>
        <v/>
      </c>
      <c r="U120" s="29">
        <f>+ENERO!U120</f>
        <v>0</v>
      </c>
      <c r="V120" s="17">
        <f>AGOSTO!V120+SEPTIEMBRE!AL120</f>
        <v>0</v>
      </c>
      <c r="W120" s="17">
        <f>AGOSTO!W120+SEPTIEMBRE!AM120</f>
        <v>0</v>
      </c>
      <c r="X120" s="20">
        <f t="shared" si="118"/>
        <v>0</v>
      </c>
      <c r="Y120" s="21">
        <f>AGOSTO!AA120</f>
        <v>0</v>
      </c>
      <c r="Z120" s="457">
        <v>0</v>
      </c>
      <c r="AA120" s="20">
        <f t="shared" si="119"/>
        <v>0</v>
      </c>
      <c r="AB120" s="21">
        <f>AGOSTO!AD120</f>
        <v>0</v>
      </c>
      <c r="AC120" s="457">
        <v>0</v>
      </c>
      <c r="AD120" s="20">
        <f t="shared" si="120"/>
        <v>0</v>
      </c>
      <c r="AE120" s="21">
        <f>AGOSTO!AG120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+IF(AGOSTO!A121=0,"",AGOSTO!A121)</f>
        <v>TOTAL INGRESOS DIFERENTES A CUENTAS POR COBRAR</v>
      </c>
      <c r="B121" s="682"/>
      <c r="C121" s="605">
        <f t="shared" ref="C121:N121" si="126">C8-C123</f>
        <v>3465783837</v>
      </c>
      <c r="D121" s="603">
        <f t="shared" si="126"/>
        <v>0</v>
      </c>
      <c r="E121" s="603">
        <f t="shared" si="126"/>
        <v>207633323</v>
      </c>
      <c r="F121" s="604">
        <f t="shared" si="126"/>
        <v>3673417160</v>
      </c>
      <c r="G121" s="602">
        <f t="shared" si="126"/>
        <v>2419009313</v>
      </c>
      <c r="H121" s="603">
        <f t="shared" si="126"/>
        <v>437549340</v>
      </c>
      <c r="I121" s="604">
        <f t="shared" si="126"/>
        <v>2856558653</v>
      </c>
      <c r="J121" s="602">
        <f t="shared" si="126"/>
        <v>2012491383</v>
      </c>
      <c r="K121" s="603">
        <f t="shared" si="126"/>
        <v>405044506</v>
      </c>
      <c r="L121" s="604">
        <f t="shared" si="126"/>
        <v>2417535889</v>
      </c>
      <c r="M121" s="602">
        <f t="shared" si="126"/>
        <v>816858507</v>
      </c>
      <c r="N121" s="604">
        <f t="shared" si="126"/>
        <v>1255881271</v>
      </c>
      <c r="P121" s="605">
        <f>P8-P123</f>
        <v>0</v>
      </c>
      <c r="Q121" s="606">
        <f>Q8-Q123</f>
        <v>0</v>
      </c>
      <c r="R121" s="10"/>
      <c r="S121" s="155">
        <f>+IF(AGOSTO!S121=0,"",AGOSTO!S121)</f>
        <v>2010199</v>
      </c>
      <c r="T121" s="159" t="str">
        <f>+IF(AGOSTO!T121=0,"",AGOSTO!T121)</f>
        <v>Vigencias Anteriores</v>
      </c>
      <c r="U121" s="29">
        <f>+ENERO!U121</f>
        <v>2000000</v>
      </c>
      <c r="V121" s="17">
        <f>AGOSTO!V121+SEPTIEMBRE!AL121</f>
        <v>0</v>
      </c>
      <c r="W121" s="17">
        <f>AGOSTO!W121+SEPTIEMBRE!AM121</f>
        <v>1397432</v>
      </c>
      <c r="X121" s="20">
        <f t="shared" si="118"/>
        <v>3397432</v>
      </c>
      <c r="Y121" s="21">
        <f>AGOSTO!AA121</f>
        <v>3396432</v>
      </c>
      <c r="Z121" s="457">
        <v>0</v>
      </c>
      <c r="AA121" s="20">
        <f t="shared" si="119"/>
        <v>3396432</v>
      </c>
      <c r="AB121" s="21">
        <f>AGOSTO!AD121</f>
        <v>3396432</v>
      </c>
      <c r="AC121" s="457">
        <v>0</v>
      </c>
      <c r="AD121" s="20">
        <f t="shared" si="120"/>
        <v>3396432</v>
      </c>
      <c r="AE121" s="21">
        <f>AGOSTO!AG121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+IF(AGOSTO!S122=0,"",AGOSTO!S122)</f>
        <v/>
      </c>
      <c r="T122" s="649" t="str">
        <f>+IF(AGOSTO!T122=0,"",AGOSTO!T122)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+IF(AGOSTO!A123=0,"",AGOSTO!A123)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355963120</v>
      </c>
      <c r="H123" s="685">
        <f>SUMIF($B8:$B$117,$B$24,H8:H117)+H116</f>
        <v>19797269</v>
      </c>
      <c r="I123" s="686">
        <f>SUMIF($B8:$B$117,$B$24,I8:I117)+I116</f>
        <v>375760389</v>
      </c>
      <c r="J123" s="687">
        <f>SUMIF($B8:$B$117,$B$24,J8:J117)+J116</f>
        <v>355963120</v>
      </c>
      <c r="K123" s="685">
        <f>SUMIF($B8:$B$117,$B$24,K8:K117)+K116</f>
        <v>19797269</v>
      </c>
      <c r="L123" s="686">
        <f>SUMIF($B8:$B$117,$B$24,L8:L117)+L116</f>
        <v>375760389</v>
      </c>
      <c r="M123" s="687">
        <f>SUMIF($B8:$B$117,$B$24,M8:M117)+M116</f>
        <v>-210043214</v>
      </c>
      <c r="N123" s="686">
        <f>SUMIF($B8:$B$117,$B$24,N8:N117)+N116</f>
        <v>-210043214</v>
      </c>
      <c r="P123" s="687">
        <f>SUMIF($B8:$B$117,$B$24,P8:P117)+P116</f>
        <v>0</v>
      </c>
      <c r="Q123" s="686">
        <f>SUMIF($B8:$B$117,$B$24,Q8:Q117)+Q116</f>
        <v>0</v>
      </c>
      <c r="R123" s="10"/>
      <c r="S123" s="34">
        <f>+IF(AGOSTO!S123=0,"",AGOSTO!S123)</f>
        <v>2010200</v>
      </c>
      <c r="T123" s="158" t="str">
        <f>+IF(AGOSTO!T123=0,"",AGOSTO!T123)</f>
        <v>Adquisición de Servicios</v>
      </c>
      <c r="U123" s="157">
        <f t="shared" ref="U123:AJ123" si="127">SUM(U124:U139)</f>
        <v>130967353</v>
      </c>
      <c r="V123" s="144">
        <f t="shared" si="127"/>
        <v>0</v>
      </c>
      <c r="W123" s="144">
        <f t="shared" si="127"/>
        <v>4066041</v>
      </c>
      <c r="X123" s="152">
        <f t="shared" si="127"/>
        <v>135033394</v>
      </c>
      <c r="Y123" s="151">
        <f t="shared" si="127"/>
        <v>90821510</v>
      </c>
      <c r="Z123" s="144">
        <f t="shared" si="127"/>
        <v>15856707</v>
      </c>
      <c r="AA123" s="152">
        <f t="shared" si="127"/>
        <v>106678217</v>
      </c>
      <c r="AB123" s="151">
        <f t="shared" si="127"/>
        <v>90821510</v>
      </c>
      <c r="AC123" s="144">
        <f t="shared" si="127"/>
        <v>15856707</v>
      </c>
      <c r="AD123" s="152">
        <f t="shared" si="127"/>
        <v>106678217</v>
      </c>
      <c r="AE123" s="151">
        <f t="shared" si="127"/>
        <v>89213211</v>
      </c>
      <c r="AF123" s="144">
        <f t="shared" si="127"/>
        <v>11221358</v>
      </c>
      <c r="AG123" s="152">
        <f t="shared" si="127"/>
        <v>100434569</v>
      </c>
      <c r="AH123" s="151">
        <f t="shared" si="127"/>
        <v>28355177</v>
      </c>
      <c r="AI123" s="144">
        <f t="shared" si="127"/>
        <v>28355177</v>
      </c>
      <c r="AJ123" s="153">
        <f t="shared" si="127"/>
        <v>34598825</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+IF(AGOSTO!S124=0,"",AGOSTO!S124)</f>
        <v>2010200-1</v>
      </c>
      <c r="T124" s="159" t="str">
        <f>+IF(AGOSTO!T124=0,"",AGOSTO!T124)</f>
        <v>Seguros</v>
      </c>
      <c r="U124" s="29">
        <f>+ENERO!U124</f>
        <v>42767476</v>
      </c>
      <c r="V124" s="17">
        <f>AGOSTO!V124+SEPTIEMBRE!AL124</f>
        <v>0</v>
      </c>
      <c r="W124" s="17">
        <f>AGOSTO!W124+SEPTIEMBRE!AM124</f>
        <v>0</v>
      </c>
      <c r="X124" s="20">
        <f t="shared" ref="X124:X139" si="128">SUM(U124:W124)</f>
        <v>42767476</v>
      </c>
      <c r="Y124" s="21">
        <f>AGOSTO!AA124</f>
        <v>34499909</v>
      </c>
      <c r="Z124" s="457">
        <v>5395309</v>
      </c>
      <c r="AA124" s="20">
        <f t="shared" ref="AA124:AA139" si="129">SUM(Y124:Z124)</f>
        <v>39895218</v>
      </c>
      <c r="AB124" s="21">
        <f>AGOSTO!AD124</f>
        <v>34499909</v>
      </c>
      <c r="AC124" s="457">
        <v>5395309</v>
      </c>
      <c r="AD124" s="20">
        <f t="shared" ref="AD124:AD139" si="130">SUM(AB124:AC124)</f>
        <v>39895218</v>
      </c>
      <c r="AE124" s="21">
        <f>AGOSTO!AG124</f>
        <v>34499909</v>
      </c>
      <c r="AF124" s="457">
        <v>5395309</v>
      </c>
      <c r="AG124" s="20">
        <f t="shared" ref="AG124:AG139" si="131">SUM(AE124:AF124)</f>
        <v>39895218</v>
      </c>
      <c r="AH124" s="21">
        <f t="shared" ref="AH124:AH139" si="132">X124-AA124</f>
        <v>2872258</v>
      </c>
      <c r="AI124" s="17">
        <f t="shared" ref="AI124:AI139" si="133">X124-AD124</f>
        <v>2872258</v>
      </c>
      <c r="AJ124" s="18">
        <f t="shared" ref="AJ124:AJ139" si="134">X124-AG124</f>
        <v>2872258</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+IF(AGOSTO!A125=0,"",AGOSTO!A125)</f>
        <v xml:space="preserve">TOTAL PRESUPUESTO DE INGRESOS </v>
      </c>
      <c r="B125" s="619"/>
      <c r="C125" s="605">
        <f t="shared" ref="C125:N125" si="135">C123+C121</f>
        <v>3631501012</v>
      </c>
      <c r="D125" s="621">
        <f t="shared" si="135"/>
        <v>0</v>
      </c>
      <c r="E125" s="621">
        <f t="shared" si="135"/>
        <v>207633323</v>
      </c>
      <c r="F125" s="622">
        <f t="shared" si="135"/>
        <v>3839134335</v>
      </c>
      <c r="G125" s="620">
        <f t="shared" si="135"/>
        <v>2774972433</v>
      </c>
      <c r="H125" s="621">
        <f t="shared" si="135"/>
        <v>457346609</v>
      </c>
      <c r="I125" s="622">
        <f t="shared" si="135"/>
        <v>3232319042</v>
      </c>
      <c r="J125" s="620">
        <f t="shared" si="135"/>
        <v>2368454503</v>
      </c>
      <c r="K125" s="621">
        <f t="shared" si="135"/>
        <v>424841775</v>
      </c>
      <c r="L125" s="622">
        <f t="shared" si="135"/>
        <v>2793296278</v>
      </c>
      <c r="M125" s="620">
        <f t="shared" si="135"/>
        <v>606815293</v>
      </c>
      <c r="N125" s="622">
        <f t="shared" si="135"/>
        <v>1045838057</v>
      </c>
      <c r="P125" s="605">
        <f>P123+P121</f>
        <v>0</v>
      </c>
      <c r="Q125" s="606">
        <f>Q123+Q121</f>
        <v>0</v>
      </c>
      <c r="R125" s="10"/>
      <c r="S125" s="155" t="str">
        <f>+IF(AGOSTO!S125=0,"",AGOSTO!S125)</f>
        <v>2010200-2</v>
      </c>
      <c r="T125" s="159" t="str">
        <f>+IF(AGOSTO!T125=0,"",AGOSTO!T125)</f>
        <v>Impresos y Publicaciones</v>
      </c>
      <c r="U125" s="29">
        <f>+ENERO!U125</f>
        <v>10257367</v>
      </c>
      <c r="V125" s="17">
        <f>AGOSTO!V125+SEPTIEMBRE!AL125</f>
        <v>0</v>
      </c>
      <c r="W125" s="17">
        <f>AGOSTO!W125+SEPTIEMBRE!AM125</f>
        <v>0</v>
      </c>
      <c r="X125" s="20">
        <f t="shared" si="128"/>
        <v>10257367</v>
      </c>
      <c r="Y125" s="21">
        <f>AGOSTO!AA125</f>
        <v>5668342</v>
      </c>
      <c r="Z125" s="457">
        <v>60000</v>
      </c>
      <c r="AA125" s="20">
        <f t="shared" si="129"/>
        <v>5728342</v>
      </c>
      <c r="AB125" s="21">
        <f>AGOSTO!AD125</f>
        <v>5668342</v>
      </c>
      <c r="AC125" s="457">
        <v>60000</v>
      </c>
      <c r="AD125" s="20">
        <f t="shared" si="130"/>
        <v>5728342</v>
      </c>
      <c r="AE125" s="21">
        <f>AGOSTO!AG125</f>
        <v>4835342</v>
      </c>
      <c r="AF125" s="457">
        <v>555000</v>
      </c>
      <c r="AG125" s="20">
        <f t="shared" si="131"/>
        <v>5390342</v>
      </c>
      <c r="AH125" s="21">
        <f t="shared" si="132"/>
        <v>4529025</v>
      </c>
      <c r="AI125" s="17">
        <f t="shared" si="133"/>
        <v>4529025</v>
      </c>
      <c r="AJ125" s="18">
        <f t="shared" si="134"/>
        <v>4867025</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+IF(AGOSTO!S126=0,"",AGOSTO!S126)</f>
        <v>2010200-3</v>
      </c>
      <c r="T126" s="159" t="str">
        <f>+IF(AGOSTO!T126=0,"",AGOSTO!T126)</f>
        <v xml:space="preserve">Servicios Públicos </v>
      </c>
      <c r="U126" s="29">
        <f>+ENERO!U126</f>
        <v>49280460</v>
      </c>
      <c r="V126" s="17">
        <f>AGOSTO!V126+SEPTIEMBRE!AL126</f>
        <v>0</v>
      </c>
      <c r="W126" s="17">
        <f>AGOSTO!W126+SEPTIEMBRE!AM126</f>
        <v>0</v>
      </c>
      <c r="X126" s="20">
        <f t="shared" si="128"/>
        <v>49280460</v>
      </c>
      <c r="Y126" s="21">
        <f>AGOSTO!AA126</f>
        <v>35455191</v>
      </c>
      <c r="Z126" s="457">
        <v>4405382</v>
      </c>
      <c r="AA126" s="20">
        <f t="shared" si="129"/>
        <v>39860573</v>
      </c>
      <c r="AB126" s="21">
        <f>AGOSTO!AD126</f>
        <v>35455191</v>
      </c>
      <c r="AC126" s="457">
        <v>4405382</v>
      </c>
      <c r="AD126" s="20">
        <f t="shared" si="130"/>
        <v>39860573</v>
      </c>
      <c r="AE126" s="21">
        <f>AGOSTO!AG126</f>
        <v>34745428</v>
      </c>
      <c r="AF126" s="457">
        <v>4379229</v>
      </c>
      <c r="AG126" s="20">
        <f t="shared" si="131"/>
        <v>39124657</v>
      </c>
      <c r="AH126" s="21">
        <f t="shared" si="132"/>
        <v>9419887</v>
      </c>
      <c r="AI126" s="17">
        <f t="shared" si="133"/>
        <v>9419887</v>
      </c>
      <c r="AJ126" s="18">
        <f t="shared" si="134"/>
        <v>10155803</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+IF(AGOSTO!S127=0,"",AGOSTO!S127)</f>
        <v>2010200-4</v>
      </c>
      <c r="T127" s="159" t="str">
        <f>+IF(AGOSTO!T127=0,"",AGOSTO!T127)</f>
        <v>Comunicaciones y Transportes</v>
      </c>
      <c r="U127" s="29">
        <f>+ENERO!U127</f>
        <v>8570980</v>
      </c>
      <c r="V127" s="17">
        <f>AGOSTO!V127+SEPTIEMBRE!AL127</f>
        <v>0</v>
      </c>
      <c r="W127" s="17">
        <f>AGOSTO!W127+SEPTIEMBRE!AM127</f>
        <v>0</v>
      </c>
      <c r="X127" s="20">
        <f t="shared" si="128"/>
        <v>8570980</v>
      </c>
      <c r="Y127" s="21">
        <f>AGOSTO!AA127</f>
        <v>2833608</v>
      </c>
      <c r="Z127" s="457">
        <v>4662196</v>
      </c>
      <c r="AA127" s="20">
        <f t="shared" si="129"/>
        <v>7495804</v>
      </c>
      <c r="AB127" s="21">
        <f>AGOSTO!AD127</f>
        <v>2833608</v>
      </c>
      <c r="AC127" s="457">
        <v>4662196</v>
      </c>
      <c r="AD127" s="20">
        <f t="shared" si="130"/>
        <v>7495804</v>
      </c>
      <c r="AE127" s="21">
        <f>AGOSTO!AG127</f>
        <v>2833608</v>
      </c>
      <c r="AF127" s="457">
        <v>600000</v>
      </c>
      <c r="AG127" s="20">
        <f t="shared" si="131"/>
        <v>3433608</v>
      </c>
      <c r="AH127" s="21">
        <f t="shared" si="132"/>
        <v>1075176</v>
      </c>
      <c r="AI127" s="17">
        <f t="shared" si="133"/>
        <v>1075176</v>
      </c>
      <c r="AJ127" s="18">
        <f t="shared" si="134"/>
        <v>5137372</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+IF(AGOSTO!S128=0,"",AGOSTO!S128)</f>
        <v>2010200-5</v>
      </c>
      <c r="T128" s="159" t="str">
        <f>+IF(AGOSTO!T128=0,"",AGOSTO!T128)</f>
        <v>Viáticos y Gastos de Viaje</v>
      </c>
      <c r="U128" s="29">
        <f>+ENERO!U128</f>
        <v>4306574</v>
      </c>
      <c r="V128" s="17">
        <f>AGOSTO!V128+SEPTIEMBRE!AL128</f>
        <v>0</v>
      </c>
      <c r="W128" s="17">
        <f>AGOSTO!W128+SEPTIEMBRE!AM128</f>
        <v>0</v>
      </c>
      <c r="X128" s="20">
        <f t="shared" si="128"/>
        <v>4306574</v>
      </c>
      <c r="Y128" s="21">
        <f>AGOSTO!AA128</f>
        <v>612920</v>
      </c>
      <c r="Z128" s="457">
        <v>0</v>
      </c>
      <c r="AA128" s="20">
        <f t="shared" si="129"/>
        <v>612920</v>
      </c>
      <c r="AB128" s="21">
        <f>AGOSTO!AD128</f>
        <v>612920</v>
      </c>
      <c r="AC128" s="457">
        <v>0</v>
      </c>
      <c r="AD128" s="20">
        <f t="shared" si="130"/>
        <v>612920</v>
      </c>
      <c r="AE128" s="21">
        <f>AGOSTO!AG128</f>
        <v>612920</v>
      </c>
      <c r="AF128" s="457">
        <v>0</v>
      </c>
      <c r="AG128" s="20">
        <f t="shared" si="131"/>
        <v>612920</v>
      </c>
      <c r="AH128" s="21">
        <f t="shared" si="132"/>
        <v>3693654</v>
      </c>
      <c r="AI128" s="17">
        <f t="shared" si="133"/>
        <v>3693654</v>
      </c>
      <c r="AJ128" s="18">
        <f t="shared" si="134"/>
        <v>3693654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+IF(AGOSTO!S129=0,"",AGOSTO!S129)</f>
        <v>2010200-6</v>
      </c>
      <c r="T129" s="159" t="str">
        <f>+IF(AGOSTO!T129=0,"",AGOSTO!T129)</f>
        <v>Arrendamientos</v>
      </c>
      <c r="U129" s="29">
        <f>+ENERO!U129</f>
        <v>0</v>
      </c>
      <c r="V129" s="17">
        <f>AGOSTO!V129+SEPTIEMBRE!AL129</f>
        <v>0</v>
      </c>
      <c r="W129" s="17">
        <f>AGOSTO!W129+SEPTIEMBRE!AM129</f>
        <v>0</v>
      </c>
      <c r="X129" s="20">
        <f t="shared" si="128"/>
        <v>0</v>
      </c>
      <c r="Y129" s="21">
        <f>AGOSTO!AA129</f>
        <v>0</v>
      </c>
      <c r="Z129" s="457">
        <v>0</v>
      </c>
      <c r="AA129" s="20">
        <f t="shared" si="129"/>
        <v>0</v>
      </c>
      <c r="AB129" s="21">
        <f>AGOSTO!AD129</f>
        <v>0</v>
      </c>
      <c r="AC129" s="457">
        <v>0</v>
      </c>
      <c r="AD129" s="20">
        <f t="shared" si="130"/>
        <v>0</v>
      </c>
      <c r="AE129" s="21">
        <f>AGOSTO!AG129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+IF(AGOSTO!S130=0,"",AGOSTO!S130)</f>
        <v>2010200-7</v>
      </c>
      <c r="T130" s="159" t="str">
        <f>+IF(AGOSTO!T130=0,"",AGOSTO!T130)</f>
        <v>Vigilancia y Aseo</v>
      </c>
      <c r="U130" s="29">
        <f>+ENERO!U130</f>
        <v>0</v>
      </c>
      <c r="V130" s="17">
        <f>AGOSTO!V130+SEPTIEMBRE!AL130</f>
        <v>0</v>
      </c>
      <c r="W130" s="17">
        <f>AGOSTO!W130+SEPTIEMBRE!AM130</f>
        <v>0</v>
      </c>
      <c r="X130" s="20">
        <f t="shared" si="128"/>
        <v>0</v>
      </c>
      <c r="Y130" s="21">
        <f>AGOSTO!AA130</f>
        <v>0</v>
      </c>
      <c r="Z130" s="457">
        <v>0</v>
      </c>
      <c r="AA130" s="20">
        <f t="shared" si="129"/>
        <v>0</v>
      </c>
      <c r="AB130" s="21">
        <f>AGOSTO!AD130</f>
        <v>0</v>
      </c>
      <c r="AC130" s="457">
        <v>0</v>
      </c>
      <c r="AD130" s="20">
        <f t="shared" si="130"/>
        <v>0</v>
      </c>
      <c r="AE130" s="21">
        <f>AGOSTO!AG130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+IF(AGOSTO!S131=0,"",AGOSTO!S131)</f>
        <v>2010200-8</v>
      </c>
      <c r="T131" s="159" t="str">
        <f>+IF(AGOSTO!T131=0,"",AGOSTO!T131)</f>
        <v>Bienestar Social</v>
      </c>
      <c r="U131" s="29">
        <f>+ENERO!U131</f>
        <v>6347410</v>
      </c>
      <c r="V131" s="17">
        <f>AGOSTO!V131+SEPTIEMBRE!AL131</f>
        <v>0</v>
      </c>
      <c r="W131" s="17">
        <f>AGOSTO!W131+SEPTIEMBRE!AM131</f>
        <v>0</v>
      </c>
      <c r="X131" s="20">
        <f t="shared" si="128"/>
        <v>6347410</v>
      </c>
      <c r="Y131" s="21">
        <f>AGOSTO!AA131</f>
        <v>0</v>
      </c>
      <c r="Z131" s="457">
        <v>1042000</v>
      </c>
      <c r="AA131" s="20">
        <f t="shared" si="129"/>
        <v>1042000</v>
      </c>
      <c r="AB131" s="21">
        <f>AGOSTO!AD131</f>
        <v>0</v>
      </c>
      <c r="AC131" s="457">
        <v>1042000</v>
      </c>
      <c r="AD131" s="20">
        <f t="shared" si="130"/>
        <v>1042000</v>
      </c>
      <c r="AE131" s="21">
        <f>AGOSTO!AG131</f>
        <v>0</v>
      </c>
      <c r="AF131" s="457">
        <v>0</v>
      </c>
      <c r="AG131" s="20">
        <f t="shared" si="131"/>
        <v>0</v>
      </c>
      <c r="AH131" s="21">
        <f t="shared" si="132"/>
        <v>5305410</v>
      </c>
      <c r="AI131" s="17">
        <f t="shared" si="133"/>
        <v>5305410</v>
      </c>
      <c r="AJ131" s="18">
        <f t="shared" si="13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+IF(AGOSTO!S132=0,"",AGOSTO!S132)</f>
        <v>2010200-9</v>
      </c>
      <c r="T132" s="159" t="str">
        <f>+IF(AGOSTO!T132=0,"",AGOSTO!T132)</f>
        <v>Capacitación, estimulos, incentivos, programa de calidad</v>
      </c>
      <c r="U132" s="29">
        <f>+ENERO!U132</f>
        <v>4142898</v>
      </c>
      <c r="V132" s="17">
        <f>AGOSTO!V132+SEPTIEMBRE!AL132</f>
        <v>0</v>
      </c>
      <c r="W132" s="17">
        <f>AGOSTO!W132+SEPTIEMBRE!AM132</f>
        <v>0</v>
      </c>
      <c r="X132" s="20">
        <f t="shared" si="128"/>
        <v>4142898</v>
      </c>
      <c r="Y132" s="21">
        <f>AGOSTO!AA132</f>
        <v>3764400</v>
      </c>
      <c r="Z132" s="457">
        <v>60000</v>
      </c>
      <c r="AA132" s="20">
        <f t="shared" si="129"/>
        <v>3824400</v>
      </c>
      <c r="AB132" s="21">
        <f>AGOSTO!AD132</f>
        <v>3764400</v>
      </c>
      <c r="AC132" s="457">
        <v>60000</v>
      </c>
      <c r="AD132" s="20">
        <f t="shared" si="130"/>
        <v>3824400</v>
      </c>
      <c r="AE132" s="21">
        <f>AGOSTO!AG132</f>
        <v>3764400</v>
      </c>
      <c r="AF132" s="457">
        <v>60000</v>
      </c>
      <c r="AG132" s="20">
        <f t="shared" si="131"/>
        <v>3824400</v>
      </c>
      <c r="AH132" s="21">
        <f t="shared" si="132"/>
        <v>318498</v>
      </c>
      <c r="AI132" s="17">
        <f t="shared" si="133"/>
        <v>318498</v>
      </c>
      <c r="AJ132" s="18">
        <f t="shared" si="134"/>
        <v>318498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+IF(AGOSTO!S133=0,"",AGOSTO!S133)</f>
        <v>2010200-10</v>
      </c>
      <c r="T133" s="159" t="str">
        <f>+IF(AGOSTO!T133=0,"",AGOSTO!T133)</f>
        <v>Pagos otras IPS</v>
      </c>
      <c r="U133" s="29">
        <f>+ENERO!U133</f>
        <v>0</v>
      </c>
      <c r="V133" s="17">
        <f>AGOSTO!V133+SEPTIEMBRE!AL133</f>
        <v>0</v>
      </c>
      <c r="W133" s="17">
        <f>AGOSTO!W133+SEPTIEMBRE!AM133</f>
        <v>0</v>
      </c>
      <c r="X133" s="20">
        <f t="shared" si="128"/>
        <v>0</v>
      </c>
      <c r="Y133" s="21">
        <f>AGOSTO!AA133</f>
        <v>0</v>
      </c>
      <c r="Z133" s="457">
        <v>0</v>
      </c>
      <c r="AA133" s="20">
        <f t="shared" si="129"/>
        <v>0</v>
      </c>
      <c r="AB133" s="21">
        <f>AGOSTO!AD133</f>
        <v>0</v>
      </c>
      <c r="AC133" s="457">
        <v>0</v>
      </c>
      <c r="AD133" s="20">
        <f t="shared" si="130"/>
        <v>0</v>
      </c>
      <c r="AE133" s="21">
        <f>AGOSTO!AG133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+IF(AGOSTO!S134=0,"",AGOSTO!S134)</f>
        <v>2010200-11</v>
      </c>
      <c r="T134" s="159" t="str">
        <f>+IF(AGOSTO!T134=0,"",AGOSTO!T134)</f>
        <v>Gastos financieros</v>
      </c>
      <c r="U134" s="29">
        <f>+ENERO!U134</f>
        <v>3294188</v>
      </c>
      <c r="V134" s="17">
        <f>AGOSTO!V134+SEPTIEMBRE!AL134</f>
        <v>0</v>
      </c>
      <c r="W134" s="17">
        <f>AGOSTO!W134+SEPTIEMBRE!AM134</f>
        <v>0</v>
      </c>
      <c r="X134" s="20">
        <f t="shared" si="128"/>
        <v>3294188</v>
      </c>
      <c r="Y134" s="21">
        <f>AGOSTO!AA134</f>
        <v>1921099</v>
      </c>
      <c r="Z134" s="457">
        <v>231820</v>
      </c>
      <c r="AA134" s="20">
        <f t="shared" si="129"/>
        <v>2152919</v>
      </c>
      <c r="AB134" s="21">
        <f>AGOSTO!AD134</f>
        <v>1921099</v>
      </c>
      <c r="AC134" s="457">
        <v>231820</v>
      </c>
      <c r="AD134" s="20">
        <f t="shared" si="130"/>
        <v>2152919</v>
      </c>
      <c r="AE134" s="21">
        <f>AGOSTO!AG134</f>
        <v>1921099</v>
      </c>
      <c r="AF134" s="457">
        <v>231820</v>
      </c>
      <c r="AG134" s="20">
        <f t="shared" si="131"/>
        <v>2152919</v>
      </c>
      <c r="AH134" s="21">
        <f t="shared" si="132"/>
        <v>1141269</v>
      </c>
      <c r="AI134" s="17">
        <f t="shared" si="133"/>
        <v>1141269</v>
      </c>
      <c r="AJ134" s="18">
        <f t="shared" si="134"/>
        <v>1141269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+IF(AGOSTO!S135=0,"",AGOSTO!S135)</f>
        <v>2010200-12</v>
      </c>
      <c r="T135" s="159" t="str">
        <f>+IF(AGOSTO!T135=0,"",AGOSTO!T135)</f>
        <v/>
      </c>
      <c r="U135" s="29">
        <f>+ENERO!U135</f>
        <v>0</v>
      </c>
      <c r="V135" s="17">
        <f>AGOSTO!V135+SEPTIEMBRE!AL135</f>
        <v>0</v>
      </c>
      <c r="W135" s="17">
        <f>AGOSTO!W135+SEPTIEMBRE!AM135</f>
        <v>0</v>
      </c>
      <c r="X135" s="20">
        <f t="shared" si="128"/>
        <v>0</v>
      </c>
      <c r="Y135" s="21">
        <f>AGOSTO!AA135</f>
        <v>0</v>
      </c>
      <c r="Z135" s="457">
        <v>0</v>
      </c>
      <c r="AA135" s="20">
        <f t="shared" si="129"/>
        <v>0</v>
      </c>
      <c r="AB135" s="21">
        <f>AGOSTO!AD135</f>
        <v>0</v>
      </c>
      <c r="AC135" s="457">
        <v>0</v>
      </c>
      <c r="AD135" s="20">
        <f t="shared" si="130"/>
        <v>0</v>
      </c>
      <c r="AE135" s="21">
        <f>AGOSTO!AG135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+IF(AGOSTO!S136=0,"",AGOSTO!S136)</f>
        <v>2010200-13</v>
      </c>
      <c r="T136" s="159" t="str">
        <f>+IF(AGOSTO!T136=0,"",AGOSTO!T136)</f>
        <v/>
      </c>
      <c r="U136" s="29">
        <f>+ENERO!U136</f>
        <v>0</v>
      </c>
      <c r="V136" s="17">
        <f>AGOSTO!V136+SEPTIEMBRE!AL136</f>
        <v>0</v>
      </c>
      <c r="W136" s="17">
        <f>AGOSTO!W136+SEPTIEMBRE!AM136</f>
        <v>0</v>
      </c>
      <c r="X136" s="20">
        <f t="shared" si="128"/>
        <v>0</v>
      </c>
      <c r="Y136" s="21">
        <f>AGOSTO!AA136</f>
        <v>0</v>
      </c>
      <c r="Z136" s="457">
        <v>0</v>
      </c>
      <c r="AA136" s="20">
        <f t="shared" si="129"/>
        <v>0</v>
      </c>
      <c r="AB136" s="21">
        <f>AGOSTO!AD136</f>
        <v>0</v>
      </c>
      <c r="AC136" s="457">
        <v>0</v>
      </c>
      <c r="AD136" s="20">
        <f t="shared" si="130"/>
        <v>0</v>
      </c>
      <c r="AE136" s="21">
        <f>AGOSTO!AG136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+IF(AGOSTO!S137=0,"",AGOSTO!S137)</f>
        <v>2010020-14</v>
      </c>
      <c r="T137" s="159" t="str">
        <f>+IF(AGOSTO!T137=0,"",AGOSTO!T137)</f>
        <v/>
      </c>
      <c r="U137" s="29">
        <f>+ENERO!U137</f>
        <v>0</v>
      </c>
      <c r="V137" s="17">
        <f>AGOSTO!V137+SEPTIEMBRE!AL137</f>
        <v>0</v>
      </c>
      <c r="W137" s="17">
        <f>AGOSTO!W137+SEPTIEMBRE!AM137</f>
        <v>0</v>
      </c>
      <c r="X137" s="20">
        <f t="shared" si="128"/>
        <v>0</v>
      </c>
      <c r="Y137" s="21">
        <f>AGOSTO!AA137</f>
        <v>0</v>
      </c>
      <c r="Z137" s="457">
        <v>0</v>
      </c>
      <c r="AA137" s="20">
        <f t="shared" si="129"/>
        <v>0</v>
      </c>
      <c r="AB137" s="21">
        <f>AGOSTO!AD137</f>
        <v>0</v>
      </c>
      <c r="AC137" s="457">
        <v>0</v>
      </c>
      <c r="AD137" s="20">
        <f t="shared" si="130"/>
        <v>0</v>
      </c>
      <c r="AE137" s="21">
        <f>AGOSTO!AG137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+IF(AGOSTO!S138=0,"",AGOSTO!S138)</f>
        <v>2010200-15</v>
      </c>
      <c r="T138" s="159" t="str">
        <f>+IF(AGOSTO!T138=0,"",AGOSTO!T138)</f>
        <v/>
      </c>
      <c r="U138" s="29">
        <f>+ENERO!U138</f>
        <v>0</v>
      </c>
      <c r="V138" s="17">
        <f>AGOSTO!V138+SEPTIEMBRE!AL138</f>
        <v>0</v>
      </c>
      <c r="W138" s="17">
        <f>AGOSTO!W138+SEPTIEMBRE!AM138</f>
        <v>0</v>
      </c>
      <c r="X138" s="20">
        <f t="shared" si="128"/>
        <v>0</v>
      </c>
      <c r="Y138" s="21">
        <f>AGOSTO!AA138</f>
        <v>0</v>
      </c>
      <c r="Z138" s="457">
        <v>0</v>
      </c>
      <c r="AA138" s="20">
        <f t="shared" si="129"/>
        <v>0</v>
      </c>
      <c r="AB138" s="21">
        <f>AGOSTO!AD138</f>
        <v>0</v>
      </c>
      <c r="AC138" s="457">
        <v>0</v>
      </c>
      <c r="AD138" s="20">
        <f t="shared" si="130"/>
        <v>0</v>
      </c>
      <c r="AE138" s="21">
        <f>AGOSTO!AG138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+IF(AGOSTO!S139=0,"",AGOSTO!S139)</f>
        <v>2010299</v>
      </c>
      <c r="T139" s="159" t="str">
        <f>+IF(AGOSTO!T139=0,"",AGOSTO!T139)</f>
        <v>Vigencias Anteriores</v>
      </c>
      <c r="U139" s="29">
        <f>+ENERO!U139</f>
        <v>2000000</v>
      </c>
      <c r="V139" s="17">
        <f>AGOSTO!V139+SEPTIEMBRE!AL139</f>
        <v>0</v>
      </c>
      <c r="W139" s="17">
        <f>AGOSTO!W139+SEPTIEMBRE!AM139</f>
        <v>4066041</v>
      </c>
      <c r="X139" s="20">
        <f t="shared" si="128"/>
        <v>6066041</v>
      </c>
      <c r="Y139" s="21">
        <f>AGOSTO!AA139</f>
        <v>6066041</v>
      </c>
      <c r="Z139" s="457">
        <v>0</v>
      </c>
      <c r="AA139" s="20">
        <f t="shared" si="129"/>
        <v>6066041</v>
      </c>
      <c r="AB139" s="21">
        <f>AGOSTO!AD139</f>
        <v>6066041</v>
      </c>
      <c r="AC139" s="457">
        <v>0</v>
      </c>
      <c r="AD139" s="20">
        <f t="shared" si="130"/>
        <v>6066041</v>
      </c>
      <c r="AE139" s="21">
        <f>AGOSTO!AG139</f>
        <v>6000505</v>
      </c>
      <c r="AF139" s="457">
        <v>0</v>
      </c>
      <c r="AG139" s="20">
        <f t="shared" si="131"/>
        <v>6000505</v>
      </c>
      <c r="AH139" s="21">
        <f t="shared" si="132"/>
        <v>0</v>
      </c>
      <c r="AI139" s="17">
        <f t="shared" si="133"/>
        <v>0</v>
      </c>
      <c r="AJ139" s="18">
        <f t="shared" si="134"/>
        <v>65536</v>
      </c>
      <c r="AK139" s="10"/>
      <c r="AL139" s="455">
        <v>0</v>
      </c>
      <c r="AM139" s="458">
        <v>0</v>
      </c>
      <c r="AN139" s="10"/>
      <c r="AO139" s="365"/>
      <c r="AP139" s="365"/>
      <c r="AQ139" s="365"/>
    </row>
    <row r="140" spans="1:52" s="467" customFormat="1" ht="15.75" x14ac:dyDescent="0.2">
      <c r="A140" s="623"/>
      <c r="N140" s="10"/>
      <c r="R140" s="10"/>
      <c r="S140" s="448" t="str">
        <f>+IF(AGOSTO!S140=0,"",AGOSTO!S140)</f>
        <v/>
      </c>
      <c r="T140" s="649" t="str">
        <f>+IF(AGOSTO!T140=0,"",AGOSTO!T140)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+IF(AGOSTO!S141=0,"",AGOSTO!S141)</f>
        <v>2010300</v>
      </c>
      <c r="T141" s="158" t="str">
        <f>+IF(AGOSTO!T141=0,"",AGOSTO!T141)</f>
        <v>Impuestos y Multas</v>
      </c>
      <c r="U141" s="157">
        <f t="shared" ref="U141:AJ141" si="136">U142+U143</f>
        <v>0</v>
      </c>
      <c r="V141" s="144">
        <f t="shared" si="136"/>
        <v>0</v>
      </c>
      <c r="W141" s="144">
        <f t="shared" si="136"/>
        <v>1000000</v>
      </c>
      <c r="X141" s="152">
        <f t="shared" si="136"/>
        <v>1000000</v>
      </c>
      <c r="Y141" s="151">
        <f t="shared" si="136"/>
        <v>0</v>
      </c>
      <c r="Z141" s="144">
        <f t="shared" si="136"/>
        <v>0</v>
      </c>
      <c r="AA141" s="152">
        <f t="shared" si="136"/>
        <v>0</v>
      </c>
      <c r="AB141" s="151">
        <f t="shared" si="136"/>
        <v>0</v>
      </c>
      <c r="AC141" s="144">
        <f t="shared" si="136"/>
        <v>0</v>
      </c>
      <c r="AD141" s="152">
        <f t="shared" si="136"/>
        <v>0</v>
      </c>
      <c r="AE141" s="151">
        <f t="shared" si="136"/>
        <v>0</v>
      </c>
      <c r="AF141" s="144">
        <f t="shared" si="136"/>
        <v>0</v>
      </c>
      <c r="AG141" s="152">
        <f t="shared" si="136"/>
        <v>0</v>
      </c>
      <c r="AH141" s="151">
        <f t="shared" si="136"/>
        <v>1000000</v>
      </c>
      <c r="AI141" s="144">
        <f t="shared" si="136"/>
        <v>1000000</v>
      </c>
      <c r="AJ141" s="153">
        <f t="shared" si="136"/>
        <v>1000000</v>
      </c>
      <c r="AK141" s="12"/>
      <c r="AL141" s="151">
        <f>AL142+AL143</f>
        <v>0</v>
      </c>
      <c r="AM141" s="153">
        <f>AM142+AM143</f>
        <v>0</v>
      </c>
      <c r="AN141" s="10"/>
    </row>
    <row r="142" spans="1:52" s="467" customFormat="1" x14ac:dyDescent="0.2">
      <c r="A142" s="623"/>
      <c r="N142" s="10"/>
      <c r="R142" s="10"/>
      <c r="S142" s="155" t="str">
        <f>+IF(AGOSTO!S142=0,"",AGOSTO!S142)</f>
        <v>2010300-1</v>
      </c>
      <c r="T142" s="159" t="str">
        <f>+IF(AGOSTO!T142=0,"",AGOSTO!T142)</f>
        <v>Impuestos (Predial, Vehiculos, Otros)</v>
      </c>
      <c r="U142" s="29">
        <f>+ENERO!U142</f>
        <v>0</v>
      </c>
      <c r="V142" s="17">
        <f>AGOSTO!V142+SEPTIEMBRE!AL142</f>
        <v>0</v>
      </c>
      <c r="W142" s="17">
        <f>AGOSTO!W142+SEPTIEMBRE!AM142</f>
        <v>1000000</v>
      </c>
      <c r="X142" s="20">
        <f>SUM(U142:W142)</f>
        <v>1000000</v>
      </c>
      <c r="Y142" s="21">
        <f>AGOSTO!AA142</f>
        <v>0</v>
      </c>
      <c r="Z142" s="457">
        <v>0</v>
      </c>
      <c r="AA142" s="20">
        <f>SUM(Y142:Z142)</f>
        <v>0</v>
      </c>
      <c r="AB142" s="21">
        <f>AGOSTO!AD142</f>
        <v>0</v>
      </c>
      <c r="AC142" s="457">
        <v>0</v>
      </c>
      <c r="AD142" s="20">
        <f>SUM(AB142:AC142)</f>
        <v>0</v>
      </c>
      <c r="AE142" s="21">
        <f>AGOSTO!AG142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N143" s="10"/>
      <c r="R143" s="10"/>
      <c r="S143" s="155">
        <f>+IF(AGOSTO!S143=0,"",AGOSTO!S143)</f>
        <v>2010399</v>
      </c>
      <c r="T143" s="159" t="str">
        <f>+IF(AGOSTO!T143=0,"",AGOSTO!T143)</f>
        <v>Vigencias Anteriores</v>
      </c>
      <c r="U143" s="29">
        <f>+ENERO!U143</f>
        <v>0</v>
      </c>
      <c r="V143" s="17">
        <f>AGOSTO!V143+SEPTIEMBRE!AL143</f>
        <v>0</v>
      </c>
      <c r="W143" s="17">
        <f>AGOSTO!W143+SEPTIEMBRE!AM143</f>
        <v>0</v>
      </c>
      <c r="X143" s="20">
        <f>SUM(U143:W143)</f>
        <v>0</v>
      </c>
      <c r="Y143" s="21">
        <f>AGOSTO!AA143</f>
        <v>0</v>
      </c>
      <c r="Z143" s="457">
        <v>0</v>
      </c>
      <c r="AA143" s="20">
        <f>SUM(Y143:Z143)</f>
        <v>0</v>
      </c>
      <c r="AB143" s="21">
        <f>AGOSTO!AD143</f>
        <v>0</v>
      </c>
      <c r="AC143" s="457">
        <v>0</v>
      </c>
      <c r="AD143" s="20">
        <f>SUM(AB143:AC143)</f>
        <v>0</v>
      </c>
      <c r="AE143" s="21">
        <f>AGOSTO!AG143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+IF(AGOSTO!S144=0,"",AGOSTO!S144)</f>
        <v/>
      </c>
      <c r="T144" s="649" t="str">
        <f>+IF(AGOSTO!T144=0,"",AGOSTO!T144)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+IF(AGOSTO!S145=0,"",AGOSTO!S145)</f>
        <v>2020010</v>
      </c>
      <c r="T145" s="470" t="str">
        <f>+IF(AGOSTO!T145=0,"",AGOSTO!T145)</f>
        <v>Gastos de Operación</v>
      </c>
      <c r="U145" s="157">
        <f t="shared" ref="U145:AJ145" si="137">U147+U155</f>
        <v>378163463</v>
      </c>
      <c r="V145" s="144">
        <f t="shared" si="137"/>
        <v>-746499</v>
      </c>
      <c r="W145" s="144">
        <f t="shared" si="137"/>
        <v>77987532</v>
      </c>
      <c r="X145" s="152">
        <f t="shared" si="137"/>
        <v>455404496</v>
      </c>
      <c r="Y145" s="151">
        <f t="shared" si="137"/>
        <v>301879493</v>
      </c>
      <c r="Z145" s="144">
        <f t="shared" si="137"/>
        <v>24851749</v>
      </c>
      <c r="AA145" s="152">
        <f t="shared" si="137"/>
        <v>326731242</v>
      </c>
      <c r="AB145" s="151">
        <f t="shared" si="137"/>
        <v>301879493</v>
      </c>
      <c r="AC145" s="144">
        <f t="shared" si="137"/>
        <v>24581749</v>
      </c>
      <c r="AD145" s="152">
        <f t="shared" si="137"/>
        <v>326461242</v>
      </c>
      <c r="AE145" s="151">
        <f t="shared" si="137"/>
        <v>235561085</v>
      </c>
      <c r="AF145" s="144">
        <f t="shared" si="137"/>
        <v>39099719</v>
      </c>
      <c r="AG145" s="152">
        <f t="shared" si="137"/>
        <v>274660804</v>
      </c>
      <c r="AH145" s="151">
        <f t="shared" si="137"/>
        <v>128673254</v>
      </c>
      <c r="AI145" s="144">
        <f t="shared" si="137"/>
        <v>128943254</v>
      </c>
      <c r="AJ145" s="153">
        <f t="shared" si="137"/>
        <v>180743692</v>
      </c>
      <c r="AK145" s="12"/>
      <c r="AL145" s="151">
        <f>AL147+AL155</f>
        <v>0</v>
      </c>
      <c r="AM145" s="153">
        <f>AM147+AM155</f>
        <v>0</v>
      </c>
      <c r="AN145" s="10"/>
    </row>
    <row r="146" spans="1:40" s="467" customFormat="1" x14ac:dyDescent="0.2">
      <c r="A146" s="623"/>
      <c r="N146" s="10"/>
      <c r="R146" s="10"/>
      <c r="S146" s="11" t="str">
        <f>+IF(AGOSTO!S146=0,"",AGOSTO!S146)</f>
        <v/>
      </c>
      <c r="T146" s="55" t="str">
        <f>+IF(AGOSTO!T146=0,"",AGOSTO!T146)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+IF(AGOSTO!S147=0,"",AGOSTO!S147)</f>
        <v>2020100</v>
      </c>
      <c r="T147" s="158" t="str">
        <f>+IF(AGOSTO!T147=0,"",AGOSTO!T147)</f>
        <v>Adquisición de bienes</v>
      </c>
      <c r="U147" s="157">
        <f t="shared" ref="U147:AJ147" si="138">SUM(U148:U149)+U153</f>
        <v>164034265</v>
      </c>
      <c r="V147" s="144">
        <f t="shared" si="138"/>
        <v>1294826</v>
      </c>
      <c r="W147" s="144">
        <f t="shared" si="138"/>
        <v>47087532</v>
      </c>
      <c r="X147" s="152">
        <f t="shared" si="138"/>
        <v>212416623</v>
      </c>
      <c r="Y147" s="151">
        <f t="shared" si="138"/>
        <v>141060905</v>
      </c>
      <c r="Z147" s="144">
        <f t="shared" si="138"/>
        <v>5997219</v>
      </c>
      <c r="AA147" s="152">
        <f t="shared" si="138"/>
        <v>147058124</v>
      </c>
      <c r="AB147" s="151">
        <f t="shared" si="138"/>
        <v>141060905</v>
      </c>
      <c r="AC147" s="144">
        <f t="shared" si="138"/>
        <v>5997219</v>
      </c>
      <c r="AD147" s="152">
        <f t="shared" si="138"/>
        <v>147058124</v>
      </c>
      <c r="AE147" s="151">
        <f t="shared" si="138"/>
        <v>109130257</v>
      </c>
      <c r="AF147" s="144">
        <f t="shared" si="138"/>
        <v>21103412</v>
      </c>
      <c r="AG147" s="152">
        <f t="shared" si="138"/>
        <v>130233669</v>
      </c>
      <c r="AH147" s="151">
        <f t="shared" si="138"/>
        <v>65358499</v>
      </c>
      <c r="AI147" s="144">
        <f t="shared" si="138"/>
        <v>65358499</v>
      </c>
      <c r="AJ147" s="153">
        <f t="shared" si="138"/>
        <v>82182954</v>
      </c>
      <c r="AK147" s="10"/>
      <c r="AL147" s="151">
        <f>SUM(AL148:AL149)+AL153</f>
        <v>0</v>
      </c>
      <c r="AM147" s="153">
        <f>SUM(AM148:AM149)+AM153</f>
        <v>0</v>
      </c>
      <c r="AN147" s="10"/>
    </row>
    <row r="148" spans="1:40" s="467" customFormat="1" x14ac:dyDescent="0.2">
      <c r="A148" s="623"/>
      <c r="N148" s="10"/>
      <c r="R148" s="10"/>
      <c r="S148" s="155">
        <f>+IF(AGOSTO!S148=0,"",AGOSTO!S148)</f>
        <v>2020101</v>
      </c>
      <c r="T148" s="159" t="str">
        <f>+IF(AGOSTO!T148=0,"",AGOSTO!T148)</f>
        <v>Mantenimiento Hospitalario</v>
      </c>
      <c r="U148" s="29">
        <f>+ENERO!U148</f>
        <v>73185858</v>
      </c>
      <c r="V148" s="17">
        <f>AGOSTO!V148+SEPTIEMBRE!AL148</f>
        <v>0</v>
      </c>
      <c r="W148" s="17">
        <f>AGOSTO!W148+SEPTIEMBRE!AM148</f>
        <v>29400000</v>
      </c>
      <c r="X148" s="20">
        <f>SUM(U148:W148)</f>
        <v>102585858</v>
      </c>
      <c r="Y148" s="21">
        <f>AGOSTO!AA148</f>
        <v>61404682</v>
      </c>
      <c r="Z148" s="457">
        <v>1335105</v>
      </c>
      <c r="AA148" s="20">
        <f>SUM(Y148:Z148)</f>
        <v>62739787</v>
      </c>
      <c r="AB148" s="21">
        <f>AGOSTO!AD148</f>
        <v>61404682</v>
      </c>
      <c r="AC148" s="457">
        <v>1335105</v>
      </c>
      <c r="AD148" s="20">
        <f>SUM(AB148:AC148)</f>
        <v>62739787</v>
      </c>
      <c r="AE148" s="21">
        <f>AGOSTO!AG148</f>
        <v>43321869</v>
      </c>
      <c r="AF148" s="457">
        <v>15638725</v>
      </c>
      <c r="AG148" s="20">
        <f>SUM(AE148:AF148)</f>
        <v>58960594</v>
      </c>
      <c r="AH148" s="21">
        <f>X148-AA148</f>
        <v>39846071</v>
      </c>
      <c r="AI148" s="17">
        <f>X148-AD148</f>
        <v>39846071</v>
      </c>
      <c r="AJ148" s="18">
        <f>X148-AG148</f>
        <v>43625264</v>
      </c>
      <c r="AK148" s="10"/>
      <c r="AL148" s="455">
        <v>0</v>
      </c>
      <c r="AM148" s="458">
        <v>0</v>
      </c>
      <c r="AN148" s="10"/>
    </row>
    <row r="149" spans="1:40" s="467" customFormat="1" x14ac:dyDescent="0.2">
      <c r="A149" s="623"/>
      <c r="N149" s="10"/>
      <c r="R149" s="10"/>
      <c r="S149" s="155">
        <f>+IF(AGOSTO!S149=0,"",AGOSTO!S149)</f>
        <v>2020102</v>
      </c>
      <c r="T149" s="159" t="str">
        <f>+IF(AGOSTO!T149=0,"",AGOSTO!T149)</f>
        <v>Otros</v>
      </c>
      <c r="U149" s="29">
        <f t="shared" ref="U149:AJ149" si="139">SUM(U150:U152)</f>
        <v>86848407</v>
      </c>
      <c r="V149" s="17">
        <f t="shared" si="139"/>
        <v>-3075665</v>
      </c>
      <c r="W149" s="17">
        <f t="shared" si="139"/>
        <v>8400000</v>
      </c>
      <c r="X149" s="20">
        <f t="shared" si="139"/>
        <v>92172742</v>
      </c>
      <c r="Y149" s="21">
        <f t="shared" si="139"/>
        <v>61998200</v>
      </c>
      <c r="Z149" s="169">
        <f t="shared" si="139"/>
        <v>4662114</v>
      </c>
      <c r="AA149" s="20">
        <f t="shared" si="139"/>
        <v>66660314</v>
      </c>
      <c r="AB149" s="21">
        <f t="shared" si="139"/>
        <v>61998200</v>
      </c>
      <c r="AC149" s="169">
        <f t="shared" si="139"/>
        <v>4662114</v>
      </c>
      <c r="AD149" s="20">
        <f t="shared" si="139"/>
        <v>66660314</v>
      </c>
      <c r="AE149" s="21">
        <f t="shared" si="139"/>
        <v>48966729</v>
      </c>
      <c r="AF149" s="169">
        <f t="shared" si="139"/>
        <v>5464687</v>
      </c>
      <c r="AG149" s="20">
        <f t="shared" si="139"/>
        <v>54431416</v>
      </c>
      <c r="AH149" s="21">
        <f t="shared" si="139"/>
        <v>25512428</v>
      </c>
      <c r="AI149" s="17">
        <f t="shared" si="139"/>
        <v>25512428</v>
      </c>
      <c r="AJ149" s="18">
        <f t="shared" si="139"/>
        <v>37741326</v>
      </c>
      <c r="AK149" s="10"/>
      <c r="AL149" s="31">
        <f>SUM(AL150:AL152)</f>
        <v>0</v>
      </c>
      <c r="AM149" s="28">
        <f>SUM(AM150:AM152)</f>
        <v>0</v>
      </c>
      <c r="AN149" s="10"/>
    </row>
    <row r="150" spans="1:40" s="467" customFormat="1" x14ac:dyDescent="0.2">
      <c r="A150" s="623"/>
      <c r="N150" s="10"/>
      <c r="R150" s="10"/>
      <c r="S150" s="156" t="str">
        <f>+IF(AGOSTO!S150=0,"",AGOSTO!S150)</f>
        <v>2020102-1</v>
      </c>
      <c r="T150" s="159" t="str">
        <f>+IF(AGOSTO!T150=0,"",AGOSTO!T150)</f>
        <v>Compra de Equipo e Instr. Mco. y Laborat.</v>
      </c>
      <c r="U150" s="29">
        <f>+ENERO!U150</f>
        <v>36341462</v>
      </c>
      <c r="V150" s="17">
        <f>AGOSTO!V150+SEPTIEMBRE!AL150</f>
        <v>-3075665</v>
      </c>
      <c r="W150" s="17">
        <f>AGOSTO!W150+SEPTIEMBRE!AM150</f>
        <v>5000000</v>
      </c>
      <c r="X150" s="20">
        <f>SUM(U150:W150)</f>
        <v>38265797</v>
      </c>
      <c r="Y150" s="21">
        <f>AGOSTO!AA150</f>
        <v>15837800</v>
      </c>
      <c r="Z150" s="457">
        <v>250000</v>
      </c>
      <c r="AA150" s="20">
        <f>SUM(Y150:Z150)</f>
        <v>16087800</v>
      </c>
      <c r="AB150" s="21">
        <f>AGOSTO!AD150</f>
        <v>15837800</v>
      </c>
      <c r="AC150" s="457">
        <v>250000</v>
      </c>
      <c r="AD150" s="20">
        <f>SUM(AB150:AC150)</f>
        <v>16087800</v>
      </c>
      <c r="AE150" s="21">
        <f>AGOSTO!AG150</f>
        <v>9043680</v>
      </c>
      <c r="AF150" s="457">
        <v>1980120</v>
      </c>
      <c r="AG150" s="20">
        <f>SUM(AE150:AF150)</f>
        <v>11023800</v>
      </c>
      <c r="AH150" s="21">
        <f>X150-AA150</f>
        <v>22177997</v>
      </c>
      <c r="AI150" s="17">
        <f>X150-AD150</f>
        <v>22177997</v>
      </c>
      <c r="AJ150" s="18">
        <f>X150-AG150</f>
        <v>27241997</v>
      </c>
      <c r="AK150" s="10"/>
      <c r="AL150" s="455">
        <v>0</v>
      </c>
      <c r="AM150" s="458">
        <v>0</v>
      </c>
      <c r="AN150" s="10"/>
    </row>
    <row r="151" spans="1:40" s="467" customFormat="1" x14ac:dyDescent="0.2">
      <c r="A151" s="623"/>
      <c r="N151" s="10"/>
      <c r="R151" s="10"/>
      <c r="S151" s="156" t="str">
        <f>+IF(AGOSTO!S151=0,"",AGOSTO!S151)</f>
        <v>2020102-2</v>
      </c>
      <c r="T151" s="159" t="str">
        <f>+IF(AGOSTO!T151=0,"",AGOSTO!T151)</f>
        <v>Materiales</v>
      </c>
      <c r="U151" s="29">
        <f>+ENERO!U151</f>
        <v>17885632</v>
      </c>
      <c r="V151" s="17">
        <f>AGOSTO!V151+SEPTIEMBRE!AL151</f>
        <v>0</v>
      </c>
      <c r="W151" s="17">
        <f>AGOSTO!W151+SEPTIEMBRE!AM151</f>
        <v>3400000</v>
      </c>
      <c r="X151" s="20">
        <f>SUM(U151:W151)</f>
        <v>21285632</v>
      </c>
      <c r="Y151" s="21">
        <f>AGOSTO!AA151</f>
        <v>16668644</v>
      </c>
      <c r="Z151" s="457">
        <v>1282557</v>
      </c>
      <c r="AA151" s="20">
        <f>SUM(Y151:Z151)</f>
        <v>17951201</v>
      </c>
      <c r="AB151" s="21">
        <f>AGOSTO!AD151</f>
        <v>16668644</v>
      </c>
      <c r="AC151" s="457">
        <v>1282557</v>
      </c>
      <c r="AD151" s="20">
        <f>SUM(AB151:AC151)</f>
        <v>17951201</v>
      </c>
      <c r="AE151" s="21">
        <f>AGOSTO!AG151</f>
        <v>13379549</v>
      </c>
      <c r="AF151" s="457">
        <v>3484567</v>
      </c>
      <c r="AG151" s="20">
        <f>SUM(AE151:AF151)</f>
        <v>16864116</v>
      </c>
      <c r="AH151" s="21">
        <f>X151-AA151</f>
        <v>3334431</v>
      </c>
      <c r="AI151" s="17">
        <f>X151-AD151</f>
        <v>3334431</v>
      </c>
      <c r="AJ151" s="18">
        <f>X151-AG151</f>
        <v>4421516</v>
      </c>
      <c r="AK151" s="10"/>
      <c r="AL151" s="455">
        <v>0</v>
      </c>
      <c r="AM151" s="458">
        <v>0</v>
      </c>
      <c r="AN151" s="10"/>
    </row>
    <row r="152" spans="1:40" s="467" customFormat="1" x14ac:dyDescent="0.2">
      <c r="A152" s="623"/>
      <c r="N152" s="10"/>
      <c r="R152" s="10"/>
      <c r="S152" s="11" t="str">
        <f>+IF(AGOSTO!S152=0,"",AGOSTO!S152)</f>
        <v>2020102-3</v>
      </c>
      <c r="T152" s="159" t="str">
        <f>+IF(AGOSTO!T152=0,"",AGOSTO!T152)</f>
        <v>Combustible</v>
      </c>
      <c r="U152" s="29">
        <f>+ENERO!U152</f>
        <v>32621313</v>
      </c>
      <c r="V152" s="17">
        <f>AGOSTO!V152+SEPTIEMBRE!AL152</f>
        <v>0</v>
      </c>
      <c r="W152" s="17">
        <f>AGOSTO!W152+SEPTIEMBRE!AM152</f>
        <v>0</v>
      </c>
      <c r="X152" s="20">
        <f>SUM(U152:W152)</f>
        <v>32621313</v>
      </c>
      <c r="Y152" s="21">
        <f>AGOSTO!AA152</f>
        <v>29491756</v>
      </c>
      <c r="Z152" s="457">
        <v>3129557</v>
      </c>
      <c r="AA152" s="20">
        <f>SUM(Y152:Z152)</f>
        <v>32621313</v>
      </c>
      <c r="AB152" s="21">
        <f>AGOSTO!AD152</f>
        <v>29491756</v>
      </c>
      <c r="AC152" s="457">
        <v>3129557</v>
      </c>
      <c r="AD152" s="20">
        <f>SUM(AB152:AC152)</f>
        <v>32621313</v>
      </c>
      <c r="AE152" s="21">
        <f>AGOSTO!AG152</f>
        <v>26543500</v>
      </c>
      <c r="AF152" s="457">
        <v>0</v>
      </c>
      <c r="AG152" s="20">
        <f>SUM(AE152:AF152)</f>
        <v>26543500</v>
      </c>
      <c r="AH152" s="21">
        <f>X152-AA152</f>
        <v>0</v>
      </c>
      <c r="AI152" s="17">
        <f>X152-AD152</f>
        <v>0</v>
      </c>
      <c r="AJ152" s="18">
        <f>X152-AG152</f>
        <v>6077813</v>
      </c>
      <c r="AK152" s="10"/>
      <c r="AL152" s="455">
        <v>0</v>
      </c>
      <c r="AM152" s="458">
        <v>0</v>
      </c>
      <c r="AN152" s="10"/>
    </row>
    <row r="153" spans="1:40" s="467" customFormat="1" x14ac:dyDescent="0.2">
      <c r="A153" s="623"/>
      <c r="N153" s="10"/>
      <c r="R153" s="10"/>
      <c r="S153" s="155">
        <f>+IF(AGOSTO!S153=0,"",AGOSTO!S153)</f>
        <v>2020199</v>
      </c>
      <c r="T153" s="159" t="str">
        <f>+IF(AGOSTO!T153=0,"",AGOSTO!T153)</f>
        <v>Vigencias Anteriores</v>
      </c>
      <c r="U153" s="29">
        <f>+ENERO!U153</f>
        <v>4000000</v>
      </c>
      <c r="V153" s="17">
        <f>AGOSTO!V153+SEPTIEMBRE!AL153</f>
        <v>4370491</v>
      </c>
      <c r="W153" s="17">
        <f>AGOSTO!W153+SEPTIEMBRE!AM153</f>
        <v>9287532</v>
      </c>
      <c r="X153" s="20">
        <f>SUM(U153:W153)</f>
        <v>17658023</v>
      </c>
      <c r="Y153" s="21">
        <f>AGOSTO!AA153</f>
        <v>17658023</v>
      </c>
      <c r="Z153" s="457">
        <v>0</v>
      </c>
      <c r="AA153" s="20">
        <f>SUM(Y153:Z153)</f>
        <v>17658023</v>
      </c>
      <c r="AB153" s="21">
        <f>AGOSTO!AD153</f>
        <v>17658023</v>
      </c>
      <c r="AC153" s="457">
        <v>0</v>
      </c>
      <c r="AD153" s="20">
        <f>SUM(AB153:AC153)</f>
        <v>17658023</v>
      </c>
      <c r="AE153" s="21">
        <f>AGOSTO!AG153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+IF(AGOSTO!S154=0,"",AGOSTO!S154)</f>
        <v/>
      </c>
      <c r="T154" s="649" t="str">
        <f>+IF(AGOSTO!T154=0,"",AGOSTO!T154)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+IF(AGOSTO!S155=0,"",AGOSTO!S155)</f>
        <v>2020200</v>
      </c>
      <c r="T155" s="158" t="str">
        <f>+IF(AGOSTO!T155=0,"",AGOSTO!T155)</f>
        <v>Adquisición de Servicios</v>
      </c>
      <c r="U155" s="157">
        <f t="shared" ref="U155:AJ155" si="140">SUM(U156:U157)+U168</f>
        <v>214129198</v>
      </c>
      <c r="V155" s="144">
        <f t="shared" si="140"/>
        <v>-2041325</v>
      </c>
      <c r="W155" s="144">
        <f t="shared" si="140"/>
        <v>30900000</v>
      </c>
      <c r="X155" s="152">
        <f t="shared" si="140"/>
        <v>242987873</v>
      </c>
      <c r="Y155" s="151">
        <f t="shared" si="140"/>
        <v>160818588</v>
      </c>
      <c r="Z155" s="144">
        <f t="shared" si="140"/>
        <v>18854530</v>
      </c>
      <c r="AA155" s="152">
        <f t="shared" si="140"/>
        <v>179673118</v>
      </c>
      <c r="AB155" s="151">
        <f t="shared" si="140"/>
        <v>160818588</v>
      </c>
      <c r="AC155" s="144">
        <f t="shared" si="140"/>
        <v>18584530</v>
      </c>
      <c r="AD155" s="152">
        <f t="shared" si="140"/>
        <v>179403118</v>
      </c>
      <c r="AE155" s="151">
        <f t="shared" si="140"/>
        <v>126430828</v>
      </c>
      <c r="AF155" s="144">
        <f t="shared" si="140"/>
        <v>17996307</v>
      </c>
      <c r="AG155" s="152">
        <f t="shared" si="140"/>
        <v>144427135</v>
      </c>
      <c r="AH155" s="151">
        <f t="shared" si="140"/>
        <v>63314755</v>
      </c>
      <c r="AI155" s="144">
        <f t="shared" si="140"/>
        <v>63584755</v>
      </c>
      <c r="AJ155" s="153">
        <f t="shared" si="140"/>
        <v>98560738</v>
      </c>
      <c r="AK155" s="10"/>
      <c r="AL155" s="151">
        <f>SUM(AL156:AL157)+AL168</f>
        <v>0</v>
      </c>
      <c r="AM155" s="153">
        <f>SUM(AM156:AM157)+AM168</f>
        <v>0</v>
      </c>
      <c r="AN155" s="10"/>
    </row>
    <row r="156" spans="1:40" s="467" customFormat="1" x14ac:dyDescent="0.2">
      <c r="A156" s="623"/>
      <c r="N156" s="10"/>
      <c r="P156" s="10"/>
      <c r="Q156" s="10"/>
      <c r="R156" s="10"/>
      <c r="S156" s="155">
        <f>+IF(AGOSTO!S156=0,"",AGOSTO!S156)</f>
        <v>2020201</v>
      </c>
      <c r="T156" s="159" t="str">
        <f>+IF(AGOSTO!T156=0,"",AGOSTO!T156)</f>
        <v>Mantenimiento Hospitalario</v>
      </c>
      <c r="U156" s="29">
        <f>+ENERO!U156</f>
        <v>89449384</v>
      </c>
      <c r="V156" s="17">
        <f>AGOSTO!V156+SEPTIEMBRE!AL156</f>
        <v>0</v>
      </c>
      <c r="W156" s="17">
        <f>AGOSTO!W156+SEPTIEMBRE!AM156</f>
        <v>30900000</v>
      </c>
      <c r="X156" s="20">
        <f>SUM(U156:W156)</f>
        <v>120349384</v>
      </c>
      <c r="Y156" s="21">
        <f>AGOSTO!AA156</f>
        <v>79163496</v>
      </c>
      <c r="Z156" s="457">
        <v>14784141</v>
      </c>
      <c r="AA156" s="20">
        <f>SUM(Y156:Z156)</f>
        <v>93947637</v>
      </c>
      <c r="AB156" s="21">
        <f>AGOSTO!AD156</f>
        <v>79163496</v>
      </c>
      <c r="AC156" s="457">
        <v>14514141</v>
      </c>
      <c r="AD156" s="20">
        <f>SUM(AB156:AC156)</f>
        <v>93677637</v>
      </c>
      <c r="AE156" s="21">
        <f>AGOSTO!AG156</f>
        <v>63994253</v>
      </c>
      <c r="AF156" s="457">
        <v>12445683</v>
      </c>
      <c r="AG156" s="20">
        <f>SUM(AE156:AF156)</f>
        <v>76439936</v>
      </c>
      <c r="AH156" s="21">
        <f>X156-AA156</f>
        <v>26401747</v>
      </c>
      <c r="AI156" s="17">
        <f>X156-AD156</f>
        <v>26671747</v>
      </c>
      <c r="AJ156" s="18">
        <f>X156-AG156</f>
        <v>43909448</v>
      </c>
      <c r="AK156" s="10"/>
      <c r="AL156" s="455">
        <v>0</v>
      </c>
      <c r="AM156" s="458">
        <v>0</v>
      </c>
      <c r="AN156" s="10"/>
    </row>
    <row r="157" spans="1:40" s="467" customFormat="1" x14ac:dyDescent="0.2">
      <c r="A157" s="623"/>
      <c r="N157" s="10"/>
      <c r="P157" s="10"/>
      <c r="Q157" s="10"/>
      <c r="R157" s="10"/>
      <c r="S157" s="155">
        <f>+IF(AGOSTO!S157=0,"",AGOSTO!S157)</f>
        <v>2020202</v>
      </c>
      <c r="T157" s="159" t="str">
        <f>+IF(AGOSTO!T157=0,"",AGOSTO!T157)</f>
        <v>Otros</v>
      </c>
      <c r="U157" s="29">
        <f t="shared" ref="U157:AJ157" si="141">SUM(U158:U167)</f>
        <v>111949655</v>
      </c>
      <c r="V157" s="17">
        <f t="shared" si="141"/>
        <v>0</v>
      </c>
      <c r="W157" s="17">
        <f t="shared" si="141"/>
        <v>0</v>
      </c>
      <c r="X157" s="20">
        <f t="shared" si="141"/>
        <v>111949655</v>
      </c>
      <c r="Y157" s="21">
        <f t="shared" si="141"/>
        <v>70966258</v>
      </c>
      <c r="Z157" s="169">
        <f t="shared" si="141"/>
        <v>4070389</v>
      </c>
      <c r="AA157" s="20">
        <f t="shared" si="141"/>
        <v>75036647</v>
      </c>
      <c r="AB157" s="21">
        <f t="shared" si="141"/>
        <v>70966258</v>
      </c>
      <c r="AC157" s="169">
        <f t="shared" si="141"/>
        <v>4070389</v>
      </c>
      <c r="AD157" s="20">
        <f t="shared" si="141"/>
        <v>75036647</v>
      </c>
      <c r="AE157" s="21">
        <f t="shared" si="141"/>
        <v>51747741</v>
      </c>
      <c r="AF157" s="169">
        <f t="shared" si="141"/>
        <v>5550624</v>
      </c>
      <c r="AG157" s="20">
        <f t="shared" si="141"/>
        <v>57298365</v>
      </c>
      <c r="AH157" s="21">
        <f t="shared" si="141"/>
        <v>36913008</v>
      </c>
      <c r="AI157" s="17">
        <f t="shared" si="141"/>
        <v>36913008</v>
      </c>
      <c r="AJ157" s="18">
        <f t="shared" si="141"/>
        <v>54651290</v>
      </c>
      <c r="AK157" s="12"/>
      <c r="AL157" s="31">
        <f>SUM(AL158:AL167)</f>
        <v>0</v>
      </c>
      <c r="AM157" s="28">
        <f>SUM(AM158:AM167)</f>
        <v>0</v>
      </c>
      <c r="AN157" s="10"/>
    </row>
    <row r="158" spans="1:40" s="467" customFormat="1" x14ac:dyDescent="0.2">
      <c r="A158" s="623"/>
      <c r="N158" s="10"/>
      <c r="P158" s="10"/>
      <c r="Q158" s="10"/>
      <c r="R158" s="10"/>
      <c r="S158" s="156" t="str">
        <f>+IF(AGOSTO!S158=0,"",AGOSTO!S158)</f>
        <v>2020202-1</v>
      </c>
      <c r="T158" s="55" t="str">
        <f>+IF(AGOSTO!T158=0,"",AGOSTO!T158)</f>
        <v>Seguros</v>
      </c>
      <c r="U158" s="29">
        <f>+ENERO!U158</f>
        <v>10500000</v>
      </c>
      <c r="V158" s="17">
        <f>AGOSTO!V158+SEPTIEMBRE!AL158</f>
        <v>0</v>
      </c>
      <c r="W158" s="17">
        <f>AGOSTO!W158+SEPTIEMBRE!AM158</f>
        <v>0</v>
      </c>
      <c r="X158" s="20">
        <f t="shared" ref="X158:X168" si="142">SUM(U158:W158)</f>
        <v>10500000</v>
      </c>
      <c r="Y158" s="21">
        <f>AGOSTO!AA158</f>
        <v>8372702</v>
      </c>
      <c r="Z158" s="457">
        <v>0</v>
      </c>
      <c r="AA158" s="20">
        <f t="shared" ref="AA158:AA168" si="143">SUM(Y158:Z158)</f>
        <v>8372702</v>
      </c>
      <c r="AB158" s="21">
        <f>AGOSTO!AD158</f>
        <v>8372702</v>
      </c>
      <c r="AC158" s="457">
        <v>0</v>
      </c>
      <c r="AD158" s="20">
        <f t="shared" ref="AD158:AD168" si="144">SUM(AB158:AC158)</f>
        <v>8372702</v>
      </c>
      <c r="AE158" s="21">
        <f>AGOSTO!AG158</f>
        <v>8372702</v>
      </c>
      <c r="AF158" s="457">
        <v>0</v>
      </c>
      <c r="AG158" s="20">
        <f t="shared" ref="AG158:AG168" si="145">SUM(AE158:AF158)</f>
        <v>8372702</v>
      </c>
      <c r="AH158" s="21">
        <f t="shared" ref="AH158:AH168" si="146">X158-AA158</f>
        <v>2127298</v>
      </c>
      <c r="AI158" s="17">
        <f t="shared" ref="AI158:AI168" si="147">X158-AD158</f>
        <v>2127298</v>
      </c>
      <c r="AJ158" s="18">
        <f t="shared" ref="AJ158:AJ168" si="148">X158-AG158</f>
        <v>2127298</v>
      </c>
      <c r="AK158" s="10"/>
      <c r="AL158" s="455">
        <v>0</v>
      </c>
      <c r="AM158" s="458">
        <v>0</v>
      </c>
      <c r="AN158" s="10"/>
    </row>
    <row r="159" spans="1:40" s="467" customFormat="1" x14ac:dyDescent="0.2">
      <c r="A159" s="623"/>
      <c r="N159" s="10"/>
      <c r="P159" s="10"/>
      <c r="Q159" s="10"/>
      <c r="R159" s="10"/>
      <c r="S159" s="156" t="str">
        <f>+IF(AGOSTO!S159=0,"",AGOSTO!S159)</f>
        <v>2020202-2</v>
      </c>
      <c r="T159" s="55" t="str">
        <f>+IF(AGOSTO!T159=0,"",AGOSTO!T159)</f>
        <v>Impresos y Publicaciones</v>
      </c>
      <c r="U159" s="29">
        <f>+ENERO!U159</f>
        <v>6697601</v>
      </c>
      <c r="V159" s="17">
        <f>AGOSTO!V159+SEPTIEMBRE!AL159</f>
        <v>0</v>
      </c>
      <c r="W159" s="17">
        <f>AGOSTO!W159+SEPTIEMBRE!AM159</f>
        <v>0</v>
      </c>
      <c r="X159" s="20">
        <f t="shared" si="142"/>
        <v>6697601</v>
      </c>
      <c r="Y159" s="21">
        <f>AGOSTO!AA159</f>
        <v>4726173</v>
      </c>
      <c r="Z159" s="457">
        <v>0</v>
      </c>
      <c r="AA159" s="20">
        <f t="shared" si="143"/>
        <v>4726173</v>
      </c>
      <c r="AB159" s="21">
        <f>AGOSTO!AD159</f>
        <v>4726173</v>
      </c>
      <c r="AC159" s="457">
        <v>0</v>
      </c>
      <c r="AD159" s="20">
        <f t="shared" si="144"/>
        <v>4726173</v>
      </c>
      <c r="AE159" s="21">
        <f>AGOSTO!AG159</f>
        <v>4529173</v>
      </c>
      <c r="AF159" s="457">
        <v>0</v>
      </c>
      <c r="AG159" s="20">
        <f t="shared" si="145"/>
        <v>4529173</v>
      </c>
      <c r="AH159" s="21">
        <f t="shared" si="146"/>
        <v>1971428</v>
      </c>
      <c r="AI159" s="17">
        <f t="shared" si="147"/>
        <v>1971428</v>
      </c>
      <c r="AJ159" s="18">
        <f t="shared" si="148"/>
        <v>2168428</v>
      </c>
      <c r="AK159" s="10"/>
      <c r="AL159" s="455">
        <v>0</v>
      </c>
      <c r="AM159" s="458">
        <v>0</v>
      </c>
      <c r="AN159" s="10"/>
    </row>
    <row r="160" spans="1:40" s="467" customFormat="1" x14ac:dyDescent="0.2">
      <c r="A160" s="623"/>
      <c r="N160" s="10"/>
      <c r="P160" s="10"/>
      <c r="Q160" s="10"/>
      <c r="R160" s="10"/>
      <c r="S160" s="156" t="str">
        <f>+IF(AGOSTO!S160=0,"",AGOSTO!S160)</f>
        <v>2020202-3</v>
      </c>
      <c r="T160" s="55" t="str">
        <f>+IF(AGOSTO!T160=0,"",AGOSTO!T160)</f>
        <v>Pago a otras IPS</v>
      </c>
      <c r="U160" s="29">
        <f>+ENERO!U160</f>
        <v>11458020</v>
      </c>
      <c r="V160" s="17">
        <f>AGOSTO!V160+SEPTIEMBRE!AL160</f>
        <v>0</v>
      </c>
      <c r="W160" s="17">
        <f>AGOSTO!W160+SEPTIEMBRE!AM160</f>
        <v>0</v>
      </c>
      <c r="X160" s="20">
        <f t="shared" si="142"/>
        <v>11458020</v>
      </c>
      <c r="Y160" s="21">
        <f>AGOSTO!AA160</f>
        <v>2835414</v>
      </c>
      <c r="Z160" s="457">
        <v>0</v>
      </c>
      <c r="AA160" s="20">
        <f t="shared" si="143"/>
        <v>2835414</v>
      </c>
      <c r="AB160" s="21">
        <f>AGOSTO!AD160</f>
        <v>2835414</v>
      </c>
      <c r="AC160" s="457">
        <v>0</v>
      </c>
      <c r="AD160" s="20">
        <f t="shared" si="144"/>
        <v>2835414</v>
      </c>
      <c r="AE160" s="21">
        <f>AGOSTO!AG160</f>
        <v>0</v>
      </c>
      <c r="AF160" s="457">
        <v>204349</v>
      </c>
      <c r="AG160" s="20">
        <f t="shared" si="145"/>
        <v>204349</v>
      </c>
      <c r="AH160" s="21">
        <f t="shared" si="146"/>
        <v>8622606</v>
      </c>
      <c r="AI160" s="17">
        <f t="shared" si="147"/>
        <v>8622606</v>
      </c>
      <c r="AJ160" s="18">
        <f t="shared" si="148"/>
        <v>11253671</v>
      </c>
      <c r="AK160" s="10"/>
      <c r="AL160" s="455">
        <v>0</v>
      </c>
      <c r="AM160" s="458">
        <v>0</v>
      </c>
      <c r="AN160" s="10"/>
    </row>
    <row r="161" spans="1:40" s="467" customFormat="1" x14ac:dyDescent="0.2">
      <c r="A161" s="623"/>
      <c r="N161" s="10"/>
      <c r="P161" s="10"/>
      <c r="Q161" s="10"/>
      <c r="R161" s="10"/>
      <c r="S161" s="156" t="str">
        <f>+IF(AGOSTO!S161=0,"",AGOSTO!S161)</f>
        <v>2020202-4</v>
      </c>
      <c r="T161" s="55" t="str">
        <f>+IF(AGOSTO!T161=0,"",AGOSTO!T161)</f>
        <v>Comunicaciones y Transportes</v>
      </c>
      <c r="U161" s="29">
        <f>+ENERO!U161</f>
        <v>14340084</v>
      </c>
      <c r="V161" s="17">
        <f>AGOSTO!V161+SEPTIEMBRE!AL161</f>
        <v>0</v>
      </c>
      <c r="W161" s="17">
        <f>AGOSTO!W161+SEPTIEMBRE!AM161</f>
        <v>0</v>
      </c>
      <c r="X161" s="20">
        <f t="shared" si="142"/>
        <v>14340084</v>
      </c>
      <c r="Y161" s="21">
        <f>AGOSTO!AA161</f>
        <v>11486593</v>
      </c>
      <c r="Z161" s="457">
        <v>417080</v>
      </c>
      <c r="AA161" s="20">
        <f t="shared" si="143"/>
        <v>11903673</v>
      </c>
      <c r="AB161" s="21">
        <f>AGOSTO!AD161</f>
        <v>11486593</v>
      </c>
      <c r="AC161" s="457">
        <v>417080</v>
      </c>
      <c r="AD161" s="20">
        <f t="shared" si="144"/>
        <v>11903673</v>
      </c>
      <c r="AE161" s="21">
        <f>AGOSTO!AG161</f>
        <v>8128598</v>
      </c>
      <c r="AF161" s="457">
        <v>2055080</v>
      </c>
      <c r="AG161" s="20">
        <f t="shared" si="145"/>
        <v>10183678</v>
      </c>
      <c r="AH161" s="21">
        <f t="shared" si="146"/>
        <v>2436411</v>
      </c>
      <c r="AI161" s="17">
        <f t="shared" si="147"/>
        <v>2436411</v>
      </c>
      <c r="AJ161" s="18">
        <f t="shared" si="148"/>
        <v>4156406</v>
      </c>
      <c r="AK161" s="10"/>
      <c r="AL161" s="455">
        <v>0</v>
      </c>
      <c r="AM161" s="458">
        <v>0</v>
      </c>
      <c r="AN161" s="10"/>
    </row>
    <row r="162" spans="1:40" s="467" customFormat="1" x14ac:dyDescent="0.2">
      <c r="A162" s="623"/>
      <c r="N162" s="10"/>
      <c r="P162" s="10"/>
      <c r="Q162" s="10"/>
      <c r="R162" s="10"/>
      <c r="S162" s="156" t="str">
        <f>+IF(AGOSTO!S162=0,"",AGOSTO!S162)</f>
        <v>2020202-5</v>
      </c>
      <c r="T162" s="55" t="str">
        <f>+IF(AGOSTO!T162=0,"",AGOSTO!T162)</f>
        <v>Viáticos y Gastos de Viaje</v>
      </c>
      <c r="U162" s="29">
        <f>+ENERO!U162</f>
        <v>23894636</v>
      </c>
      <c r="V162" s="17">
        <f>AGOSTO!V162+SEPTIEMBRE!AL162</f>
        <v>0</v>
      </c>
      <c r="W162" s="17">
        <f>AGOSTO!W162+SEPTIEMBRE!AM162</f>
        <v>0</v>
      </c>
      <c r="X162" s="20">
        <f t="shared" si="142"/>
        <v>23894636</v>
      </c>
      <c r="Y162" s="21">
        <f>AGOSTO!AA162</f>
        <v>17597831</v>
      </c>
      <c r="Z162" s="457">
        <v>2168409</v>
      </c>
      <c r="AA162" s="20">
        <f t="shared" si="143"/>
        <v>19766240</v>
      </c>
      <c r="AB162" s="21">
        <f>AGOSTO!AD162</f>
        <v>17597831</v>
      </c>
      <c r="AC162" s="457">
        <v>2168409</v>
      </c>
      <c r="AD162" s="20">
        <f t="shared" si="144"/>
        <v>19766240</v>
      </c>
      <c r="AE162" s="21">
        <f>AGOSTO!AG162</f>
        <v>16342831</v>
      </c>
      <c r="AF162" s="457">
        <v>2168409</v>
      </c>
      <c r="AG162" s="20">
        <f t="shared" si="145"/>
        <v>18511240</v>
      </c>
      <c r="AH162" s="21">
        <f t="shared" si="146"/>
        <v>4128396</v>
      </c>
      <c r="AI162" s="17">
        <f t="shared" si="147"/>
        <v>4128396</v>
      </c>
      <c r="AJ162" s="18">
        <f t="shared" si="148"/>
        <v>5383396</v>
      </c>
      <c r="AK162" s="10"/>
      <c r="AL162" s="455">
        <v>0</v>
      </c>
      <c r="AM162" s="458">
        <v>0</v>
      </c>
      <c r="AN162" s="10"/>
    </row>
    <row r="163" spans="1:40" s="467" customFormat="1" x14ac:dyDescent="0.2">
      <c r="A163" s="623"/>
      <c r="N163" s="10"/>
      <c r="P163" s="10"/>
      <c r="Q163" s="10"/>
      <c r="R163" s="10"/>
      <c r="S163" s="156" t="str">
        <f>+IF(AGOSTO!S163=0,"",AGOSTO!S163)</f>
        <v>2020202-6</v>
      </c>
      <c r="T163" s="55" t="str">
        <f>+IF(AGOSTO!T163=0,"",AGOSTO!T163)</f>
        <v>Plan Integral de Manejo de Residuos Sólidos Hospitalarios</v>
      </c>
      <c r="U163" s="29">
        <f>+ENERO!U163</f>
        <v>8565804</v>
      </c>
      <c r="V163" s="17">
        <f>AGOSTO!V163+SEPTIEMBRE!AL163</f>
        <v>0</v>
      </c>
      <c r="W163" s="17">
        <f>AGOSTO!W163+SEPTIEMBRE!AM163</f>
        <v>0</v>
      </c>
      <c r="X163" s="20">
        <f t="shared" si="142"/>
        <v>8565804</v>
      </c>
      <c r="Y163" s="21">
        <f>AGOSTO!AA163</f>
        <v>5353245</v>
      </c>
      <c r="Z163" s="457">
        <v>0</v>
      </c>
      <c r="AA163" s="20">
        <f t="shared" si="143"/>
        <v>5353245</v>
      </c>
      <c r="AB163" s="21">
        <f>AGOSTO!AD163</f>
        <v>5353245</v>
      </c>
      <c r="AC163" s="457">
        <v>0</v>
      </c>
      <c r="AD163" s="20">
        <f t="shared" si="144"/>
        <v>5353245</v>
      </c>
      <c r="AE163" s="21">
        <f>AGOSTO!AG163</f>
        <v>3013170</v>
      </c>
      <c r="AF163" s="457">
        <v>646486</v>
      </c>
      <c r="AG163" s="20">
        <f t="shared" si="145"/>
        <v>3659656</v>
      </c>
      <c r="AH163" s="21">
        <f t="shared" si="146"/>
        <v>3212559</v>
      </c>
      <c r="AI163" s="17">
        <f t="shared" si="147"/>
        <v>3212559</v>
      </c>
      <c r="AJ163" s="18">
        <f t="shared" si="148"/>
        <v>4906148</v>
      </c>
      <c r="AK163" s="10"/>
      <c r="AL163" s="455">
        <v>0</v>
      </c>
      <c r="AM163" s="458">
        <v>0</v>
      </c>
      <c r="AN163" s="10"/>
    </row>
    <row r="164" spans="1:40" s="467" customFormat="1" x14ac:dyDescent="0.2">
      <c r="A164" s="623"/>
      <c r="N164" s="10"/>
      <c r="P164" s="10"/>
      <c r="Q164" s="10"/>
      <c r="R164" s="10"/>
      <c r="S164" s="156" t="str">
        <f>+IF(AGOSTO!S164=0,"",AGOSTO!S164)</f>
        <v>2020202-7</v>
      </c>
      <c r="T164" s="55" t="str">
        <f>+IF(AGOSTO!T164=0,"",AGOSTO!T164)</f>
        <v>Servicios de Laboratorio contratados con terceros</v>
      </c>
      <c r="U164" s="29">
        <f>+ENERO!U164</f>
        <v>12000000</v>
      </c>
      <c r="V164" s="17">
        <f>AGOSTO!V164+SEPTIEMBRE!AL164</f>
        <v>0</v>
      </c>
      <c r="W164" s="17">
        <f>AGOSTO!W164+SEPTIEMBRE!AM164</f>
        <v>0</v>
      </c>
      <c r="X164" s="20">
        <f t="shared" si="142"/>
        <v>12000000</v>
      </c>
      <c r="Y164" s="21">
        <f>AGOSTO!AA164</f>
        <v>2890300</v>
      </c>
      <c r="Z164" s="457">
        <v>236900</v>
      </c>
      <c r="AA164" s="20">
        <f t="shared" si="143"/>
        <v>3127200</v>
      </c>
      <c r="AB164" s="21">
        <f>AGOSTO!AD164</f>
        <v>2890300</v>
      </c>
      <c r="AC164" s="457">
        <v>236900</v>
      </c>
      <c r="AD164" s="20">
        <f t="shared" si="144"/>
        <v>3127200</v>
      </c>
      <c r="AE164" s="21">
        <f>AGOSTO!AG164</f>
        <v>912600</v>
      </c>
      <c r="AF164" s="457">
        <v>76300</v>
      </c>
      <c r="AG164" s="20">
        <f t="shared" si="145"/>
        <v>988900</v>
      </c>
      <c r="AH164" s="21">
        <f t="shared" si="146"/>
        <v>8872800</v>
      </c>
      <c r="AI164" s="17">
        <f t="shared" si="147"/>
        <v>8872800</v>
      </c>
      <c r="AJ164" s="18">
        <f t="shared" si="148"/>
        <v>11011100</v>
      </c>
      <c r="AK164" s="10"/>
      <c r="AL164" s="455">
        <v>0</v>
      </c>
      <c r="AM164" s="458">
        <v>0</v>
      </c>
      <c r="AN164" s="10"/>
    </row>
    <row r="165" spans="1:40" s="467" customFormat="1" x14ac:dyDescent="0.2">
      <c r="A165" s="623"/>
      <c r="N165" s="10"/>
      <c r="P165" s="10"/>
      <c r="Q165" s="10"/>
      <c r="R165" s="10"/>
      <c r="S165" s="156" t="str">
        <f>+IF(AGOSTO!S165=0,"",AGOSTO!S165)</f>
        <v>2020202-8</v>
      </c>
      <c r="T165" s="55" t="str">
        <f>+IF(AGOSTO!T165=0,"",AGOSTO!T165)</f>
        <v>Servicios de Rayos X e Imaginología contratado con terceros</v>
      </c>
      <c r="U165" s="29">
        <f>+ENERO!U165</f>
        <v>19000000</v>
      </c>
      <c r="V165" s="17">
        <f>AGOSTO!V165+SEPTIEMBRE!AL165</f>
        <v>0</v>
      </c>
      <c r="W165" s="17">
        <f>AGOSTO!W165+SEPTIEMBRE!AM165</f>
        <v>0</v>
      </c>
      <c r="X165" s="20">
        <f t="shared" si="142"/>
        <v>19000000</v>
      </c>
      <c r="Y165" s="21">
        <f>AGOSTO!AA165</f>
        <v>12389000</v>
      </c>
      <c r="Z165" s="457">
        <v>1248000</v>
      </c>
      <c r="AA165" s="20">
        <f t="shared" si="143"/>
        <v>13637000</v>
      </c>
      <c r="AB165" s="21">
        <f>AGOSTO!AD165</f>
        <v>12389000</v>
      </c>
      <c r="AC165" s="457">
        <v>1248000</v>
      </c>
      <c r="AD165" s="20">
        <f t="shared" si="144"/>
        <v>13637000</v>
      </c>
      <c r="AE165" s="21">
        <f>AGOSTO!AG165</f>
        <v>7436000</v>
      </c>
      <c r="AF165" s="457">
        <v>0</v>
      </c>
      <c r="AG165" s="20">
        <f t="shared" si="145"/>
        <v>7436000</v>
      </c>
      <c r="AH165" s="21">
        <f t="shared" si="146"/>
        <v>5363000</v>
      </c>
      <c r="AI165" s="17">
        <f t="shared" si="147"/>
        <v>5363000</v>
      </c>
      <c r="AJ165" s="18">
        <f t="shared" si="148"/>
        <v>11564000</v>
      </c>
      <c r="AK165" s="10"/>
      <c r="AL165" s="455">
        <v>0</v>
      </c>
      <c r="AM165" s="458">
        <v>0</v>
      </c>
      <c r="AN165" s="10"/>
    </row>
    <row r="166" spans="1:40" s="467" customFormat="1" x14ac:dyDescent="0.2">
      <c r="A166" s="623"/>
      <c r="N166" s="10"/>
      <c r="P166" s="10"/>
      <c r="Q166" s="10"/>
      <c r="R166" s="10"/>
      <c r="S166" s="156" t="str">
        <f>+IF(AGOSTO!S166=0,"",AGOSTO!S166)</f>
        <v>2020202-9</v>
      </c>
      <c r="T166" s="55" t="str">
        <f>+IF(AGOSTO!T166=0,"",AGOSTO!T166)</f>
        <v>Arrendamientos</v>
      </c>
      <c r="U166" s="29">
        <f>+ENERO!U166</f>
        <v>5493510</v>
      </c>
      <c r="V166" s="17">
        <f>AGOSTO!V166+SEPTIEMBRE!AL166</f>
        <v>0</v>
      </c>
      <c r="W166" s="17">
        <f>AGOSTO!W166+SEPTIEMBRE!AM166</f>
        <v>0</v>
      </c>
      <c r="X166" s="20">
        <f t="shared" si="142"/>
        <v>5493510</v>
      </c>
      <c r="Y166" s="21">
        <f>AGOSTO!AA166</f>
        <v>5315000</v>
      </c>
      <c r="Z166" s="457">
        <v>0</v>
      </c>
      <c r="AA166" s="20">
        <f t="shared" si="143"/>
        <v>5315000</v>
      </c>
      <c r="AB166" s="21">
        <f>AGOSTO!AD166</f>
        <v>5315000</v>
      </c>
      <c r="AC166" s="457">
        <v>0</v>
      </c>
      <c r="AD166" s="20">
        <f t="shared" si="144"/>
        <v>5315000</v>
      </c>
      <c r="AE166" s="21">
        <f>AGOSTO!AG166</f>
        <v>3012667</v>
      </c>
      <c r="AF166" s="457">
        <v>400000</v>
      </c>
      <c r="AG166" s="20">
        <f t="shared" si="145"/>
        <v>3412667</v>
      </c>
      <c r="AH166" s="21">
        <f t="shared" si="146"/>
        <v>178510</v>
      </c>
      <c r="AI166" s="17">
        <f t="shared" si="147"/>
        <v>178510</v>
      </c>
      <c r="AJ166" s="18">
        <f t="shared" si="148"/>
        <v>2080843</v>
      </c>
      <c r="AK166" s="10"/>
      <c r="AL166" s="455">
        <v>0</v>
      </c>
      <c r="AM166" s="458">
        <v>0</v>
      </c>
      <c r="AN166" s="10"/>
    </row>
    <row r="167" spans="1:40" s="467" customFormat="1" x14ac:dyDescent="0.2">
      <c r="A167" s="623"/>
      <c r="N167" s="10"/>
      <c r="P167" s="10"/>
      <c r="Q167" s="10"/>
      <c r="R167" s="10"/>
      <c r="S167" s="156" t="str">
        <f>+IF(AGOSTO!S167=0,"",AGOSTO!S167)</f>
        <v>2020202-10</v>
      </c>
      <c r="T167" s="55" t="str">
        <f>+IF(AGOSTO!T167=0,"",AGOSTO!T167)</f>
        <v>Servicios Públicos</v>
      </c>
      <c r="U167" s="29">
        <f>+ENERO!U167</f>
        <v>0</v>
      </c>
      <c r="V167" s="17">
        <f>AGOSTO!V167+SEPTIEMBRE!AL167</f>
        <v>0</v>
      </c>
      <c r="W167" s="17">
        <f>AGOSTO!W167+SEPTIEMBRE!AM167</f>
        <v>0</v>
      </c>
      <c r="X167" s="20">
        <f>SUM(U167:W167)</f>
        <v>0</v>
      </c>
      <c r="Y167" s="21">
        <f>AGOSTO!AA167</f>
        <v>0</v>
      </c>
      <c r="Z167" s="457">
        <v>0</v>
      </c>
      <c r="AA167" s="20">
        <f>SUM(Y167:Z167)</f>
        <v>0</v>
      </c>
      <c r="AB167" s="21">
        <f>AGOSTO!AD167</f>
        <v>0</v>
      </c>
      <c r="AC167" s="457">
        <v>0</v>
      </c>
      <c r="AD167" s="20">
        <f>SUM(AB167:AC167)</f>
        <v>0</v>
      </c>
      <c r="AE167" s="21">
        <f>AGOSTO!AG167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+IF(AGOSTO!S168=0,"",AGOSTO!S168)</f>
        <v>2020299</v>
      </c>
      <c r="T168" s="159" t="str">
        <f>+IF(AGOSTO!T168=0,"",AGOSTO!T168)</f>
        <v>Vigencias Anteriores</v>
      </c>
      <c r="U168" s="29">
        <f>+ENERO!U168</f>
        <v>12730159</v>
      </c>
      <c r="V168" s="17">
        <f>AGOSTO!V168+SEPTIEMBRE!AL168</f>
        <v>-2041325</v>
      </c>
      <c r="W168" s="17">
        <f>AGOSTO!W168+SEPTIEMBRE!AM168</f>
        <v>0</v>
      </c>
      <c r="X168" s="20">
        <f t="shared" si="142"/>
        <v>10688834</v>
      </c>
      <c r="Y168" s="21">
        <f>AGOSTO!AA168</f>
        <v>10688834</v>
      </c>
      <c r="Z168" s="457">
        <v>0</v>
      </c>
      <c r="AA168" s="20">
        <f t="shared" si="143"/>
        <v>10688834</v>
      </c>
      <c r="AB168" s="21">
        <f>AGOSTO!AD168</f>
        <v>10688834</v>
      </c>
      <c r="AC168" s="457">
        <v>0</v>
      </c>
      <c r="AD168" s="20">
        <f t="shared" si="144"/>
        <v>10688834</v>
      </c>
      <c r="AE168" s="21">
        <f>AGOSTO!AG168</f>
        <v>10688834</v>
      </c>
      <c r="AF168" s="457">
        <v>0</v>
      </c>
      <c r="AG168" s="20">
        <f t="shared" si="145"/>
        <v>10688834</v>
      </c>
      <c r="AH168" s="21">
        <f t="shared" si="146"/>
        <v>0</v>
      </c>
      <c r="AI168" s="17">
        <f t="shared" si="147"/>
        <v>0</v>
      </c>
      <c r="AJ168" s="18">
        <f t="shared" si="148"/>
        <v>0</v>
      </c>
      <c r="AK168" s="10"/>
      <c r="AL168" s="455">
        <v>0</v>
      </c>
      <c r="AM168" s="458">
        <v>0</v>
      </c>
      <c r="AN168" s="10"/>
    </row>
    <row r="169" spans="1:40" s="467" customFormat="1" ht="15.75" x14ac:dyDescent="0.2">
      <c r="A169" s="623"/>
      <c r="N169" s="10"/>
      <c r="P169" s="10"/>
      <c r="Q169" s="10"/>
      <c r="R169" s="10"/>
      <c r="S169" s="448" t="str">
        <f>+IF(AGOSTO!S169=0,"",AGOSTO!S169)</f>
        <v/>
      </c>
      <c r="T169" s="649" t="str">
        <f>+IF(AGOSTO!T169=0,"",AGOSTO!T169)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+IF(AGOSTO!S170=0,"",AGOSTO!S170)</f>
        <v>3000000</v>
      </c>
      <c r="T170" s="588" t="str">
        <f>+IF(AGOSTO!T170=0,"",AGOSTO!T170)</f>
        <v>TRANSFERENCIAS CORRIENTES</v>
      </c>
      <c r="U170" s="589">
        <f t="shared" ref="U170:AJ170" si="149">U172+U176+U185</f>
        <v>217489235</v>
      </c>
      <c r="V170" s="590">
        <f t="shared" si="149"/>
        <v>-12907692</v>
      </c>
      <c r="W170" s="590">
        <f t="shared" si="149"/>
        <v>0</v>
      </c>
      <c r="X170" s="591">
        <f t="shared" si="149"/>
        <v>204581543</v>
      </c>
      <c r="Y170" s="464">
        <f t="shared" si="149"/>
        <v>95728026</v>
      </c>
      <c r="Z170" s="590">
        <f t="shared" si="149"/>
        <v>7916966</v>
      </c>
      <c r="AA170" s="591">
        <f t="shared" si="149"/>
        <v>103644992</v>
      </c>
      <c r="AB170" s="464">
        <f t="shared" si="149"/>
        <v>95728026</v>
      </c>
      <c r="AC170" s="590">
        <f t="shared" si="149"/>
        <v>7916966</v>
      </c>
      <c r="AD170" s="591">
        <f t="shared" si="149"/>
        <v>103644992</v>
      </c>
      <c r="AE170" s="464">
        <f t="shared" si="149"/>
        <v>92131186</v>
      </c>
      <c r="AF170" s="590">
        <f t="shared" si="149"/>
        <v>8552748</v>
      </c>
      <c r="AG170" s="591">
        <f t="shared" si="149"/>
        <v>100683934</v>
      </c>
      <c r="AH170" s="464">
        <f t="shared" si="149"/>
        <v>100936551</v>
      </c>
      <c r="AI170" s="590">
        <f t="shared" si="149"/>
        <v>100936551</v>
      </c>
      <c r="AJ170" s="465">
        <f t="shared" si="149"/>
        <v>103897609</v>
      </c>
      <c r="AK170" s="10"/>
      <c r="AL170" s="151">
        <f>AL172+AL176+AL185</f>
        <v>0</v>
      </c>
      <c r="AM170" s="153">
        <f>AM172+AM176+AM185</f>
        <v>0</v>
      </c>
      <c r="AN170" s="10"/>
    </row>
    <row r="171" spans="1:40" s="467" customFormat="1" ht="15.75" x14ac:dyDescent="0.2">
      <c r="A171" s="623"/>
      <c r="N171" s="10"/>
      <c r="P171" s="10"/>
      <c r="Q171" s="10"/>
      <c r="R171" s="10"/>
      <c r="S171" s="448" t="str">
        <f>+IF(AGOSTO!S171=0,"",AGOSTO!S171)</f>
        <v/>
      </c>
      <c r="T171" s="649" t="str">
        <f>+IF(AGOSTO!T171=0,"",AGOSTO!T171)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+IF(AGOSTO!S172=0,"",AGOSTO!S172)</f>
        <v>3100000</v>
      </c>
      <c r="T172" s="158" t="str">
        <f>+IF(AGOSTO!T172=0,"",AGOSTO!T172)</f>
        <v>Transferencias al Sector Público</v>
      </c>
      <c r="U172" s="157">
        <f t="shared" ref="U172:AJ172" si="150">SUM(U173:U174)</f>
        <v>2689964</v>
      </c>
      <c r="V172" s="144">
        <f t="shared" si="150"/>
        <v>746499</v>
      </c>
      <c r="W172" s="144">
        <f t="shared" si="150"/>
        <v>0</v>
      </c>
      <c r="X172" s="152">
        <f t="shared" si="150"/>
        <v>3436463</v>
      </c>
      <c r="Y172" s="151">
        <f t="shared" si="150"/>
        <v>1458980</v>
      </c>
      <c r="Z172" s="144">
        <f t="shared" si="150"/>
        <v>203566</v>
      </c>
      <c r="AA172" s="152">
        <f t="shared" si="150"/>
        <v>1662546</v>
      </c>
      <c r="AB172" s="151">
        <f t="shared" si="150"/>
        <v>1458980</v>
      </c>
      <c r="AC172" s="144">
        <f t="shared" si="150"/>
        <v>203566</v>
      </c>
      <c r="AD172" s="152">
        <f t="shared" si="150"/>
        <v>1662546</v>
      </c>
      <c r="AE172" s="151">
        <f t="shared" si="150"/>
        <v>1357197</v>
      </c>
      <c r="AF172" s="144">
        <f t="shared" si="150"/>
        <v>0</v>
      </c>
      <c r="AG172" s="152">
        <f t="shared" si="150"/>
        <v>1357197</v>
      </c>
      <c r="AH172" s="151">
        <f t="shared" si="150"/>
        <v>1773917</v>
      </c>
      <c r="AI172" s="144">
        <f t="shared" si="150"/>
        <v>1773917</v>
      </c>
      <c r="AJ172" s="153">
        <f t="shared" si="150"/>
        <v>2079266</v>
      </c>
      <c r="AK172" s="10"/>
      <c r="AL172" s="151">
        <f>SUM(AL173:AL174)</f>
        <v>0</v>
      </c>
      <c r="AM172" s="153">
        <f>SUM(AM173:AM174)</f>
        <v>0</v>
      </c>
      <c r="AN172" s="10"/>
    </row>
    <row r="173" spans="1:40" s="467" customFormat="1" x14ac:dyDescent="0.2">
      <c r="A173" s="623"/>
      <c r="N173" s="10"/>
      <c r="P173" s="10"/>
      <c r="Q173" s="10"/>
      <c r="R173" s="10"/>
      <c r="S173" s="155">
        <f>+IF(AGOSTO!S173=0,"",AGOSTO!S173)</f>
        <v>3100003</v>
      </c>
      <c r="T173" s="159" t="str">
        <f>+IF(AGOSTO!T173=0,"",AGOSTO!T173)</f>
        <v>Entidades Públicas (Contraloria, Supersalud,…)</v>
      </c>
      <c r="U173" s="29">
        <f>+ENERO!U173</f>
        <v>2689964</v>
      </c>
      <c r="V173" s="17">
        <f>AGOSTO!V173+SEPTIEMBRE!AL173</f>
        <v>0</v>
      </c>
      <c r="W173" s="17">
        <f>AGOSTO!W173+SEPTIEMBRE!AM173</f>
        <v>0</v>
      </c>
      <c r="X173" s="20">
        <f>SUM(U173:W173)</f>
        <v>2689964</v>
      </c>
      <c r="Y173" s="21">
        <f>AGOSTO!AA173</f>
        <v>712481</v>
      </c>
      <c r="Z173" s="457">
        <v>203566</v>
      </c>
      <c r="AA173" s="20">
        <f>SUM(Y173:Z173)</f>
        <v>916047</v>
      </c>
      <c r="AB173" s="21">
        <f>AGOSTO!AD173</f>
        <v>712481</v>
      </c>
      <c r="AC173" s="457">
        <v>203566</v>
      </c>
      <c r="AD173" s="20">
        <f>SUM(AB173:AC173)</f>
        <v>916047</v>
      </c>
      <c r="AE173" s="21">
        <f>AGOSTO!AG173</f>
        <v>610698</v>
      </c>
      <c r="AF173" s="457">
        <v>0</v>
      </c>
      <c r="AG173" s="20">
        <f>SUM(AE173:AF173)</f>
        <v>610698</v>
      </c>
      <c r="AH173" s="21">
        <f>X173-AA173</f>
        <v>1773917</v>
      </c>
      <c r="AI173" s="17">
        <f>X173-AD173</f>
        <v>1773917</v>
      </c>
      <c r="AJ173" s="18">
        <f>X173-AG173</f>
        <v>2079266</v>
      </c>
      <c r="AK173" s="10"/>
      <c r="AL173" s="455">
        <v>0</v>
      </c>
      <c r="AM173" s="458">
        <v>0</v>
      </c>
      <c r="AN173" s="10"/>
    </row>
    <row r="174" spans="1:40" s="467" customFormat="1" x14ac:dyDescent="0.2">
      <c r="A174" s="623"/>
      <c r="N174" s="10"/>
      <c r="P174" s="10"/>
      <c r="Q174" s="10"/>
      <c r="R174" s="10"/>
      <c r="S174" s="155">
        <f>+IF(AGOSTO!S174=0,"",AGOSTO!S174)</f>
        <v>3199999</v>
      </c>
      <c r="T174" s="159" t="str">
        <f>+IF(AGOSTO!T174=0,"",AGOSTO!T174)</f>
        <v>Vigencias Anteriores</v>
      </c>
      <c r="U174" s="29">
        <f>+ENERO!U174</f>
        <v>0</v>
      </c>
      <c r="V174" s="17">
        <f>AGOSTO!V174+SEPTIEMBRE!AL174</f>
        <v>746499</v>
      </c>
      <c r="W174" s="17">
        <f>AGOSTO!W174+SEPTIEMBRE!AM174</f>
        <v>0</v>
      </c>
      <c r="X174" s="20">
        <f>SUM(U174:W174)</f>
        <v>746499</v>
      </c>
      <c r="Y174" s="21">
        <f>AGOSTO!AA174</f>
        <v>746499</v>
      </c>
      <c r="Z174" s="457">
        <v>0</v>
      </c>
      <c r="AA174" s="20">
        <f>SUM(Y174:Z174)</f>
        <v>746499</v>
      </c>
      <c r="AB174" s="21">
        <f>AGOSTO!AD174</f>
        <v>746499</v>
      </c>
      <c r="AC174" s="457">
        <v>0</v>
      </c>
      <c r="AD174" s="20">
        <f>SUM(AB174:AC174)</f>
        <v>746499</v>
      </c>
      <c r="AE174" s="21">
        <f>AGOSTO!AG174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+IF(AGOSTO!S175=0,"",AGOSTO!S175)</f>
        <v/>
      </c>
      <c r="T175" s="649" t="str">
        <f>+IF(AGOSTO!T175=0,"",AGOSTO!T175)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+IF(AGOSTO!S176=0,"",AGOSTO!S176)</f>
        <v>320000</v>
      </c>
      <c r="T176" s="158" t="str">
        <f>+IF(AGOSTO!T176=0,"",AGOSTO!T176)</f>
        <v>Transf. Previsión y Seguridad Social</v>
      </c>
      <c r="U176" s="157">
        <f t="shared" ref="U176:AJ176" si="151">SUM(U177:U183)</f>
        <v>213299271</v>
      </c>
      <c r="V176" s="144">
        <f t="shared" si="151"/>
        <v>-14130741</v>
      </c>
      <c r="W176" s="144">
        <f t="shared" si="151"/>
        <v>0</v>
      </c>
      <c r="X176" s="152">
        <f t="shared" si="151"/>
        <v>199168530</v>
      </c>
      <c r="Y176" s="151">
        <f t="shared" si="151"/>
        <v>93223551</v>
      </c>
      <c r="Z176" s="144">
        <f t="shared" si="151"/>
        <v>7458862</v>
      </c>
      <c r="AA176" s="152">
        <f t="shared" si="151"/>
        <v>100682413</v>
      </c>
      <c r="AB176" s="151">
        <f t="shared" si="151"/>
        <v>93223551</v>
      </c>
      <c r="AC176" s="144">
        <f t="shared" si="151"/>
        <v>7458862</v>
      </c>
      <c r="AD176" s="152">
        <f t="shared" si="151"/>
        <v>100682413</v>
      </c>
      <c r="AE176" s="151">
        <f t="shared" si="151"/>
        <v>90158239</v>
      </c>
      <c r="AF176" s="144">
        <f t="shared" si="151"/>
        <v>8552748</v>
      </c>
      <c r="AG176" s="152">
        <f t="shared" si="151"/>
        <v>98710987</v>
      </c>
      <c r="AH176" s="151">
        <f t="shared" si="151"/>
        <v>98486117</v>
      </c>
      <c r="AI176" s="144">
        <f t="shared" si="151"/>
        <v>98486117</v>
      </c>
      <c r="AJ176" s="153">
        <f t="shared" si="151"/>
        <v>100457543</v>
      </c>
      <c r="AK176" s="10"/>
      <c r="AL176" s="151">
        <f>SUM(AL177:AL183)</f>
        <v>0</v>
      </c>
      <c r="AM176" s="153">
        <f>SUM(AM177:AM183)</f>
        <v>0</v>
      </c>
      <c r="AN176" s="10"/>
    </row>
    <row r="177" spans="1:40" s="467" customFormat="1" x14ac:dyDescent="0.2">
      <c r="A177" s="623"/>
      <c r="N177" s="10"/>
      <c r="P177" s="10"/>
      <c r="Q177" s="10"/>
      <c r="R177" s="10"/>
      <c r="S177" s="155">
        <f>+IF(AGOSTO!S177=0,"",AGOSTO!S177)</f>
        <v>3200100</v>
      </c>
      <c r="T177" s="159" t="str">
        <f>+IF(AGOSTO!T177=0,"",AGOSTO!T177)</f>
        <v>Pensiones y Jubilaciones (Pago Directo)</v>
      </c>
      <c r="U177" s="29">
        <f>+ENERO!U177</f>
        <v>104106866</v>
      </c>
      <c r="V177" s="17">
        <f>AGOSTO!V177+SEPTIEMBRE!AL177</f>
        <v>0</v>
      </c>
      <c r="W177" s="17">
        <f>AGOSTO!W177+SEPTIEMBRE!AM177</f>
        <v>0</v>
      </c>
      <c r="X177" s="20">
        <f t="shared" ref="X177:X183" si="152">SUM(U177:W177)</f>
        <v>104106866</v>
      </c>
      <c r="Y177" s="21">
        <f>AGOSTO!AA177</f>
        <v>66176501</v>
      </c>
      <c r="Z177" s="457">
        <v>7458862</v>
      </c>
      <c r="AA177" s="20">
        <f t="shared" ref="AA177:AA183" si="153">SUM(Y177:Z177)</f>
        <v>73635363</v>
      </c>
      <c r="AB177" s="21">
        <f>AGOSTO!AD177</f>
        <v>66176501</v>
      </c>
      <c r="AC177" s="457">
        <v>7458862</v>
      </c>
      <c r="AD177" s="20">
        <f t="shared" ref="AD177:AD183" si="154">SUM(AB177:AC177)</f>
        <v>73635363</v>
      </c>
      <c r="AE177" s="21">
        <f>AGOSTO!AG177</f>
        <v>65045109</v>
      </c>
      <c r="AF177" s="457">
        <v>7458862</v>
      </c>
      <c r="AG177" s="20">
        <f t="shared" ref="AG177:AG183" si="155">SUM(AE177:AF177)</f>
        <v>72503971</v>
      </c>
      <c r="AH177" s="21">
        <f t="shared" ref="AH177:AH183" si="156">X177-AA177</f>
        <v>30471503</v>
      </c>
      <c r="AI177" s="17">
        <f t="shared" ref="AI177:AI183" si="157">X177-AD177</f>
        <v>30471503</v>
      </c>
      <c r="AJ177" s="18">
        <f t="shared" ref="AJ177:AJ183" si="158">X177-AG177</f>
        <v>31602895</v>
      </c>
      <c r="AK177" s="10"/>
      <c r="AL177" s="455">
        <v>0</v>
      </c>
      <c r="AM177" s="458">
        <v>0</v>
      </c>
      <c r="AN177" s="10"/>
    </row>
    <row r="178" spans="1:40" s="467" customFormat="1" x14ac:dyDescent="0.2">
      <c r="A178" s="623"/>
      <c r="N178" s="10"/>
      <c r="P178" s="10"/>
      <c r="Q178" s="10"/>
      <c r="R178" s="10"/>
      <c r="S178" s="155">
        <f>+IF(AGOSTO!S178=0,"",AGOSTO!S178)</f>
        <v>3200200</v>
      </c>
      <c r="T178" s="159" t="str">
        <f>+IF(AGOSTO!T178=0,"",AGOSTO!T178)</f>
        <v>Cesantías Pago Directo (Pago Directo)</v>
      </c>
      <c r="U178" s="29">
        <f>+ENERO!U178</f>
        <v>22532311</v>
      </c>
      <c r="V178" s="17">
        <f>AGOSTO!V178+SEPTIEMBRE!AL178</f>
        <v>0</v>
      </c>
      <c r="W178" s="17">
        <f>AGOSTO!W178+SEPTIEMBRE!AM178</f>
        <v>0</v>
      </c>
      <c r="X178" s="20">
        <f t="shared" si="152"/>
        <v>22532311</v>
      </c>
      <c r="Y178" s="21">
        <f>AGOSTO!AA178</f>
        <v>5296242</v>
      </c>
      <c r="Z178" s="457">
        <v>0</v>
      </c>
      <c r="AA178" s="20">
        <f t="shared" si="153"/>
        <v>5296242</v>
      </c>
      <c r="AB178" s="21">
        <f>AGOSTO!AD178</f>
        <v>5296242</v>
      </c>
      <c r="AC178" s="457">
        <v>0</v>
      </c>
      <c r="AD178" s="20">
        <f t="shared" si="154"/>
        <v>5296242</v>
      </c>
      <c r="AE178" s="21">
        <f>AGOSTO!AG178</f>
        <v>5000000</v>
      </c>
      <c r="AF178" s="457">
        <v>296242</v>
      </c>
      <c r="AG178" s="20">
        <f t="shared" si="155"/>
        <v>5296242</v>
      </c>
      <c r="AH178" s="21">
        <f t="shared" si="156"/>
        <v>17236069</v>
      </c>
      <c r="AI178" s="17">
        <f t="shared" si="157"/>
        <v>17236069</v>
      </c>
      <c r="AJ178" s="18">
        <f t="shared" si="158"/>
        <v>17236069</v>
      </c>
      <c r="AK178" s="10"/>
      <c r="AL178" s="455">
        <v>0</v>
      </c>
      <c r="AM178" s="458">
        <v>0</v>
      </c>
      <c r="AN178" s="10"/>
    </row>
    <row r="179" spans="1:40" s="467" customFormat="1" x14ac:dyDescent="0.2">
      <c r="A179" s="623"/>
      <c r="N179" s="10"/>
      <c r="P179" s="10"/>
      <c r="Q179" s="10"/>
      <c r="R179" s="10"/>
      <c r="S179" s="155">
        <f>+IF(AGOSTO!S179=0,"",AGOSTO!S179)</f>
        <v>3200300</v>
      </c>
      <c r="T179" s="159" t="str">
        <f>+IF(AGOSTO!T179=0,"",AGOSTO!T179)</f>
        <v>Bonos, Cuotas de Bonos y cuotas partes jubilatorias</v>
      </c>
      <c r="U179" s="29">
        <f>+ENERO!U179</f>
        <v>70000000</v>
      </c>
      <c r="V179" s="17">
        <f>AGOSTO!V179+SEPTIEMBRE!AL179</f>
        <v>-17721746</v>
      </c>
      <c r="W179" s="17">
        <f>AGOSTO!W179+SEPTIEMBRE!AM179</f>
        <v>0</v>
      </c>
      <c r="X179" s="20">
        <f t="shared" si="152"/>
        <v>52278254</v>
      </c>
      <c r="Y179" s="21">
        <f>AGOSTO!AA179</f>
        <v>4205715</v>
      </c>
      <c r="Z179" s="457">
        <v>0</v>
      </c>
      <c r="AA179" s="20">
        <f t="shared" si="153"/>
        <v>4205715</v>
      </c>
      <c r="AB179" s="21">
        <f>AGOSTO!AD179</f>
        <v>4205715</v>
      </c>
      <c r="AC179" s="457">
        <v>0</v>
      </c>
      <c r="AD179" s="20">
        <f t="shared" si="154"/>
        <v>4205715</v>
      </c>
      <c r="AE179" s="21">
        <f>AGOSTO!AG179</f>
        <v>3416959</v>
      </c>
      <c r="AF179" s="457">
        <v>788756</v>
      </c>
      <c r="AG179" s="20">
        <f t="shared" si="155"/>
        <v>4205715</v>
      </c>
      <c r="AH179" s="21">
        <f t="shared" si="156"/>
        <v>48072539</v>
      </c>
      <c r="AI179" s="17">
        <f t="shared" si="157"/>
        <v>48072539</v>
      </c>
      <c r="AJ179" s="18">
        <f t="shared" si="158"/>
        <v>48072539</v>
      </c>
      <c r="AK179" s="10"/>
      <c r="AL179" s="455">
        <v>0</v>
      </c>
      <c r="AM179" s="458">
        <v>0</v>
      </c>
      <c r="AN179" s="10"/>
    </row>
    <row r="180" spans="1:40" s="467" customFormat="1" x14ac:dyDescent="0.2">
      <c r="A180" s="623"/>
      <c r="N180" s="10"/>
      <c r="P180" s="10"/>
      <c r="Q180" s="10"/>
      <c r="R180" s="10"/>
      <c r="S180" s="155">
        <f>+IF(AGOSTO!S180=0,"",AGOSTO!S180)</f>
        <v>3200400</v>
      </c>
      <c r="T180" s="159" t="str">
        <f>+IF(AGOSTO!T180=0,"",AGOSTO!T180)</f>
        <v>Intereses a las cesantias</v>
      </c>
      <c r="U180" s="29">
        <f>+ENERO!U180</f>
        <v>14660094</v>
      </c>
      <c r="V180" s="17">
        <f>AGOSTO!V180+SEPTIEMBRE!AL180</f>
        <v>0</v>
      </c>
      <c r="W180" s="17">
        <f>AGOSTO!W180+SEPTIEMBRE!AM180</f>
        <v>0</v>
      </c>
      <c r="X180" s="20">
        <f t="shared" si="152"/>
        <v>14660094</v>
      </c>
      <c r="Y180" s="21">
        <f>AGOSTO!AA180</f>
        <v>11954088</v>
      </c>
      <c r="Z180" s="457">
        <v>0</v>
      </c>
      <c r="AA180" s="20">
        <f t="shared" si="153"/>
        <v>11954088</v>
      </c>
      <c r="AB180" s="21">
        <f>AGOSTO!AD180</f>
        <v>11954088</v>
      </c>
      <c r="AC180" s="457">
        <v>0</v>
      </c>
      <c r="AD180" s="20">
        <f t="shared" si="154"/>
        <v>11954088</v>
      </c>
      <c r="AE180" s="21">
        <f>AGOSTO!AG180</f>
        <v>11105166</v>
      </c>
      <c r="AF180" s="457">
        <v>8888</v>
      </c>
      <c r="AG180" s="20">
        <f t="shared" si="155"/>
        <v>11114054</v>
      </c>
      <c r="AH180" s="21">
        <f t="shared" si="156"/>
        <v>2706006</v>
      </c>
      <c r="AI180" s="17">
        <f t="shared" si="157"/>
        <v>2706006</v>
      </c>
      <c r="AJ180" s="18">
        <f t="shared" si="158"/>
        <v>3546040</v>
      </c>
      <c r="AK180" s="10"/>
      <c r="AL180" s="455">
        <v>0</v>
      </c>
      <c r="AM180" s="458">
        <v>0</v>
      </c>
      <c r="AN180" s="10"/>
    </row>
    <row r="181" spans="1:40" s="467" customFormat="1" x14ac:dyDescent="0.2">
      <c r="A181" s="623"/>
      <c r="N181" s="10"/>
      <c r="P181" s="10"/>
      <c r="Q181" s="10"/>
      <c r="R181" s="10"/>
      <c r="S181" s="155" t="str">
        <f>+IF(AGOSTO!S181=0,"",AGOSTO!S181)</f>
        <v/>
      </c>
      <c r="T181" s="159" t="str">
        <f>+IF(AGOSTO!T181=0,"",AGOSTO!T181)</f>
        <v/>
      </c>
      <c r="U181" s="29">
        <f>+ENERO!U181</f>
        <v>0</v>
      </c>
      <c r="V181" s="17">
        <f>AGOSTO!V181+SEPTIEMBRE!AL181</f>
        <v>0</v>
      </c>
      <c r="W181" s="17">
        <f>AGOSTO!W181+SEPTIEMBRE!AM181</f>
        <v>0</v>
      </c>
      <c r="X181" s="20">
        <f t="shared" si="152"/>
        <v>0</v>
      </c>
      <c r="Y181" s="21">
        <f>AGOSTO!AA181</f>
        <v>0</v>
      </c>
      <c r="Z181" s="457">
        <v>0</v>
      </c>
      <c r="AA181" s="20">
        <f t="shared" si="153"/>
        <v>0</v>
      </c>
      <c r="AB181" s="21">
        <f>AGOSTO!AD181</f>
        <v>0</v>
      </c>
      <c r="AC181" s="457">
        <v>0</v>
      </c>
      <c r="AD181" s="20">
        <f t="shared" si="154"/>
        <v>0</v>
      </c>
      <c r="AE181" s="21">
        <f>AGOSTO!AG181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N182" s="10"/>
      <c r="P182" s="10"/>
      <c r="Q182" s="10"/>
      <c r="R182" s="10"/>
      <c r="S182" s="155" t="str">
        <f>+IF(AGOSTO!S182=0,"",AGOSTO!S182)</f>
        <v/>
      </c>
      <c r="T182" s="159" t="str">
        <f>+IF(AGOSTO!T182=0,"",AGOSTO!T182)</f>
        <v/>
      </c>
      <c r="U182" s="29">
        <f>+ENERO!U182</f>
        <v>0</v>
      </c>
      <c r="V182" s="17">
        <f>AGOSTO!V182+SEPTIEMBRE!AL182</f>
        <v>0</v>
      </c>
      <c r="W182" s="17">
        <f>AGOSTO!W182+SEPTIEMBRE!AM182</f>
        <v>0</v>
      </c>
      <c r="X182" s="20">
        <f t="shared" si="152"/>
        <v>0</v>
      </c>
      <c r="Y182" s="21">
        <f>AGOSTO!AA182</f>
        <v>0</v>
      </c>
      <c r="Z182" s="457">
        <v>0</v>
      </c>
      <c r="AA182" s="20">
        <f t="shared" si="153"/>
        <v>0</v>
      </c>
      <c r="AB182" s="21">
        <f>AGOSTO!AD182</f>
        <v>0</v>
      </c>
      <c r="AC182" s="457">
        <v>0</v>
      </c>
      <c r="AD182" s="20">
        <f t="shared" si="154"/>
        <v>0</v>
      </c>
      <c r="AE182" s="21">
        <f>AGOSTO!AG182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N183" s="10"/>
      <c r="P183" s="10"/>
      <c r="Q183" s="10"/>
      <c r="R183" s="10"/>
      <c r="S183" s="155">
        <f>+IF(AGOSTO!S183=0,"",AGOSTO!S183)</f>
        <v>3299999</v>
      </c>
      <c r="T183" s="159" t="str">
        <f>+IF(AGOSTO!T183=0,"",AGOSTO!T183)</f>
        <v>Vigencias Anteriores</v>
      </c>
      <c r="U183" s="29">
        <f>+ENERO!U183</f>
        <v>2000000</v>
      </c>
      <c r="V183" s="17">
        <f>AGOSTO!V183+SEPTIEMBRE!AL183</f>
        <v>3591005</v>
      </c>
      <c r="W183" s="17">
        <f>AGOSTO!W183+SEPTIEMBRE!AM183</f>
        <v>0</v>
      </c>
      <c r="X183" s="20">
        <f t="shared" si="152"/>
        <v>5591005</v>
      </c>
      <c r="Y183" s="21">
        <f>AGOSTO!AA183</f>
        <v>5591005</v>
      </c>
      <c r="Z183" s="457">
        <v>0</v>
      </c>
      <c r="AA183" s="20">
        <f t="shared" si="153"/>
        <v>5591005</v>
      </c>
      <c r="AB183" s="21">
        <f>AGOSTO!AD183</f>
        <v>5591005</v>
      </c>
      <c r="AC183" s="457">
        <v>0</v>
      </c>
      <c r="AD183" s="20">
        <f t="shared" si="154"/>
        <v>5591005</v>
      </c>
      <c r="AE183" s="21">
        <f>AGOSTO!AG183</f>
        <v>5591005</v>
      </c>
      <c r="AF183" s="457">
        <v>0</v>
      </c>
      <c r="AG183" s="20">
        <f t="shared" si="155"/>
        <v>5591005</v>
      </c>
      <c r="AH183" s="21">
        <f t="shared" si="156"/>
        <v>0</v>
      </c>
      <c r="AI183" s="17">
        <f t="shared" si="157"/>
        <v>0</v>
      </c>
      <c r="AJ183" s="18">
        <f t="shared" si="158"/>
        <v>0</v>
      </c>
      <c r="AK183" s="10"/>
      <c r="AL183" s="455">
        <v>0</v>
      </c>
      <c r="AM183" s="458">
        <v>0</v>
      </c>
      <c r="AN183" s="10"/>
    </row>
    <row r="184" spans="1:40" s="467" customFormat="1" ht="15.75" x14ac:dyDescent="0.2">
      <c r="A184" s="623"/>
      <c r="N184" s="10"/>
      <c r="P184" s="10"/>
      <c r="Q184" s="10"/>
      <c r="R184" s="10"/>
      <c r="S184" s="448" t="str">
        <f>+IF(AGOSTO!S184=0,"",AGOSTO!S184)</f>
        <v/>
      </c>
      <c r="T184" s="649" t="str">
        <f>+IF(AGOSTO!T184=0,"",AGOSTO!T184)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+IF(AGOSTO!S185=0,"",AGOSTO!S185)</f>
        <v>3300000</v>
      </c>
      <c r="T185" s="158" t="str">
        <f>+IF(AGOSTO!T185=0,"",AGOSTO!T185)</f>
        <v>Otras Transferencias</v>
      </c>
      <c r="U185" s="157">
        <f t="shared" ref="U185:AJ185" si="159">U186+U187+U191</f>
        <v>1500000</v>
      </c>
      <c r="V185" s="144">
        <f t="shared" si="159"/>
        <v>476550</v>
      </c>
      <c r="W185" s="144">
        <f t="shared" si="159"/>
        <v>0</v>
      </c>
      <c r="X185" s="152">
        <f t="shared" si="159"/>
        <v>1976550</v>
      </c>
      <c r="Y185" s="151">
        <f t="shared" si="159"/>
        <v>1045495</v>
      </c>
      <c r="Z185" s="144">
        <f t="shared" si="159"/>
        <v>254538</v>
      </c>
      <c r="AA185" s="152">
        <f t="shared" si="159"/>
        <v>1300033</v>
      </c>
      <c r="AB185" s="151">
        <f t="shared" si="159"/>
        <v>1045495</v>
      </c>
      <c r="AC185" s="144">
        <f t="shared" si="159"/>
        <v>254538</v>
      </c>
      <c r="AD185" s="152">
        <f t="shared" si="159"/>
        <v>1300033</v>
      </c>
      <c r="AE185" s="151">
        <f t="shared" si="159"/>
        <v>615750</v>
      </c>
      <c r="AF185" s="144">
        <f t="shared" si="159"/>
        <v>0</v>
      </c>
      <c r="AG185" s="152">
        <f t="shared" si="159"/>
        <v>615750</v>
      </c>
      <c r="AH185" s="151">
        <f t="shared" si="159"/>
        <v>676517</v>
      </c>
      <c r="AI185" s="144">
        <f t="shared" si="159"/>
        <v>676517</v>
      </c>
      <c r="AJ185" s="153">
        <f t="shared" si="159"/>
        <v>1360800</v>
      </c>
      <c r="AK185" s="10"/>
      <c r="AL185" s="151">
        <f>AL186+AL187+AL191</f>
        <v>0</v>
      </c>
      <c r="AM185" s="153">
        <f>AM186+AM187+AM191</f>
        <v>0</v>
      </c>
      <c r="AN185" s="10"/>
    </row>
    <row r="186" spans="1:40" s="467" customFormat="1" x14ac:dyDescent="0.2">
      <c r="A186" s="623"/>
      <c r="N186" s="10"/>
      <c r="P186" s="10"/>
      <c r="Q186" s="10"/>
      <c r="R186" s="10"/>
      <c r="S186" s="155">
        <f>+IF(AGOSTO!S186=0,"",AGOSTO!S186)</f>
        <v>3300100</v>
      </c>
      <c r="T186" s="159" t="str">
        <f>+IF(AGOSTO!T186=0,"",AGOSTO!T186)</f>
        <v>Sentencias y Conciliaciones</v>
      </c>
      <c r="U186" s="29">
        <f>+ENERO!U186</f>
        <v>0</v>
      </c>
      <c r="V186" s="17">
        <f>AGOSTO!V186+SEPTIEMBRE!AL186</f>
        <v>0</v>
      </c>
      <c r="W186" s="17">
        <f>AGOSTO!W186+SEPTIEMBRE!AM186</f>
        <v>0</v>
      </c>
      <c r="X186" s="20">
        <f>SUM(U186:W186)</f>
        <v>0</v>
      </c>
      <c r="Y186" s="21">
        <f>AGOSTO!AA186</f>
        <v>0</v>
      </c>
      <c r="Z186" s="457">
        <v>0</v>
      </c>
      <c r="AA186" s="20">
        <f>SUM(Y186:Z186)</f>
        <v>0</v>
      </c>
      <c r="AB186" s="21">
        <f>AGOSTO!AD186</f>
        <v>0</v>
      </c>
      <c r="AC186" s="457">
        <v>0</v>
      </c>
      <c r="AD186" s="20">
        <f>SUM(AB186:AC186)</f>
        <v>0</v>
      </c>
      <c r="AE186" s="21">
        <f>AGOSTO!AG186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+IF(AGOSTO!S187=0,"",AGOSTO!S187)</f>
        <v>3300200</v>
      </c>
      <c r="T187" s="159" t="str">
        <f>+IF(AGOSTO!T187=0,"",AGOSTO!T187)</f>
        <v>Destinatarios de otras transferencias</v>
      </c>
      <c r="U187" s="29">
        <f t="shared" ref="U187:AM187" si="160">SUM(U188:U190)</f>
        <v>1500000</v>
      </c>
      <c r="V187" s="17">
        <f t="shared" si="160"/>
        <v>0</v>
      </c>
      <c r="W187" s="17">
        <f t="shared" si="160"/>
        <v>0</v>
      </c>
      <c r="X187" s="20">
        <f t="shared" si="160"/>
        <v>1500000</v>
      </c>
      <c r="Y187" s="21">
        <f t="shared" si="160"/>
        <v>568945</v>
      </c>
      <c r="Z187" s="169">
        <f t="shared" si="160"/>
        <v>254538</v>
      </c>
      <c r="AA187" s="20">
        <f t="shared" si="160"/>
        <v>823483</v>
      </c>
      <c r="AB187" s="21">
        <f t="shared" si="160"/>
        <v>568945</v>
      </c>
      <c r="AC187" s="169">
        <f t="shared" si="160"/>
        <v>254538</v>
      </c>
      <c r="AD187" s="20">
        <f t="shared" si="160"/>
        <v>823483</v>
      </c>
      <c r="AE187" s="21">
        <f t="shared" si="160"/>
        <v>139200</v>
      </c>
      <c r="AF187" s="169">
        <f t="shared" si="160"/>
        <v>0</v>
      </c>
      <c r="AG187" s="20">
        <f t="shared" si="160"/>
        <v>139200</v>
      </c>
      <c r="AH187" s="21">
        <f t="shared" si="160"/>
        <v>676517</v>
      </c>
      <c r="AI187" s="17">
        <f t="shared" si="160"/>
        <v>676517</v>
      </c>
      <c r="AJ187" s="18">
        <f t="shared" si="160"/>
        <v>1360800</v>
      </c>
      <c r="AK187" s="10"/>
      <c r="AL187" s="31">
        <f t="shared" si="160"/>
        <v>0</v>
      </c>
      <c r="AM187" s="28">
        <f t="shared" si="160"/>
        <v>0</v>
      </c>
      <c r="AN187" s="10"/>
    </row>
    <row r="188" spans="1:40" s="467" customFormat="1" x14ac:dyDescent="0.2">
      <c r="A188" s="623"/>
      <c r="B188" s="554"/>
      <c r="N188" s="10"/>
      <c r="P188" s="10"/>
      <c r="Q188" s="10"/>
      <c r="R188" s="10"/>
      <c r="S188" s="156" t="str">
        <f>+IF(AGOSTO!S188=0,"",AGOSTO!S188)</f>
        <v>3300200-1</v>
      </c>
      <c r="T188" s="159" t="str">
        <f>+IF(AGOSTO!T188=0,"",AGOSTO!T188)</f>
        <v>COHAN</v>
      </c>
      <c r="U188" s="29">
        <f>+ENERO!U188</f>
        <v>1500000</v>
      </c>
      <c r="V188" s="17">
        <f>AGOSTO!V188+SEPTIEMBRE!AL188</f>
        <v>0</v>
      </c>
      <c r="W188" s="17">
        <f>AGOSTO!W188+SEPTIEMBRE!AM188</f>
        <v>0</v>
      </c>
      <c r="X188" s="20">
        <f>SUM(U188:W188)</f>
        <v>1500000</v>
      </c>
      <c r="Y188" s="21">
        <f>AGOSTO!AA188</f>
        <v>568945</v>
      </c>
      <c r="Z188" s="457">
        <v>254538</v>
      </c>
      <c r="AA188" s="20">
        <f>SUM(Y188:Z188)</f>
        <v>823483</v>
      </c>
      <c r="AB188" s="21">
        <f>AGOSTO!AD188</f>
        <v>568945</v>
      </c>
      <c r="AC188" s="457">
        <v>254538</v>
      </c>
      <c r="AD188" s="20">
        <f>SUM(AB188:AC188)</f>
        <v>823483</v>
      </c>
      <c r="AE188" s="21">
        <f>AGOSTO!AG188</f>
        <v>139200</v>
      </c>
      <c r="AF188" s="457">
        <v>0</v>
      </c>
      <c r="AG188" s="20">
        <f>SUM(AE188:AF188)</f>
        <v>139200</v>
      </c>
      <c r="AH188" s="21">
        <f>X188-AA188</f>
        <v>676517</v>
      </c>
      <c r="AI188" s="17">
        <f>X188-AD188</f>
        <v>676517</v>
      </c>
      <c r="AJ188" s="18">
        <f>X188-AG188</f>
        <v>1360800</v>
      </c>
      <c r="AK188" s="10"/>
      <c r="AL188" s="455">
        <v>0</v>
      </c>
      <c r="AM188" s="458">
        <v>0</v>
      </c>
      <c r="AN188" s="10"/>
    </row>
    <row r="189" spans="1:40" s="467" customFormat="1" x14ac:dyDescent="0.2">
      <c r="A189" s="623"/>
      <c r="B189" s="554"/>
      <c r="N189" s="10"/>
      <c r="P189" s="10"/>
      <c r="Q189" s="10"/>
      <c r="R189" s="10"/>
      <c r="S189" s="156" t="str">
        <f>+IF(AGOSTO!S189=0,"",AGOSTO!S189)</f>
        <v>3300200-2</v>
      </c>
      <c r="T189" s="159" t="str">
        <f>+IF(AGOSTO!T189=0,"",AGOSTO!T189)</f>
        <v>AESA</v>
      </c>
      <c r="U189" s="29">
        <f>+ENERO!U189</f>
        <v>0</v>
      </c>
      <c r="V189" s="17">
        <f>AGOSTO!V189+SEPTIEMBRE!AL189</f>
        <v>0</v>
      </c>
      <c r="W189" s="17">
        <f>AGOSTO!W189+SEPTIEMBRE!AM189</f>
        <v>0</v>
      </c>
      <c r="X189" s="20">
        <f>SUM(U189:W189)</f>
        <v>0</v>
      </c>
      <c r="Y189" s="21">
        <f>AGOSTO!AA189</f>
        <v>0</v>
      </c>
      <c r="Z189" s="457">
        <v>0</v>
      </c>
      <c r="AA189" s="20">
        <f>SUM(Y189:Z189)</f>
        <v>0</v>
      </c>
      <c r="AB189" s="21">
        <f>AGOSTO!AD189</f>
        <v>0</v>
      </c>
      <c r="AC189" s="457">
        <v>0</v>
      </c>
      <c r="AD189" s="20">
        <f>SUM(AB189:AC189)</f>
        <v>0</v>
      </c>
      <c r="AE189" s="21">
        <f>AGOSTO!AG189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+IF(AGOSTO!S190=0,"",AGOSTO!S190)</f>
        <v>3300200-3</v>
      </c>
      <c r="T190" s="159" t="str">
        <f>+IF(AGOSTO!T190=0,"",AGOSTO!T190)</f>
        <v xml:space="preserve">OTRAS </v>
      </c>
      <c r="U190" s="29">
        <f>+ENERO!U190</f>
        <v>0</v>
      </c>
      <c r="V190" s="17">
        <f>AGOSTO!V190+SEPTIEMBRE!AL190</f>
        <v>0</v>
      </c>
      <c r="W190" s="17">
        <f>AGOSTO!W190+SEPTIEMBRE!AM190</f>
        <v>0</v>
      </c>
      <c r="X190" s="20">
        <f>SUM(U190:W190)</f>
        <v>0</v>
      </c>
      <c r="Y190" s="21">
        <f>AGOSTO!AA190</f>
        <v>0</v>
      </c>
      <c r="Z190" s="457">
        <v>0</v>
      </c>
      <c r="AA190" s="20">
        <f>SUM(Y190:Z190)</f>
        <v>0</v>
      </c>
      <c r="AB190" s="21">
        <f>AGOSTO!AD190</f>
        <v>0</v>
      </c>
      <c r="AC190" s="457">
        <v>0</v>
      </c>
      <c r="AD190" s="20">
        <f>SUM(AB190:AC190)</f>
        <v>0</v>
      </c>
      <c r="AE190" s="21">
        <f>AGOSTO!AG190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+IF(AGOSTO!S191=0,"",AGOSTO!S191)</f>
        <v>3399999</v>
      </c>
      <c r="T191" s="159" t="str">
        <f>+IF(AGOSTO!T191=0,"",AGOSTO!T191)</f>
        <v>Vigencias Anteriores</v>
      </c>
      <c r="U191" s="29">
        <f>+ENERO!U191</f>
        <v>0</v>
      </c>
      <c r="V191" s="17">
        <f>AGOSTO!V191+SEPTIEMBRE!AL191</f>
        <v>476550</v>
      </c>
      <c r="W191" s="17">
        <f>AGOSTO!W191+SEPTIEMBRE!AM191</f>
        <v>0</v>
      </c>
      <c r="X191" s="20">
        <f>SUM(U191:W191)</f>
        <v>476550</v>
      </c>
      <c r="Y191" s="21">
        <f>AGOSTO!AA191</f>
        <v>476550</v>
      </c>
      <c r="Z191" s="457">
        <v>0</v>
      </c>
      <c r="AA191" s="20">
        <f>SUM(Y191:Z191)</f>
        <v>476550</v>
      </c>
      <c r="AB191" s="21">
        <f>AGOSTO!AD191</f>
        <v>476550</v>
      </c>
      <c r="AC191" s="457">
        <v>0</v>
      </c>
      <c r="AD191" s="20">
        <f>SUM(AB191:AC191)</f>
        <v>476550</v>
      </c>
      <c r="AE191" s="21">
        <f>AGOSTO!AG191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+IF(AGOSTO!S192=0,"",AGOSTO!S192)</f>
        <v/>
      </c>
      <c r="T192" s="649" t="str">
        <f>+IF(AGOSTO!T192=0,"",AGOSTO!T192)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+IF(AGOSTO!S193=0,"",AGOSTO!S193)</f>
        <v>4000000</v>
      </c>
      <c r="T193" s="588" t="str">
        <f>+IF(AGOSTO!T193=0,"",AGOSTO!T193)</f>
        <v>GASTOS  DE PRESTACION DE SERVICIOS</v>
      </c>
      <c r="U193" s="589">
        <f t="shared" ref="U193:AJ193" si="161">U194</f>
        <v>355892858</v>
      </c>
      <c r="V193" s="590">
        <f t="shared" si="161"/>
        <v>15217291</v>
      </c>
      <c r="W193" s="590">
        <f t="shared" si="161"/>
        <v>17783068</v>
      </c>
      <c r="X193" s="591">
        <f t="shared" si="161"/>
        <v>388893217</v>
      </c>
      <c r="Y193" s="464">
        <f t="shared" si="161"/>
        <v>250517398</v>
      </c>
      <c r="Z193" s="590">
        <f t="shared" si="161"/>
        <v>39856942</v>
      </c>
      <c r="AA193" s="591">
        <f t="shared" si="161"/>
        <v>290374340</v>
      </c>
      <c r="AB193" s="464">
        <f t="shared" si="161"/>
        <v>250490085</v>
      </c>
      <c r="AC193" s="590">
        <f t="shared" si="161"/>
        <v>39856941</v>
      </c>
      <c r="AD193" s="591">
        <f t="shared" si="161"/>
        <v>290347026</v>
      </c>
      <c r="AE193" s="464">
        <f t="shared" si="161"/>
        <v>170714181</v>
      </c>
      <c r="AF193" s="590">
        <f t="shared" si="161"/>
        <v>24589623</v>
      </c>
      <c r="AG193" s="591">
        <f t="shared" si="161"/>
        <v>195303804</v>
      </c>
      <c r="AH193" s="464">
        <f t="shared" si="161"/>
        <v>98518877</v>
      </c>
      <c r="AI193" s="590">
        <f t="shared" si="161"/>
        <v>98546191</v>
      </c>
      <c r="AJ193" s="465">
        <f t="shared" si="161"/>
        <v>193589413</v>
      </c>
      <c r="AK193" s="10"/>
      <c r="AL193" s="151">
        <f>AL194</f>
        <v>0</v>
      </c>
      <c r="AM193" s="153">
        <f>AM194</f>
        <v>0</v>
      </c>
      <c r="AN193" s="10"/>
    </row>
    <row r="194" spans="1:40" s="467" customFormat="1" ht="15" x14ac:dyDescent="0.2">
      <c r="A194" s="623"/>
      <c r="B194" s="554"/>
      <c r="N194" s="10"/>
      <c r="P194" s="10"/>
      <c r="Q194" s="10"/>
      <c r="R194" s="10"/>
      <c r="S194" s="34">
        <f>+IF(AGOSTO!S194=0,"",AGOSTO!S194)</f>
        <v>4100000</v>
      </c>
      <c r="T194" s="158" t="str">
        <f>+IF(AGOSTO!T194=0,"",AGOSTO!T194)</f>
        <v>Insumos y Suministros Hospitalarios</v>
      </c>
      <c r="U194" s="157">
        <f t="shared" ref="U194:AJ194" si="162">U195+U203+U205</f>
        <v>355892858</v>
      </c>
      <c r="V194" s="144">
        <f t="shared" si="162"/>
        <v>15217291</v>
      </c>
      <c r="W194" s="144">
        <f t="shared" si="162"/>
        <v>17783068</v>
      </c>
      <c r="X194" s="152">
        <f t="shared" si="162"/>
        <v>388893217</v>
      </c>
      <c r="Y194" s="151">
        <f t="shared" si="162"/>
        <v>250517398</v>
      </c>
      <c r="Z194" s="144">
        <f t="shared" si="162"/>
        <v>39856942</v>
      </c>
      <c r="AA194" s="152">
        <f t="shared" si="162"/>
        <v>290374340</v>
      </c>
      <c r="AB194" s="151">
        <f t="shared" si="162"/>
        <v>250490085</v>
      </c>
      <c r="AC194" s="144">
        <f t="shared" si="162"/>
        <v>39856941</v>
      </c>
      <c r="AD194" s="152">
        <f t="shared" si="162"/>
        <v>290347026</v>
      </c>
      <c r="AE194" s="151">
        <f t="shared" si="162"/>
        <v>170714181</v>
      </c>
      <c r="AF194" s="144">
        <f t="shared" si="162"/>
        <v>24589623</v>
      </c>
      <c r="AG194" s="152">
        <f t="shared" si="162"/>
        <v>195303804</v>
      </c>
      <c r="AH194" s="151">
        <f t="shared" si="162"/>
        <v>98518877</v>
      </c>
      <c r="AI194" s="144">
        <f t="shared" si="162"/>
        <v>98546191</v>
      </c>
      <c r="AJ194" s="153">
        <f t="shared" si="162"/>
        <v>193589413</v>
      </c>
      <c r="AK194" s="12"/>
      <c r="AL194" s="151">
        <f>AL195+AL203+AL205</f>
        <v>0</v>
      </c>
      <c r="AM194" s="153">
        <f>AM195+AM203+AM205</f>
        <v>0</v>
      </c>
      <c r="AN194" s="10"/>
    </row>
    <row r="195" spans="1:40" s="467" customFormat="1" x14ac:dyDescent="0.2">
      <c r="A195" s="623"/>
      <c r="B195" s="554"/>
      <c r="N195" s="10"/>
      <c r="P195" s="10"/>
      <c r="Q195" s="10"/>
      <c r="R195" s="10"/>
      <c r="S195" s="155">
        <f>+IF(AGOSTO!S195=0,"",AGOSTO!S195)</f>
        <v>4100100</v>
      </c>
      <c r="T195" s="159" t="str">
        <f>+IF(AGOSTO!T195=0,"",AGOSTO!T195)</f>
        <v>Compra de Bienes para la Prestacion de servicios</v>
      </c>
      <c r="U195" s="29">
        <f t="shared" ref="U195:AJ195" si="163">SUM(U196:U202)</f>
        <v>282124359</v>
      </c>
      <c r="V195" s="17">
        <f t="shared" si="163"/>
        <v>0</v>
      </c>
      <c r="W195" s="17">
        <f t="shared" si="163"/>
        <v>17783068</v>
      </c>
      <c r="X195" s="20">
        <f t="shared" si="163"/>
        <v>299907427</v>
      </c>
      <c r="Y195" s="21">
        <f t="shared" si="163"/>
        <v>178073377</v>
      </c>
      <c r="Z195" s="169">
        <f t="shared" si="163"/>
        <v>38652132</v>
      </c>
      <c r="AA195" s="20">
        <f t="shared" si="163"/>
        <v>216725509</v>
      </c>
      <c r="AB195" s="21">
        <f t="shared" si="163"/>
        <v>178046064</v>
      </c>
      <c r="AC195" s="169">
        <f t="shared" si="163"/>
        <v>38652131</v>
      </c>
      <c r="AD195" s="20">
        <f t="shared" si="163"/>
        <v>216698195</v>
      </c>
      <c r="AE195" s="21">
        <f t="shared" si="163"/>
        <v>99588541</v>
      </c>
      <c r="AF195" s="169">
        <f t="shared" si="163"/>
        <v>23419242</v>
      </c>
      <c r="AG195" s="20">
        <f t="shared" si="163"/>
        <v>123007783</v>
      </c>
      <c r="AH195" s="21">
        <f t="shared" si="163"/>
        <v>83181918</v>
      </c>
      <c r="AI195" s="17">
        <f t="shared" si="163"/>
        <v>83209232</v>
      </c>
      <c r="AJ195" s="18">
        <f t="shared" si="163"/>
        <v>176899644</v>
      </c>
      <c r="AK195" s="10"/>
      <c r="AL195" s="31">
        <f>SUM(AL196:AL202)</f>
        <v>0</v>
      </c>
      <c r="AM195" s="28">
        <f>SUM(AM196:AM202)</f>
        <v>0</v>
      </c>
      <c r="AN195" s="10"/>
    </row>
    <row r="196" spans="1:40" s="467" customFormat="1" x14ac:dyDescent="0.2">
      <c r="A196" s="623"/>
      <c r="B196" s="554"/>
      <c r="N196" s="10"/>
      <c r="P196" s="10"/>
      <c r="Q196" s="10"/>
      <c r="R196" s="10"/>
      <c r="S196" s="156" t="str">
        <f>+IF(AGOSTO!S196=0,"",AGOSTO!S196)</f>
        <v>4100100-1</v>
      </c>
      <c r="T196" s="55" t="str">
        <f>+IF(AGOSTO!T196=0,"",AGOSTO!T196)</f>
        <v>Productos Farmaceuticos</v>
      </c>
      <c r="U196" s="29">
        <f>+ENERO!U196</f>
        <v>185254982</v>
      </c>
      <c r="V196" s="17">
        <f>AGOSTO!V196+SEPTIEMBRE!AL196</f>
        <v>0</v>
      </c>
      <c r="W196" s="17">
        <f>AGOSTO!W196+SEPTIEMBRE!AM196</f>
        <v>17783068</v>
      </c>
      <c r="X196" s="20">
        <f t="shared" ref="X196:X202" si="164">SUM(U196:W196)</f>
        <v>203038050</v>
      </c>
      <c r="Y196" s="21">
        <f>AGOSTO!AA196</f>
        <v>114097898</v>
      </c>
      <c r="Z196" s="457">
        <v>29342208</v>
      </c>
      <c r="AA196" s="20">
        <f t="shared" ref="AA196:AA202" si="165">SUM(Y196:Z196)</f>
        <v>143440106</v>
      </c>
      <c r="AB196" s="21">
        <f>AGOSTO!AD196</f>
        <v>114070889</v>
      </c>
      <c r="AC196" s="457">
        <v>29342208</v>
      </c>
      <c r="AD196" s="20">
        <f t="shared" ref="AD196:AD202" si="166">SUM(AB196:AC196)</f>
        <v>143413097</v>
      </c>
      <c r="AE196" s="21">
        <f>AGOSTO!AG196</f>
        <v>65523780</v>
      </c>
      <c r="AF196" s="457">
        <v>13681701</v>
      </c>
      <c r="AG196" s="20">
        <f t="shared" ref="AG196:AG202" si="167">SUM(AE196:AF196)</f>
        <v>79205481</v>
      </c>
      <c r="AH196" s="21">
        <f t="shared" ref="AH196:AH202" si="168">X196-AA196</f>
        <v>59597944</v>
      </c>
      <c r="AI196" s="17">
        <f t="shared" ref="AI196:AI202" si="169">X196-AD196</f>
        <v>59624953</v>
      </c>
      <c r="AJ196" s="18">
        <f t="shared" ref="AJ196:AJ202" si="170">X196-AG196</f>
        <v>123832569</v>
      </c>
      <c r="AK196" s="10"/>
      <c r="AL196" s="455">
        <v>0</v>
      </c>
      <c r="AM196" s="458">
        <v>0</v>
      </c>
      <c r="AN196" s="10"/>
    </row>
    <row r="197" spans="1:40" s="467" customFormat="1" x14ac:dyDescent="0.2">
      <c r="A197" s="623"/>
      <c r="B197" s="554"/>
      <c r="N197" s="10"/>
      <c r="P197" s="10"/>
      <c r="Q197" s="10"/>
      <c r="R197" s="10"/>
      <c r="S197" s="156" t="str">
        <f>+IF(AGOSTO!S197=0,"",AGOSTO!S197)</f>
        <v>4100100-2</v>
      </c>
      <c r="T197" s="55" t="str">
        <f>+IF(AGOSTO!T197=0,"",AGOSTO!T197)</f>
        <v>Material Médico Quirúrgico</v>
      </c>
      <c r="U197" s="29">
        <f>+ENERO!U197</f>
        <v>45805235</v>
      </c>
      <c r="V197" s="17">
        <f>AGOSTO!V197+SEPTIEMBRE!AL197</f>
        <v>0</v>
      </c>
      <c r="W197" s="17">
        <f>AGOSTO!W197+SEPTIEMBRE!AM197</f>
        <v>0</v>
      </c>
      <c r="X197" s="20">
        <f t="shared" si="164"/>
        <v>45805235</v>
      </c>
      <c r="Y197" s="21">
        <f>AGOSTO!AA197</f>
        <v>32598191</v>
      </c>
      <c r="Z197" s="457">
        <v>7154704</v>
      </c>
      <c r="AA197" s="20">
        <f t="shared" si="165"/>
        <v>39752895</v>
      </c>
      <c r="AB197" s="21">
        <f>AGOSTO!AD197</f>
        <v>32598187</v>
      </c>
      <c r="AC197" s="457">
        <v>7154703</v>
      </c>
      <c r="AD197" s="20">
        <f t="shared" si="166"/>
        <v>39752890</v>
      </c>
      <c r="AE197" s="21">
        <f>AGOSTO!AG197</f>
        <v>17415325</v>
      </c>
      <c r="AF197" s="457">
        <v>6723809</v>
      </c>
      <c r="AG197" s="20">
        <f t="shared" si="167"/>
        <v>24139134</v>
      </c>
      <c r="AH197" s="21">
        <f t="shared" si="168"/>
        <v>6052340</v>
      </c>
      <c r="AI197" s="17">
        <f t="shared" si="169"/>
        <v>6052345</v>
      </c>
      <c r="AJ197" s="18">
        <f t="shared" si="170"/>
        <v>21666101</v>
      </c>
      <c r="AK197" s="10"/>
      <c r="AL197" s="455">
        <v>0</v>
      </c>
      <c r="AM197" s="458">
        <v>0</v>
      </c>
      <c r="AN197" s="10"/>
    </row>
    <row r="198" spans="1:40" s="467" customFormat="1" x14ac:dyDescent="0.2">
      <c r="A198" s="623"/>
      <c r="B198" s="554"/>
      <c r="N198" s="10"/>
      <c r="P198" s="10"/>
      <c r="Q198" s="10"/>
      <c r="R198" s="10"/>
      <c r="S198" s="156" t="str">
        <f>+IF(AGOSTO!S198=0,"",AGOSTO!S198)</f>
        <v>4100100-3</v>
      </c>
      <c r="T198" s="55" t="str">
        <f>+IF(AGOSTO!T198=0,"",AGOSTO!T198)</f>
        <v>Material de Laboratorio</v>
      </c>
      <c r="U198" s="29">
        <f>+ENERO!U198</f>
        <v>28507645</v>
      </c>
      <c r="V198" s="17">
        <f>AGOSTO!V198+SEPTIEMBRE!AL198</f>
        <v>0</v>
      </c>
      <c r="W198" s="17">
        <f>AGOSTO!W198+SEPTIEMBRE!AM198</f>
        <v>0</v>
      </c>
      <c r="X198" s="20">
        <f t="shared" si="164"/>
        <v>28507645</v>
      </c>
      <c r="Y198" s="21">
        <f>AGOSTO!AA198</f>
        <v>18785466</v>
      </c>
      <c r="Z198" s="457">
        <v>842560</v>
      </c>
      <c r="AA198" s="20">
        <f t="shared" si="165"/>
        <v>19628026</v>
      </c>
      <c r="AB198" s="21">
        <f>AGOSTO!AD198</f>
        <v>18785166</v>
      </c>
      <c r="AC198" s="457">
        <v>842560</v>
      </c>
      <c r="AD198" s="20">
        <f t="shared" si="166"/>
        <v>19627726</v>
      </c>
      <c r="AE198" s="21">
        <f>AGOSTO!AG198</f>
        <v>9356764</v>
      </c>
      <c r="AF198" s="457">
        <v>1421246</v>
      </c>
      <c r="AG198" s="20">
        <f t="shared" si="167"/>
        <v>10778010</v>
      </c>
      <c r="AH198" s="21">
        <f t="shared" si="168"/>
        <v>8879619</v>
      </c>
      <c r="AI198" s="17">
        <f t="shared" si="169"/>
        <v>8879919</v>
      </c>
      <c r="AJ198" s="18">
        <f t="shared" si="170"/>
        <v>17729635</v>
      </c>
      <c r="AK198" s="10"/>
      <c r="AL198" s="455">
        <v>0</v>
      </c>
      <c r="AM198" s="458">
        <v>0</v>
      </c>
      <c r="AN198" s="10"/>
    </row>
    <row r="199" spans="1:40" s="467" customFormat="1" x14ac:dyDescent="0.2">
      <c r="A199" s="623"/>
      <c r="B199" s="554"/>
      <c r="N199" s="10"/>
      <c r="P199" s="10"/>
      <c r="Q199" s="10"/>
      <c r="R199" s="10"/>
      <c r="S199" s="156" t="str">
        <f>+IF(AGOSTO!S199=0,"",AGOSTO!S199)</f>
        <v>4100100-4</v>
      </c>
      <c r="T199" s="55" t="str">
        <f>+IF(AGOSTO!T199=0,"",AGOSTO!T199)</f>
        <v>Material para Odontologia</v>
      </c>
      <c r="U199" s="29">
        <f>+ENERO!U199</f>
        <v>13598841</v>
      </c>
      <c r="V199" s="17">
        <f>AGOSTO!V199+SEPTIEMBRE!AL199</f>
        <v>0</v>
      </c>
      <c r="W199" s="17">
        <f>AGOSTO!W199+SEPTIEMBRE!AM199</f>
        <v>0</v>
      </c>
      <c r="X199" s="20">
        <f t="shared" si="164"/>
        <v>13598841</v>
      </c>
      <c r="Y199" s="21">
        <f>AGOSTO!AA199</f>
        <v>8684054</v>
      </c>
      <c r="Z199" s="457">
        <v>1312660</v>
      </c>
      <c r="AA199" s="20">
        <f t="shared" si="165"/>
        <v>9996714</v>
      </c>
      <c r="AB199" s="21">
        <f>AGOSTO!AD199</f>
        <v>8684054</v>
      </c>
      <c r="AC199" s="457">
        <v>1312660</v>
      </c>
      <c r="AD199" s="20">
        <f t="shared" si="166"/>
        <v>9996714</v>
      </c>
      <c r="AE199" s="21">
        <f>AGOSTO!AG199</f>
        <v>4977390</v>
      </c>
      <c r="AF199" s="457">
        <v>0</v>
      </c>
      <c r="AG199" s="20">
        <f t="shared" si="167"/>
        <v>4977390</v>
      </c>
      <c r="AH199" s="21">
        <f t="shared" si="168"/>
        <v>3602127</v>
      </c>
      <c r="AI199" s="17">
        <f t="shared" si="169"/>
        <v>3602127</v>
      </c>
      <c r="AJ199" s="18">
        <f t="shared" si="170"/>
        <v>8621451</v>
      </c>
      <c r="AK199" s="10"/>
      <c r="AL199" s="455">
        <v>0</v>
      </c>
      <c r="AM199" s="458">
        <v>0</v>
      </c>
      <c r="AN199" s="10"/>
    </row>
    <row r="200" spans="1:40" s="467" customFormat="1" x14ac:dyDescent="0.2">
      <c r="A200" s="623"/>
      <c r="B200" s="554"/>
      <c r="N200" s="10"/>
      <c r="P200" s="10"/>
      <c r="Q200" s="10"/>
      <c r="R200" s="10"/>
      <c r="S200" s="156" t="str">
        <f>+IF(AGOSTO!S200=0,"",AGOSTO!S200)</f>
        <v>4100100-5</v>
      </c>
      <c r="T200" s="55" t="str">
        <f>+IF(AGOSTO!T200=0,"",AGOSTO!T200)</f>
        <v>Material para Rayos X</v>
      </c>
      <c r="U200" s="29">
        <f>+ENERO!U200</f>
        <v>8957656</v>
      </c>
      <c r="V200" s="17">
        <f>AGOSTO!V200+SEPTIEMBRE!AL200</f>
        <v>0</v>
      </c>
      <c r="W200" s="17">
        <f>AGOSTO!W200+SEPTIEMBRE!AM200</f>
        <v>0</v>
      </c>
      <c r="X200" s="20">
        <f t="shared" si="164"/>
        <v>8957656</v>
      </c>
      <c r="Y200" s="21">
        <f>AGOSTO!AA200</f>
        <v>3907768</v>
      </c>
      <c r="Z200" s="457">
        <v>0</v>
      </c>
      <c r="AA200" s="20">
        <f t="shared" si="165"/>
        <v>3907768</v>
      </c>
      <c r="AB200" s="21">
        <f>AGOSTO!AD200</f>
        <v>3907768</v>
      </c>
      <c r="AC200" s="457">
        <v>0</v>
      </c>
      <c r="AD200" s="20">
        <f t="shared" si="166"/>
        <v>3907768</v>
      </c>
      <c r="AE200" s="21">
        <f>AGOSTO!AG200</f>
        <v>2315282</v>
      </c>
      <c r="AF200" s="457">
        <v>1592486</v>
      </c>
      <c r="AG200" s="20">
        <f t="shared" si="167"/>
        <v>3907768</v>
      </c>
      <c r="AH200" s="21">
        <f t="shared" si="168"/>
        <v>5049888</v>
      </c>
      <c r="AI200" s="17">
        <f t="shared" si="169"/>
        <v>5049888</v>
      </c>
      <c r="AJ200" s="18">
        <f t="shared" si="170"/>
        <v>5049888</v>
      </c>
      <c r="AK200" s="10"/>
      <c r="AL200" s="455">
        <v>0</v>
      </c>
      <c r="AM200" s="458">
        <v>0</v>
      </c>
      <c r="AN200" s="10"/>
    </row>
    <row r="201" spans="1:40" s="467" customFormat="1" x14ac:dyDescent="0.2">
      <c r="A201" s="623"/>
      <c r="B201" s="554"/>
      <c r="N201" s="10"/>
      <c r="P201" s="10"/>
      <c r="Q201" s="10"/>
      <c r="R201" s="10"/>
      <c r="S201" s="156" t="str">
        <f>+IF(AGOSTO!S201=0,"",AGOSTO!S201)</f>
        <v/>
      </c>
      <c r="T201" s="55" t="str">
        <f>+IF(AGOSTO!T201=0,"",AGOSTO!T201)</f>
        <v/>
      </c>
      <c r="U201" s="29">
        <f>+ENERO!U201</f>
        <v>0</v>
      </c>
      <c r="V201" s="17">
        <f>AGOSTO!V201+SEPTIEMBRE!AL201</f>
        <v>0</v>
      </c>
      <c r="W201" s="17">
        <f>AGOSTO!W201+SEPTIEMBRE!AM201</f>
        <v>0</v>
      </c>
      <c r="X201" s="20">
        <f t="shared" si="164"/>
        <v>0</v>
      </c>
      <c r="Y201" s="21">
        <f>AGOSTO!AA201</f>
        <v>0</v>
      </c>
      <c r="Z201" s="457">
        <v>0</v>
      </c>
      <c r="AA201" s="20">
        <f t="shared" si="165"/>
        <v>0</v>
      </c>
      <c r="AB201" s="21">
        <f>AGOSTO!AD201</f>
        <v>0</v>
      </c>
      <c r="AC201" s="457">
        <v>0</v>
      </c>
      <c r="AD201" s="20">
        <f t="shared" si="166"/>
        <v>0</v>
      </c>
      <c r="AE201" s="21">
        <f>AGOSTO!AG201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N202" s="10"/>
      <c r="P202" s="10"/>
      <c r="Q202" s="10"/>
      <c r="R202" s="10"/>
      <c r="S202" s="156" t="str">
        <f>+IF(AGOSTO!S202=0,"",AGOSTO!S202)</f>
        <v/>
      </c>
      <c r="T202" s="55" t="str">
        <f>+IF(AGOSTO!T202=0,"",AGOSTO!T202)</f>
        <v/>
      </c>
      <c r="U202" s="29">
        <f>+ENERO!U202</f>
        <v>0</v>
      </c>
      <c r="V202" s="17">
        <f>AGOSTO!V202+SEPTIEMBRE!AL202</f>
        <v>0</v>
      </c>
      <c r="W202" s="17">
        <f>AGOSTO!W202+SEPTIEMBRE!AM202</f>
        <v>0</v>
      </c>
      <c r="X202" s="20">
        <f t="shared" si="164"/>
        <v>0</v>
      </c>
      <c r="Y202" s="21">
        <f>AGOSTO!AA202</f>
        <v>0</v>
      </c>
      <c r="Z202" s="457">
        <v>0</v>
      </c>
      <c r="AA202" s="20">
        <f t="shared" si="165"/>
        <v>0</v>
      </c>
      <c r="AB202" s="21">
        <f>AGOSTO!AD202</f>
        <v>0</v>
      </c>
      <c r="AC202" s="457">
        <v>0</v>
      </c>
      <c r="AD202" s="20">
        <f t="shared" si="166"/>
        <v>0</v>
      </c>
      <c r="AE202" s="21">
        <f>AGOSTO!AG202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N203" s="10"/>
      <c r="P203" s="10"/>
      <c r="Q203" s="10"/>
      <c r="R203" s="10"/>
      <c r="S203" s="155">
        <f>+IF(AGOSTO!S203=0,"",AGOSTO!S203)</f>
        <v>4100200</v>
      </c>
      <c r="T203" s="159" t="str">
        <f>+IF(AGOSTO!T203=0,"",AGOSTO!T203)</f>
        <v>Gastos Complementarios e Intermedios</v>
      </c>
      <c r="U203" s="29">
        <f t="shared" ref="U203:AJ203" si="171">U204</f>
        <v>28768499</v>
      </c>
      <c r="V203" s="17">
        <f t="shared" si="171"/>
        <v>0</v>
      </c>
      <c r="W203" s="17">
        <f t="shared" si="171"/>
        <v>0</v>
      </c>
      <c r="X203" s="20">
        <f t="shared" si="171"/>
        <v>28768499</v>
      </c>
      <c r="Y203" s="21">
        <f t="shared" si="171"/>
        <v>12226730</v>
      </c>
      <c r="Z203" s="169">
        <f t="shared" si="171"/>
        <v>1204810</v>
      </c>
      <c r="AA203" s="20">
        <f t="shared" si="171"/>
        <v>13431540</v>
      </c>
      <c r="AB203" s="21">
        <f t="shared" si="171"/>
        <v>12226730</v>
      </c>
      <c r="AC203" s="169">
        <f t="shared" si="171"/>
        <v>1204810</v>
      </c>
      <c r="AD203" s="20">
        <f t="shared" si="171"/>
        <v>13431540</v>
      </c>
      <c r="AE203" s="21">
        <f t="shared" si="171"/>
        <v>10908349</v>
      </c>
      <c r="AF203" s="169">
        <f t="shared" si="171"/>
        <v>1170381</v>
      </c>
      <c r="AG203" s="20">
        <f t="shared" si="171"/>
        <v>12078730</v>
      </c>
      <c r="AH203" s="21">
        <f t="shared" si="171"/>
        <v>15336959</v>
      </c>
      <c r="AI203" s="17">
        <f t="shared" si="171"/>
        <v>15336959</v>
      </c>
      <c r="AJ203" s="18">
        <f t="shared" si="171"/>
        <v>16689769</v>
      </c>
      <c r="AK203" s="10"/>
      <c r="AL203" s="31">
        <f>AL204</f>
        <v>0</v>
      </c>
      <c r="AM203" s="28">
        <f>AM204</f>
        <v>0</v>
      </c>
      <c r="AN203" s="10"/>
    </row>
    <row r="204" spans="1:40" s="467" customFormat="1" x14ac:dyDescent="0.2">
      <c r="A204" s="623"/>
      <c r="B204" s="554"/>
      <c r="N204" s="10"/>
      <c r="P204" s="10"/>
      <c r="Q204" s="10"/>
      <c r="R204" s="10"/>
      <c r="S204" s="156" t="str">
        <f>+IF(AGOSTO!S204=0,"",AGOSTO!S204)</f>
        <v>4100200-1</v>
      </c>
      <c r="T204" s="55" t="str">
        <f>+IF(AGOSTO!T204=0,"",AGOSTO!T204)</f>
        <v>Alimentación</v>
      </c>
      <c r="U204" s="29">
        <f>+ENERO!U204</f>
        <v>28768499</v>
      </c>
      <c r="V204" s="17">
        <f>AGOSTO!V204+SEPTIEMBRE!AL204</f>
        <v>0</v>
      </c>
      <c r="W204" s="17">
        <f>AGOSTO!W204+SEPTIEMBRE!AM204</f>
        <v>0</v>
      </c>
      <c r="X204" s="20">
        <f>SUM(U204:W204)</f>
        <v>28768499</v>
      </c>
      <c r="Y204" s="21">
        <f>AGOSTO!AA204</f>
        <v>12226730</v>
      </c>
      <c r="Z204" s="457">
        <v>1204810</v>
      </c>
      <c r="AA204" s="20">
        <f>SUM(Y204:Z204)</f>
        <v>13431540</v>
      </c>
      <c r="AB204" s="21">
        <f>AGOSTO!AD204</f>
        <v>12226730</v>
      </c>
      <c r="AC204" s="457">
        <v>1204810</v>
      </c>
      <c r="AD204" s="20">
        <f>SUM(AB204:AC204)</f>
        <v>13431540</v>
      </c>
      <c r="AE204" s="21">
        <f>AGOSTO!AG204</f>
        <v>10908349</v>
      </c>
      <c r="AF204" s="457">
        <v>1170381</v>
      </c>
      <c r="AG204" s="20">
        <f>SUM(AE204:AF204)</f>
        <v>12078730</v>
      </c>
      <c r="AH204" s="21">
        <f>X204-AA204</f>
        <v>15336959</v>
      </c>
      <c r="AI204" s="17">
        <f>X204-AD204</f>
        <v>15336959</v>
      </c>
      <c r="AJ204" s="18">
        <f>X204-AG204</f>
        <v>16689769</v>
      </c>
      <c r="AK204" s="10"/>
      <c r="AL204" s="455">
        <v>0</v>
      </c>
      <c r="AM204" s="458">
        <v>0</v>
      </c>
      <c r="AN204" s="10"/>
    </row>
    <row r="205" spans="1:40" s="467" customFormat="1" ht="13.5" thickBot="1" x14ac:dyDescent="0.25">
      <c r="A205" s="623"/>
      <c r="B205" s="554"/>
      <c r="N205" s="10"/>
      <c r="P205" s="10"/>
      <c r="Q205" s="10"/>
      <c r="R205" s="10"/>
      <c r="S205" s="624">
        <f>+IF(AGOSTO!S205=0,"",AGOSTO!S205)</f>
        <v>4199999</v>
      </c>
      <c r="T205" s="625" t="str">
        <f>+IF(AGOSTO!T205=0,"",AGOSTO!T205)</f>
        <v>Vigencias Anteriores</v>
      </c>
      <c r="U205" s="160">
        <f>+ENERO!U205</f>
        <v>45000000</v>
      </c>
      <c r="V205" s="143">
        <f>AGOSTO!V205+SEPTIEMBRE!AL205</f>
        <v>15217291</v>
      </c>
      <c r="W205" s="143">
        <f>AGOSTO!W205+SEPTIEMBRE!AM205</f>
        <v>0</v>
      </c>
      <c r="X205" s="149">
        <f>SUM(U205:W205)</f>
        <v>60217291</v>
      </c>
      <c r="Y205" s="147">
        <f>AGOSTO!AA205</f>
        <v>60217291</v>
      </c>
      <c r="Z205" s="475">
        <v>0</v>
      </c>
      <c r="AA205" s="149">
        <f>SUM(Y205:Z205)</f>
        <v>60217291</v>
      </c>
      <c r="AB205" s="147">
        <f>AGOSTO!AD205</f>
        <v>60217291</v>
      </c>
      <c r="AC205" s="475">
        <v>0</v>
      </c>
      <c r="AD205" s="149">
        <f>SUM(AB205:AC205)</f>
        <v>60217291</v>
      </c>
      <c r="AE205" s="147">
        <f>AGOSTO!AG205</f>
        <v>60217291</v>
      </c>
      <c r="AF205" s="475">
        <v>0</v>
      </c>
      <c r="AG205" s="149">
        <f>SUM(AE205:AF205)</f>
        <v>60217291</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+IF(AGOSTO!S206=0,"",AGOSTO!S206)</f>
        <v/>
      </c>
      <c r="T206" s="628" t="str">
        <f>+IF(AGOSTO!T206=0,"",AGOSTO!T206)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+IF(AGOSTO!S207=0,"",AGOSTO!S207)</f>
        <v>B</v>
      </c>
      <c r="T207" s="655" t="str">
        <f>+IF(AGOSTO!T207=0,"",AGOSTO!T207)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+IF(AGOSTO!S209=0,"",AGOSTO!S209)</f>
        <v>5000000</v>
      </c>
      <c r="T209" s="588" t="s">
        <v>480</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N210" s="10"/>
      <c r="P210" s="10"/>
      <c r="Q210" s="10"/>
      <c r="R210" s="10"/>
      <c r="S210" s="34">
        <f>+IF(AGOSTO!S210=0,"",AGOSTO!S210)</f>
        <v>5100000</v>
      </c>
      <c r="T210" s="158" t="str">
        <f>+IF(AGOSTO!T210=0,"",AGOSTO!T210)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N211" s="10"/>
      <c r="P211" s="10"/>
      <c r="Q211" s="10"/>
      <c r="R211" s="10"/>
      <c r="S211" s="155">
        <f>+IF(AGOSTO!S211=0,"",AGOSTO!S211)</f>
        <v>5100100</v>
      </c>
      <c r="T211" s="159" t="str">
        <f>+IF(AGOSTO!T211=0,"",AGOSTO!T211)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N212" s="10"/>
      <c r="P212" s="10"/>
      <c r="Q212" s="10"/>
      <c r="R212" s="10"/>
      <c r="S212" s="156" t="str">
        <f>+IF(AGOSTO!S212=0,"",AGOSTO!S212)</f>
        <v>5100100-1</v>
      </c>
      <c r="T212" s="55" t="str">
        <f>+IF(AGOSTO!T212=0,"",AGOSTO!T212)</f>
        <v>Productos Farmaceuticos</v>
      </c>
      <c r="U212" s="29">
        <f>+ENERO!U212</f>
        <v>0</v>
      </c>
      <c r="V212" s="17">
        <f>AGOSTO!V212+SEPTIEMBRE!AL212</f>
        <v>0</v>
      </c>
      <c r="W212" s="17">
        <f>AGOSTO!W212+SEPTIEMBRE!AM212</f>
        <v>0</v>
      </c>
      <c r="X212" s="20">
        <f t="shared" ref="X212:X218" si="176">SUM(U212:W212)</f>
        <v>0</v>
      </c>
      <c r="Y212" s="21">
        <f>AGOSTO!AA212</f>
        <v>0</v>
      </c>
      <c r="Z212" s="457">
        <v>0</v>
      </c>
      <c r="AA212" s="20">
        <f t="shared" ref="AA212:AA218" si="177">SUM(Y212:Z212)</f>
        <v>0</v>
      </c>
      <c r="AB212" s="21">
        <f>AGOSTO!AD212</f>
        <v>0</v>
      </c>
      <c r="AC212" s="457">
        <v>0</v>
      </c>
      <c r="AD212" s="20">
        <f t="shared" ref="AD212:AD218" si="178">SUM(AB212:AC212)</f>
        <v>0</v>
      </c>
      <c r="AE212" s="21">
        <f>AGOSTO!AG212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N213" s="10"/>
      <c r="P213" s="10"/>
      <c r="Q213" s="10"/>
      <c r="R213" s="10"/>
      <c r="S213" s="156" t="str">
        <f>+IF(AGOSTO!S213=0,"",AGOSTO!S213)</f>
        <v>5100100-2</v>
      </c>
      <c r="T213" s="55" t="str">
        <f>+IF(AGOSTO!T213=0,"",AGOSTO!T213)</f>
        <v>Material Médico Quirúrgico</v>
      </c>
      <c r="U213" s="29">
        <f>+ENERO!U213</f>
        <v>0</v>
      </c>
      <c r="V213" s="17">
        <f>AGOSTO!V213+SEPTIEMBRE!AL213</f>
        <v>0</v>
      </c>
      <c r="W213" s="17">
        <f>AGOSTO!W213+SEPTIEMBRE!AM213</f>
        <v>0</v>
      </c>
      <c r="X213" s="20">
        <f t="shared" si="176"/>
        <v>0</v>
      </c>
      <c r="Y213" s="21">
        <f>AGOSTO!AA213</f>
        <v>0</v>
      </c>
      <c r="Z213" s="457">
        <v>0</v>
      </c>
      <c r="AA213" s="20">
        <f t="shared" si="177"/>
        <v>0</v>
      </c>
      <c r="AB213" s="21">
        <f>AGOSTO!AD213</f>
        <v>0</v>
      </c>
      <c r="AC213" s="457">
        <v>0</v>
      </c>
      <c r="AD213" s="20">
        <f t="shared" si="178"/>
        <v>0</v>
      </c>
      <c r="AE213" s="21">
        <f>AGOSTO!AG213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N214" s="10"/>
      <c r="P214" s="10"/>
      <c r="Q214" s="10"/>
      <c r="R214" s="10"/>
      <c r="S214" s="156" t="str">
        <f>+IF(AGOSTO!S214=0,"",AGOSTO!S214)</f>
        <v>5100100-3</v>
      </c>
      <c r="T214" s="55" t="str">
        <f>+IF(AGOSTO!T214=0,"",AGOSTO!T214)</f>
        <v>Material de Laboratorio</v>
      </c>
      <c r="U214" s="29">
        <f>+ENERO!U214</f>
        <v>0</v>
      </c>
      <c r="V214" s="17">
        <f>AGOSTO!V214+SEPTIEMBRE!AL214</f>
        <v>0</v>
      </c>
      <c r="W214" s="17">
        <f>AGOSTO!W214+SEPTIEMBRE!AM214</f>
        <v>0</v>
      </c>
      <c r="X214" s="20">
        <f t="shared" si="176"/>
        <v>0</v>
      </c>
      <c r="Y214" s="21">
        <f>AGOSTO!AA214</f>
        <v>0</v>
      </c>
      <c r="Z214" s="457">
        <v>0</v>
      </c>
      <c r="AA214" s="20">
        <f t="shared" si="177"/>
        <v>0</v>
      </c>
      <c r="AB214" s="21">
        <f>AGOSTO!AD214</f>
        <v>0</v>
      </c>
      <c r="AC214" s="457">
        <v>0</v>
      </c>
      <c r="AD214" s="20">
        <f t="shared" si="178"/>
        <v>0</v>
      </c>
      <c r="AE214" s="21">
        <f>AGOSTO!AG214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N215" s="10"/>
      <c r="P215" s="10"/>
      <c r="Q215" s="10"/>
      <c r="R215" s="10"/>
      <c r="S215" s="156" t="str">
        <f>+IF(AGOSTO!S215=0,"",AGOSTO!S215)</f>
        <v>5100100-4</v>
      </c>
      <c r="T215" s="55" t="str">
        <f>+IF(AGOSTO!T215=0,"",AGOSTO!T215)</f>
        <v>Material para Odontologia</v>
      </c>
      <c r="U215" s="29">
        <f>+ENERO!U215</f>
        <v>0</v>
      </c>
      <c r="V215" s="17">
        <f>AGOSTO!V215+SEPTIEMBRE!AL215</f>
        <v>0</v>
      </c>
      <c r="W215" s="17">
        <f>AGOSTO!W215+SEPTIEMBRE!AM215</f>
        <v>0</v>
      </c>
      <c r="X215" s="20">
        <f t="shared" si="176"/>
        <v>0</v>
      </c>
      <c r="Y215" s="21">
        <f>AGOSTO!AA215</f>
        <v>0</v>
      </c>
      <c r="Z215" s="457">
        <v>0</v>
      </c>
      <c r="AA215" s="20">
        <f t="shared" si="177"/>
        <v>0</v>
      </c>
      <c r="AB215" s="21">
        <f>AGOSTO!AD215</f>
        <v>0</v>
      </c>
      <c r="AC215" s="457">
        <v>0</v>
      </c>
      <c r="AD215" s="20">
        <f t="shared" si="178"/>
        <v>0</v>
      </c>
      <c r="AE215" s="21">
        <f>AGOSTO!AG215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N216" s="10"/>
      <c r="P216" s="10"/>
      <c r="Q216" s="10"/>
      <c r="R216" s="10"/>
      <c r="S216" s="156" t="str">
        <f>+IF(AGOSTO!S216=0,"",AGOSTO!S216)</f>
        <v>5100100-5</v>
      </c>
      <c r="T216" s="55" t="str">
        <f>+IF(AGOSTO!T216=0,"",AGOSTO!T216)</f>
        <v>Material para Rayos X</v>
      </c>
      <c r="U216" s="29">
        <f>+ENERO!U216</f>
        <v>0</v>
      </c>
      <c r="V216" s="17">
        <f>AGOSTO!V216+SEPTIEMBRE!AL216</f>
        <v>0</v>
      </c>
      <c r="W216" s="17">
        <f>AGOSTO!W216+SEPTIEMBRE!AM216</f>
        <v>0</v>
      </c>
      <c r="X216" s="20">
        <f t="shared" si="176"/>
        <v>0</v>
      </c>
      <c r="Y216" s="21">
        <f>AGOSTO!AA216</f>
        <v>0</v>
      </c>
      <c r="Z216" s="457">
        <v>0</v>
      </c>
      <c r="AA216" s="20">
        <f t="shared" si="177"/>
        <v>0</v>
      </c>
      <c r="AB216" s="21">
        <f>AGOSTO!AD216</f>
        <v>0</v>
      </c>
      <c r="AC216" s="457">
        <v>0</v>
      </c>
      <c r="AD216" s="20">
        <f t="shared" si="178"/>
        <v>0</v>
      </c>
      <c r="AE216" s="21">
        <f>AGOSTO!AG216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N217" s="10"/>
      <c r="P217" s="10"/>
      <c r="Q217" s="10"/>
      <c r="R217" s="10"/>
      <c r="S217" s="156" t="str">
        <f>+IF(AGOSTO!S217=0,"",AGOSTO!S217)</f>
        <v>5100100-6</v>
      </c>
      <c r="T217" s="55" t="str">
        <f>+IF(AGOSTO!T217=0,"",AGOSTO!T217)</f>
        <v>Material aseo personal, etc.</v>
      </c>
      <c r="U217" s="29">
        <f>+ENERO!U217</f>
        <v>0</v>
      </c>
      <c r="V217" s="17">
        <f>AGOSTO!V217+SEPTIEMBRE!AL217</f>
        <v>0</v>
      </c>
      <c r="W217" s="17">
        <f>AGOSTO!W217+SEPTIEMBRE!AM217</f>
        <v>0</v>
      </c>
      <c r="X217" s="20">
        <f t="shared" si="176"/>
        <v>0</v>
      </c>
      <c r="Y217" s="21">
        <f>AGOSTO!AA217</f>
        <v>0</v>
      </c>
      <c r="Z217" s="457">
        <v>0</v>
      </c>
      <c r="AA217" s="20">
        <f t="shared" si="177"/>
        <v>0</v>
      </c>
      <c r="AB217" s="21">
        <f>AGOSTO!AD217</f>
        <v>0</v>
      </c>
      <c r="AC217" s="457">
        <v>0</v>
      </c>
      <c r="AD217" s="20">
        <f t="shared" si="178"/>
        <v>0</v>
      </c>
      <c r="AE217" s="21">
        <f>AGOSTO!AG217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N218" s="10"/>
      <c r="P218" s="10"/>
      <c r="Q218" s="10"/>
      <c r="R218" s="10"/>
      <c r="S218" s="657">
        <f>+IF(AGOSTO!S218=0,"",AGOSTO!S218)</f>
        <v>5199999</v>
      </c>
      <c r="T218" s="658" t="str">
        <f>+IF(AGOSTO!T218=0,"",AGOSTO!T218)</f>
        <v>Vigencias Anteriores</v>
      </c>
      <c r="U218" s="160">
        <f>+ENERO!U218</f>
        <v>0</v>
      </c>
      <c r="V218" s="143">
        <f>AGOSTO!V218+SEPTIEMBRE!AL218</f>
        <v>0</v>
      </c>
      <c r="W218" s="143">
        <f>AGOSTO!W218+SEPTIEMBRE!AM218</f>
        <v>0</v>
      </c>
      <c r="X218" s="149">
        <f t="shared" si="176"/>
        <v>0</v>
      </c>
      <c r="Y218" s="147">
        <f>AGOSTO!AA218</f>
        <v>0</v>
      </c>
      <c r="Z218" s="475">
        <v>0</v>
      </c>
      <c r="AA218" s="149">
        <f t="shared" si="177"/>
        <v>0</v>
      </c>
      <c r="AB218" s="147">
        <f>AGOSTO!AD218</f>
        <v>0</v>
      </c>
      <c r="AC218" s="475">
        <v>0</v>
      </c>
      <c r="AD218" s="149">
        <f t="shared" si="178"/>
        <v>0</v>
      </c>
      <c r="AE218" s="147">
        <f>AGOSTO!AG218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N219" s="10"/>
      <c r="P219" s="10"/>
      <c r="Q219" s="10"/>
      <c r="R219" s="10"/>
      <c r="S219" s="643" t="str">
        <f>+IF(AGOSTO!S219=0,"",AGOSTO!S219)</f>
        <v/>
      </c>
      <c r="T219" s="357" t="str">
        <f>+IF(AGOSTO!T219=0,"",AGOSTO!T219)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+IF(AGOSTO!S220=0,"",AGOSTO!S220)</f>
        <v>C</v>
      </c>
      <c r="T220" s="439" t="str">
        <f>+IF(AGOSTO!T220=0,"",AGOSTO!T220)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N221" s="10"/>
      <c r="P221" s="10"/>
      <c r="Q221" s="10"/>
      <c r="R221" s="10"/>
      <c r="S221" s="448" t="str">
        <f>+IF(AGOSTO!S221=0,"",AGOSTO!S221)</f>
        <v/>
      </c>
      <c r="T221" s="649" t="str">
        <f>+IF(AGOSTO!T221=0,"",AGOSTO!T221)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+IF(AGOSTO!S222=0,"",AGOSTO!S222)</f>
        <v>7001000</v>
      </c>
      <c r="T222" s="158" t="str">
        <f>+IF(AGOSTO!T222=0,"",AGOSTO!T222)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N223" s="10"/>
      <c r="P223" s="10"/>
      <c r="Q223" s="10"/>
      <c r="R223" s="10"/>
      <c r="S223" s="155">
        <f>+IF(AGOSTO!S223=0,"",AGOSTO!S223)</f>
        <v>7001100</v>
      </c>
      <c r="T223" s="159" t="str">
        <f>+IF(AGOSTO!T223=0,"",AGOSTO!T223)</f>
        <v>Amortización deuda Pública Interna</v>
      </c>
      <c r="U223" s="29">
        <f>+ENERO!U223</f>
        <v>0</v>
      </c>
      <c r="V223" s="17">
        <f>AGOSTO!V223+SEPTIEMBRE!AL223</f>
        <v>0</v>
      </c>
      <c r="W223" s="17">
        <f>AGOSTO!W223+SEPTIEMBRE!AM223</f>
        <v>0</v>
      </c>
      <c r="X223" s="20">
        <f>SUM(U223:W223)</f>
        <v>0</v>
      </c>
      <c r="Y223" s="21">
        <f>AGOSTO!AA223</f>
        <v>0</v>
      </c>
      <c r="Z223" s="457">
        <v>0</v>
      </c>
      <c r="AA223" s="20">
        <f>SUM(Y223:Z223)</f>
        <v>0</v>
      </c>
      <c r="AB223" s="21">
        <f>AGOSTO!AD223</f>
        <v>0</v>
      </c>
      <c r="AC223" s="457">
        <v>0</v>
      </c>
      <c r="AD223" s="20">
        <f>SUM(AB223:AC223)</f>
        <v>0</v>
      </c>
      <c r="AE223" s="21">
        <f>AGOSTO!AG223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+IF(AGOSTO!S224=0,"",AGOSTO!S224)</f>
        <v>7001200</v>
      </c>
      <c r="T224" s="159" t="str">
        <f>+IF(AGOSTO!T224=0,"",AGOSTO!T224)</f>
        <v>Intereses Comisiones y gastos de la Deuda Pública</v>
      </c>
      <c r="U224" s="29">
        <f>+ENERO!U224</f>
        <v>0</v>
      </c>
      <c r="V224" s="17">
        <f>AGOSTO!V224+SEPTIEMBRE!AL224</f>
        <v>0</v>
      </c>
      <c r="W224" s="17">
        <f>AGOSTO!W224+SEPTIEMBRE!AM224</f>
        <v>0</v>
      </c>
      <c r="X224" s="20">
        <f>SUM(U224:W224)</f>
        <v>0</v>
      </c>
      <c r="Y224" s="21">
        <f>AGOSTO!AA224</f>
        <v>0</v>
      </c>
      <c r="Z224" s="457">
        <v>0</v>
      </c>
      <c r="AA224" s="20">
        <f>SUM(Y224:Z224)</f>
        <v>0</v>
      </c>
      <c r="AB224" s="21">
        <f>AGOSTO!AD224</f>
        <v>0</v>
      </c>
      <c r="AC224" s="457">
        <v>0</v>
      </c>
      <c r="AD224" s="20">
        <f>SUM(AB224:AC224)</f>
        <v>0</v>
      </c>
      <c r="AE224" s="21">
        <f>AGOSTO!AG224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+IF(AGOSTO!S225=0,"",AGOSTO!S225)</f>
        <v>7001999</v>
      </c>
      <c r="T225" s="159" t="str">
        <f>+IF(AGOSTO!T225=0,"",AGOSTO!T225)</f>
        <v>Vigencias Anteriores</v>
      </c>
      <c r="U225" s="29">
        <f>+ENERO!U225</f>
        <v>0</v>
      </c>
      <c r="V225" s="17">
        <f>AGOSTO!V225+SEPTIEMBRE!AL225</f>
        <v>0</v>
      </c>
      <c r="W225" s="17">
        <f>AGOSTO!W225+SEPTIEMBRE!AM225</f>
        <v>0</v>
      </c>
      <c r="X225" s="20">
        <f>SUM(U225:W225)</f>
        <v>0</v>
      </c>
      <c r="Y225" s="21">
        <f>AGOSTO!AA225</f>
        <v>0</v>
      </c>
      <c r="Z225" s="457">
        <v>0</v>
      </c>
      <c r="AA225" s="20">
        <f>SUM(Y225:Z225)</f>
        <v>0</v>
      </c>
      <c r="AB225" s="21">
        <f>AGOSTO!AD225</f>
        <v>0</v>
      </c>
      <c r="AC225" s="457">
        <v>0</v>
      </c>
      <c r="AD225" s="20">
        <f>SUM(AB225:AC225)</f>
        <v>0</v>
      </c>
      <c r="AE225" s="21">
        <f>AGOSTO!AG225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+IF(AGOSTO!S226=0,"",AGOSTO!S226)</f>
        <v/>
      </c>
      <c r="T226" s="649" t="str">
        <f>+IF(AGOSTO!T226=0,"",AGOSTO!T226)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+IF(AGOSTO!S227=0,"",AGOSTO!S227)</f>
        <v>7002001</v>
      </c>
      <c r="T227" s="158" t="str">
        <f>+IF(AGOSTO!T227=0,"",AGOSTO!T227)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40" s="467" customFormat="1" x14ac:dyDescent="0.2">
      <c r="A228" s="623"/>
      <c r="B228" s="554"/>
      <c r="N228" s="10"/>
      <c r="P228" s="10"/>
      <c r="Q228" s="10"/>
      <c r="R228" s="10"/>
      <c r="S228" s="155">
        <f>+IF(AGOSTO!S228=0,"",AGOSTO!S228)</f>
        <v>7002100</v>
      </c>
      <c r="T228" s="159" t="str">
        <f>+IF(AGOSTO!T228=0,"",AGOSTO!T228)</f>
        <v>Amortización deuda Pública Externa</v>
      </c>
      <c r="U228" s="29">
        <f>+ENERO!U228</f>
        <v>0</v>
      </c>
      <c r="V228" s="17">
        <f>AGOSTO!V228+SEPTIEMBRE!AL228</f>
        <v>0</v>
      </c>
      <c r="W228" s="17">
        <f>AGOSTO!W228+SEPTIEMBRE!AM228</f>
        <v>0</v>
      </c>
      <c r="X228" s="20">
        <f>SUM(U228:W228)</f>
        <v>0</v>
      </c>
      <c r="Y228" s="21">
        <f>AGOSTO!AA228</f>
        <v>0</v>
      </c>
      <c r="Z228" s="457">
        <v>0</v>
      </c>
      <c r="AA228" s="20">
        <f>SUM(Y228:Z228)</f>
        <v>0</v>
      </c>
      <c r="AB228" s="21">
        <f>AGOSTO!AD228</f>
        <v>0</v>
      </c>
      <c r="AC228" s="457">
        <v>0</v>
      </c>
      <c r="AD228" s="20">
        <f>SUM(AB228:AC228)</f>
        <v>0</v>
      </c>
      <c r="AE228" s="21">
        <f>AGOSTO!AG228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+IF(AGOSTO!S229=0,"",AGOSTO!S229)</f>
        <v>7002200</v>
      </c>
      <c r="T229" s="159" t="str">
        <f>+IF(AGOSTO!T229=0,"",AGOSTO!T229)</f>
        <v>Intereses Comisiones y gastos de la Deuda Pública</v>
      </c>
      <c r="U229" s="29">
        <f>+ENERO!U229</f>
        <v>0</v>
      </c>
      <c r="V229" s="17">
        <f>AGOSTO!V229+SEPTIEMBRE!AL229</f>
        <v>0</v>
      </c>
      <c r="W229" s="17">
        <f>AGOSTO!W229+SEPTIEMBRE!AM229</f>
        <v>0</v>
      </c>
      <c r="X229" s="20">
        <f>SUM(U229:W229)</f>
        <v>0</v>
      </c>
      <c r="Y229" s="21">
        <f>AGOSTO!AA229</f>
        <v>0</v>
      </c>
      <c r="Z229" s="457">
        <v>0</v>
      </c>
      <c r="AA229" s="20">
        <f>SUM(Y229:Z229)</f>
        <v>0</v>
      </c>
      <c r="AB229" s="21">
        <f>AGOSTO!AD229</f>
        <v>0</v>
      </c>
      <c r="AC229" s="457">
        <v>0</v>
      </c>
      <c r="AD229" s="20">
        <f>SUM(AB229:AC229)</f>
        <v>0</v>
      </c>
      <c r="AE229" s="21">
        <f>AGOSTO!AG229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+IF(AGOSTO!S230=0,"",AGOSTO!S230)</f>
        <v>7002999</v>
      </c>
      <c r="T230" s="625" t="str">
        <f>+IF(AGOSTO!T230=0,"",AGOSTO!T230)</f>
        <v>Vigencias Anteriores</v>
      </c>
      <c r="U230" s="160">
        <f>+ENERO!U230</f>
        <v>0</v>
      </c>
      <c r="V230" s="143">
        <f>AGOSTO!V230+SEPTIEMBRE!AL230</f>
        <v>0</v>
      </c>
      <c r="W230" s="143">
        <f>AGOSTO!W230+SEPTIEMBRE!AM230</f>
        <v>0</v>
      </c>
      <c r="X230" s="149">
        <f>SUM(U230:W230)</f>
        <v>0</v>
      </c>
      <c r="Y230" s="147">
        <f>AGOSTO!AA230</f>
        <v>0</v>
      </c>
      <c r="Z230" s="475">
        <v>0</v>
      </c>
      <c r="AA230" s="149">
        <f>SUM(Y230:Z230)</f>
        <v>0</v>
      </c>
      <c r="AB230" s="147">
        <f>AGOSTO!AD230</f>
        <v>0</v>
      </c>
      <c r="AC230" s="475">
        <v>0</v>
      </c>
      <c r="AD230" s="149">
        <f>SUM(AB230:AC230)</f>
        <v>0</v>
      </c>
      <c r="AE230" s="147">
        <f>AGOSTO!AG230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+IF(AGOSTO!S231=0,"",AGOSTO!S231)</f>
        <v/>
      </c>
      <c r="T231" s="628" t="str">
        <f>+IF(AGOSTO!T231=0,"",AGOSTO!T231)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+IF(AGOSTO!S232=0,"",AGOSTO!S232)</f>
        <v>D</v>
      </c>
      <c r="T232" s="655" t="str">
        <f>+IF(AGOSTO!T232=0,"",AGOSTO!T232)</f>
        <v>INVERSION</v>
      </c>
      <c r="U232" s="589">
        <f t="shared" ref="U232:AJ232" si="186">U234</f>
        <v>121563100</v>
      </c>
      <c r="V232" s="590">
        <f t="shared" si="186"/>
        <v>-1563100</v>
      </c>
      <c r="W232" s="590">
        <f t="shared" si="186"/>
        <v>85410140</v>
      </c>
      <c r="X232" s="591">
        <f t="shared" si="186"/>
        <v>205410140</v>
      </c>
      <c r="Y232" s="464">
        <f t="shared" si="186"/>
        <v>142591724</v>
      </c>
      <c r="Z232" s="590">
        <f t="shared" si="186"/>
        <v>39549364</v>
      </c>
      <c r="AA232" s="591">
        <f t="shared" si="186"/>
        <v>182141088</v>
      </c>
      <c r="AB232" s="464">
        <f t="shared" si="186"/>
        <v>142590495</v>
      </c>
      <c r="AC232" s="590">
        <f t="shared" si="186"/>
        <v>39549364</v>
      </c>
      <c r="AD232" s="591">
        <f t="shared" si="186"/>
        <v>182139859</v>
      </c>
      <c r="AE232" s="464">
        <f t="shared" si="186"/>
        <v>113958211</v>
      </c>
      <c r="AF232" s="590">
        <f t="shared" si="186"/>
        <v>56847573</v>
      </c>
      <c r="AG232" s="591">
        <f t="shared" si="186"/>
        <v>170805784</v>
      </c>
      <c r="AH232" s="464">
        <f t="shared" si="186"/>
        <v>23269052</v>
      </c>
      <c r="AI232" s="590">
        <f t="shared" si="186"/>
        <v>23270281</v>
      </c>
      <c r="AJ232" s="465">
        <f t="shared" si="186"/>
        <v>34604356</v>
      </c>
      <c r="AK232" s="648"/>
      <c r="AL232" s="464">
        <f>AL234</f>
        <v>0</v>
      </c>
      <c r="AM232" s="465">
        <f>AM234</f>
        <v>0</v>
      </c>
      <c r="AN232" s="10"/>
    </row>
    <row r="233" spans="1:40" s="467" customFormat="1" ht="15.75" x14ac:dyDescent="0.2">
      <c r="A233" s="623"/>
      <c r="B233" s="554"/>
      <c r="N233" s="10"/>
      <c r="P233" s="10"/>
      <c r="Q233" s="10"/>
      <c r="R233" s="10"/>
      <c r="S233" s="448" t="str">
        <f>+IF(AGOSTO!S233=0,"",AGOSTO!S233)</f>
        <v/>
      </c>
      <c r="T233" s="649" t="str">
        <f>+IF(AGOSTO!T233=0,"",AGOSTO!T233)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+IF(AGOSTO!S234=0,"",AGOSTO!S234)</f>
        <v>8000000</v>
      </c>
      <c r="T234" s="158" t="str">
        <f>+IF(AGOSTO!T234=0,"",AGOSTO!T234)</f>
        <v>Programas de Inversión</v>
      </c>
      <c r="U234" s="157">
        <f t="shared" ref="U234:AJ234" si="187">U235+U243</f>
        <v>121563100</v>
      </c>
      <c r="V234" s="144">
        <f t="shared" si="187"/>
        <v>-1563100</v>
      </c>
      <c r="W234" s="144">
        <f t="shared" si="187"/>
        <v>85410140</v>
      </c>
      <c r="X234" s="152">
        <f t="shared" si="187"/>
        <v>205410140</v>
      </c>
      <c r="Y234" s="151">
        <f t="shared" si="187"/>
        <v>142591724</v>
      </c>
      <c r="Z234" s="144">
        <f t="shared" si="187"/>
        <v>39549364</v>
      </c>
      <c r="AA234" s="152">
        <f t="shared" si="187"/>
        <v>182141088</v>
      </c>
      <c r="AB234" s="151">
        <f t="shared" si="187"/>
        <v>142590495</v>
      </c>
      <c r="AC234" s="144">
        <f t="shared" si="187"/>
        <v>39549364</v>
      </c>
      <c r="AD234" s="152">
        <f t="shared" si="187"/>
        <v>182139859</v>
      </c>
      <c r="AE234" s="151">
        <f t="shared" si="187"/>
        <v>113958211</v>
      </c>
      <c r="AF234" s="144">
        <f t="shared" si="187"/>
        <v>56847573</v>
      </c>
      <c r="AG234" s="152">
        <f t="shared" si="187"/>
        <v>170805784</v>
      </c>
      <c r="AH234" s="151">
        <f t="shared" si="187"/>
        <v>23269052</v>
      </c>
      <c r="AI234" s="144">
        <f t="shared" si="187"/>
        <v>23270281</v>
      </c>
      <c r="AJ234" s="153">
        <f t="shared" si="187"/>
        <v>34604356</v>
      </c>
      <c r="AK234" s="10"/>
      <c r="AL234" s="151">
        <f>AL235+AL243</f>
        <v>0</v>
      </c>
      <c r="AM234" s="153">
        <f>AM235+AM243</f>
        <v>0</v>
      </c>
      <c r="AN234" s="10"/>
    </row>
    <row r="235" spans="1:40" s="467" customFormat="1" x14ac:dyDescent="0.2">
      <c r="A235" s="623"/>
      <c r="B235" s="554"/>
      <c r="N235" s="10"/>
      <c r="P235" s="10"/>
      <c r="Q235" s="10"/>
      <c r="R235" s="10"/>
      <c r="S235" s="155">
        <f>+IF(AGOSTO!S235=0,"",AGOSTO!S235)</f>
        <v>8001000</v>
      </c>
      <c r="T235" s="159" t="str">
        <f>+IF(AGOSTO!T235=0,"",AGOSTO!T235)</f>
        <v>Formación Bruta del Capital</v>
      </c>
      <c r="U235" s="29">
        <f t="shared" ref="U235:AJ235" si="188">SUM(U236:U241)</f>
        <v>0</v>
      </c>
      <c r="V235" s="17">
        <f t="shared" si="188"/>
        <v>0</v>
      </c>
      <c r="W235" s="17">
        <f t="shared" si="188"/>
        <v>85410140</v>
      </c>
      <c r="X235" s="20">
        <f t="shared" si="188"/>
        <v>85410140</v>
      </c>
      <c r="Y235" s="21">
        <f t="shared" si="188"/>
        <v>45860776</v>
      </c>
      <c r="Z235" s="169">
        <f t="shared" si="188"/>
        <v>39549364</v>
      </c>
      <c r="AA235" s="20">
        <f t="shared" si="188"/>
        <v>85410140</v>
      </c>
      <c r="AB235" s="21">
        <f t="shared" si="188"/>
        <v>45859547</v>
      </c>
      <c r="AC235" s="169">
        <f t="shared" si="188"/>
        <v>39549364</v>
      </c>
      <c r="AD235" s="20">
        <f t="shared" si="188"/>
        <v>85408911</v>
      </c>
      <c r="AE235" s="21">
        <f t="shared" si="188"/>
        <v>22622264</v>
      </c>
      <c r="AF235" s="169">
        <f t="shared" si="188"/>
        <v>56847573</v>
      </c>
      <c r="AG235" s="20">
        <f t="shared" si="188"/>
        <v>79469837</v>
      </c>
      <c r="AH235" s="21">
        <f t="shared" si="188"/>
        <v>0</v>
      </c>
      <c r="AI235" s="17">
        <f t="shared" si="188"/>
        <v>1229</v>
      </c>
      <c r="AJ235" s="18">
        <f t="shared" si="188"/>
        <v>5940303</v>
      </c>
      <c r="AK235" s="10"/>
      <c r="AL235" s="31">
        <f>SUM(AL236:AL241)</f>
        <v>0</v>
      </c>
      <c r="AM235" s="28">
        <f>SUM(AM236:AM241)</f>
        <v>0</v>
      </c>
      <c r="AN235" s="10"/>
    </row>
    <row r="236" spans="1:40" s="467" customFormat="1" x14ac:dyDescent="0.2">
      <c r="A236" s="623"/>
      <c r="B236" s="554"/>
      <c r="N236" s="10"/>
      <c r="P236" s="10"/>
      <c r="Q236" s="10"/>
      <c r="R236" s="10"/>
      <c r="S236" s="156" t="str">
        <f>+IF(AGOSTO!S236=0,"",AGOSTO!S236)</f>
        <v>8001000-1</v>
      </c>
      <c r="T236" s="55" t="str">
        <f>+IF(AGOSTO!T236=0,"",AGOSTO!T236)</f>
        <v>Subprogr.Construc. Remodelac. Adecuación y Apliac.1</v>
      </c>
      <c r="U236" s="29">
        <f>+ENERO!U236</f>
        <v>0</v>
      </c>
      <c r="V236" s="17">
        <f>AGOSTO!V236+SEPTIEMBRE!AL236</f>
        <v>0</v>
      </c>
      <c r="W236" s="17">
        <f>AGOSTO!W236+SEPTIEMBRE!AM236</f>
        <v>85410140</v>
      </c>
      <c r="X236" s="20">
        <f t="shared" ref="X236:X241" si="189">SUM(U236:W236)</f>
        <v>85410140</v>
      </c>
      <c r="Y236" s="21">
        <f>AGOSTO!AA236</f>
        <v>45860776</v>
      </c>
      <c r="Z236" s="457">
        <v>39549364</v>
      </c>
      <c r="AA236" s="20">
        <f t="shared" ref="AA236:AA241" si="190">SUM(Y236:Z236)</f>
        <v>85410140</v>
      </c>
      <c r="AB236" s="21">
        <f>AGOSTO!AD236</f>
        <v>45859547</v>
      </c>
      <c r="AC236" s="457">
        <v>39549364</v>
      </c>
      <c r="AD236" s="20">
        <f t="shared" ref="AD236:AD241" si="191">SUM(AB236:AC236)</f>
        <v>85408911</v>
      </c>
      <c r="AE236" s="21">
        <f>AGOSTO!AG236</f>
        <v>22622264</v>
      </c>
      <c r="AF236" s="457">
        <v>56847573</v>
      </c>
      <c r="AG236" s="20">
        <f t="shared" ref="AG236:AG241" si="192">SUM(AE236:AF236)</f>
        <v>79469837</v>
      </c>
      <c r="AH236" s="21">
        <f t="shared" ref="AH236:AH241" si="193">X236-AA236</f>
        <v>0</v>
      </c>
      <c r="AI236" s="17">
        <f t="shared" ref="AI236:AI241" si="194">X236-AD236</f>
        <v>1229</v>
      </c>
      <c r="AJ236" s="18">
        <f t="shared" ref="AJ236:AJ241" si="195">X236-AG236</f>
        <v>5940303</v>
      </c>
      <c r="AK236" s="10"/>
      <c r="AL236" s="455">
        <v>0</v>
      </c>
      <c r="AM236" s="458">
        <v>0</v>
      </c>
      <c r="AN236" s="10"/>
    </row>
    <row r="237" spans="1:40" s="467" customFormat="1" x14ac:dyDescent="0.2">
      <c r="A237" s="623"/>
      <c r="B237" s="554"/>
      <c r="N237" s="10"/>
      <c r="P237" s="10"/>
      <c r="Q237" s="10"/>
      <c r="R237" s="10"/>
      <c r="S237" s="156" t="str">
        <f>+IF(AGOSTO!S237=0,"",AGOSTO!S237)</f>
        <v>8001000-2</v>
      </c>
      <c r="T237" s="55" t="str">
        <f>+IF(AGOSTO!T237=0,"",AGOSTO!T237)</f>
        <v>Subprogr.Construc. Remodelac. Adecuación y Apliac.2</v>
      </c>
      <c r="U237" s="29">
        <f>+ENERO!U237</f>
        <v>0</v>
      </c>
      <c r="V237" s="17">
        <f>AGOSTO!V237+SEPTIEMBRE!AL237</f>
        <v>0</v>
      </c>
      <c r="W237" s="17">
        <f>AGOSTO!W237+SEPTIEMBRE!AM237</f>
        <v>0</v>
      </c>
      <c r="X237" s="20">
        <f t="shared" si="189"/>
        <v>0</v>
      </c>
      <c r="Y237" s="21">
        <f>AGOSTO!AA237</f>
        <v>0</v>
      </c>
      <c r="Z237" s="457">
        <v>0</v>
      </c>
      <c r="AA237" s="20">
        <f t="shared" si="190"/>
        <v>0</v>
      </c>
      <c r="AB237" s="21">
        <f>AGOSTO!AD237</f>
        <v>0</v>
      </c>
      <c r="AC237" s="457">
        <v>0</v>
      </c>
      <c r="AD237" s="20">
        <f t="shared" si="191"/>
        <v>0</v>
      </c>
      <c r="AE237" s="21">
        <f>AGOSTO!AG237</f>
        <v>0</v>
      </c>
      <c r="AF237" s="457">
        <v>0</v>
      </c>
      <c r="AG237" s="20">
        <f t="shared" si="192"/>
        <v>0</v>
      </c>
      <c r="AH237" s="21">
        <f t="shared" si="193"/>
        <v>0</v>
      </c>
      <c r="AI237" s="17">
        <f t="shared" si="194"/>
        <v>0</v>
      </c>
      <c r="AJ237" s="18">
        <f t="shared" si="195"/>
        <v>0</v>
      </c>
      <c r="AK237" s="10"/>
      <c r="AL237" s="455">
        <v>0</v>
      </c>
      <c r="AM237" s="458">
        <v>0</v>
      </c>
      <c r="AN237" s="10"/>
    </row>
    <row r="238" spans="1:40" s="467" customFormat="1" x14ac:dyDescent="0.2">
      <c r="A238" s="623"/>
      <c r="B238" s="554"/>
      <c r="N238" s="10"/>
      <c r="P238" s="10"/>
      <c r="Q238" s="10"/>
      <c r="R238" s="10"/>
      <c r="S238" s="156" t="str">
        <f>+IF(AGOSTO!S238=0,"",AGOSTO!S238)</f>
        <v>8001000-3</v>
      </c>
      <c r="T238" s="55" t="str">
        <f>+IF(AGOSTO!T238=0,"",AGOSTO!T238)</f>
        <v>Subprogr.Construc. Remodelac. Adecuación y Apliac.3</v>
      </c>
      <c r="U238" s="29">
        <f>+ENERO!U238</f>
        <v>0</v>
      </c>
      <c r="V238" s="17">
        <f>AGOSTO!V238+SEPTIEMBRE!AL238</f>
        <v>0</v>
      </c>
      <c r="W238" s="17">
        <f>AGOSTO!W238+SEPTIEMBRE!AM238</f>
        <v>0</v>
      </c>
      <c r="X238" s="20">
        <f t="shared" si="189"/>
        <v>0</v>
      </c>
      <c r="Y238" s="21">
        <f>AGOSTO!AA238</f>
        <v>0</v>
      </c>
      <c r="Z238" s="457">
        <v>0</v>
      </c>
      <c r="AA238" s="20">
        <f t="shared" si="190"/>
        <v>0</v>
      </c>
      <c r="AB238" s="21">
        <f>AGOSTO!AD238</f>
        <v>0</v>
      </c>
      <c r="AC238" s="457">
        <v>0</v>
      </c>
      <c r="AD238" s="20">
        <f t="shared" si="191"/>
        <v>0</v>
      </c>
      <c r="AE238" s="21">
        <f>AGOSTO!AG238</f>
        <v>0</v>
      </c>
      <c r="AF238" s="457">
        <v>0</v>
      </c>
      <c r="AG238" s="20">
        <f t="shared" si="192"/>
        <v>0</v>
      </c>
      <c r="AH238" s="21">
        <f t="shared" si="193"/>
        <v>0</v>
      </c>
      <c r="AI238" s="17">
        <f t="shared" si="194"/>
        <v>0</v>
      </c>
      <c r="AJ238" s="18">
        <f t="shared" si="195"/>
        <v>0</v>
      </c>
      <c r="AK238" s="10"/>
      <c r="AL238" s="455">
        <v>0</v>
      </c>
      <c r="AM238" s="458">
        <v>0</v>
      </c>
      <c r="AN238" s="10"/>
    </row>
    <row r="239" spans="1:40" s="467" customFormat="1" x14ac:dyDescent="0.2">
      <c r="A239" s="623"/>
      <c r="B239" s="554"/>
      <c r="N239" s="10"/>
      <c r="P239" s="10"/>
      <c r="Q239" s="10"/>
      <c r="S239" s="156" t="str">
        <f>+IF(AGOSTO!S239=0,"",AGOSTO!S239)</f>
        <v>8001000-4</v>
      </c>
      <c r="T239" s="55" t="str">
        <f>+IF(AGOSTO!T239=0,"",AGOSTO!T239)</f>
        <v>Subprogr.Construc. Remodelac. Adecuación y Apliac.4</v>
      </c>
      <c r="U239" s="29">
        <f>+ENERO!U239</f>
        <v>0</v>
      </c>
      <c r="V239" s="17">
        <f>AGOSTO!V239+SEPTIEMBRE!AL239</f>
        <v>0</v>
      </c>
      <c r="W239" s="17">
        <f>AGOSTO!W239+SEPTIEMBRE!AM239</f>
        <v>0</v>
      </c>
      <c r="X239" s="20">
        <f t="shared" si="189"/>
        <v>0</v>
      </c>
      <c r="Y239" s="21">
        <f>AGOSTO!AA239</f>
        <v>0</v>
      </c>
      <c r="Z239" s="457">
        <v>0</v>
      </c>
      <c r="AA239" s="20">
        <f t="shared" si="190"/>
        <v>0</v>
      </c>
      <c r="AB239" s="21">
        <f>AGOSTO!AD239</f>
        <v>0</v>
      </c>
      <c r="AC239" s="457">
        <v>0</v>
      </c>
      <c r="AD239" s="20">
        <f t="shared" si="191"/>
        <v>0</v>
      </c>
      <c r="AE239" s="21">
        <f>AGOSTO!AG239</f>
        <v>0</v>
      </c>
      <c r="AF239" s="457">
        <v>0</v>
      </c>
      <c r="AG239" s="20">
        <f t="shared" si="192"/>
        <v>0</v>
      </c>
      <c r="AH239" s="21">
        <f t="shared" si="193"/>
        <v>0</v>
      </c>
      <c r="AI239" s="17">
        <f t="shared" si="194"/>
        <v>0</v>
      </c>
      <c r="AJ239" s="18">
        <f t="shared" si="195"/>
        <v>0</v>
      </c>
      <c r="AK239" s="10"/>
      <c r="AL239" s="455">
        <v>0</v>
      </c>
      <c r="AM239" s="458">
        <v>0</v>
      </c>
      <c r="AN239" s="10"/>
    </row>
    <row r="240" spans="1:40" s="467" customFormat="1" x14ac:dyDescent="0.2">
      <c r="A240" s="623"/>
      <c r="B240" s="554"/>
      <c r="N240" s="10"/>
      <c r="P240" s="10"/>
      <c r="Q240" s="10"/>
      <c r="S240" s="156" t="str">
        <f>+IF(AGOSTO!S240=0,"",AGOSTO!S240)</f>
        <v>8001000-7</v>
      </c>
      <c r="T240" s="55" t="str">
        <f>+IF(AGOSTO!T240=0,"",AGOSTO!T240)</f>
        <v>Subprogr.Construc. Remodelac. Adecuación y Apliac.5</v>
      </c>
      <c r="U240" s="29">
        <f>+ENERO!U240</f>
        <v>0</v>
      </c>
      <c r="V240" s="17">
        <f>AGOSTO!V240+SEPTIEMBRE!AL240</f>
        <v>0</v>
      </c>
      <c r="W240" s="17">
        <f>AGOSTO!W240+SEPTIEMBRE!AM240</f>
        <v>0</v>
      </c>
      <c r="X240" s="20">
        <f t="shared" si="189"/>
        <v>0</v>
      </c>
      <c r="Y240" s="21">
        <f>AGOSTO!AA240</f>
        <v>0</v>
      </c>
      <c r="Z240" s="457">
        <v>0</v>
      </c>
      <c r="AA240" s="20">
        <f t="shared" si="190"/>
        <v>0</v>
      </c>
      <c r="AB240" s="21">
        <f>AGOSTO!AD240</f>
        <v>0</v>
      </c>
      <c r="AC240" s="457">
        <v>0</v>
      </c>
      <c r="AD240" s="20">
        <f t="shared" si="191"/>
        <v>0</v>
      </c>
      <c r="AE240" s="21">
        <f>AGOSTO!AG240</f>
        <v>0</v>
      </c>
      <c r="AF240" s="457">
        <v>0</v>
      </c>
      <c r="AG240" s="20">
        <f t="shared" si="192"/>
        <v>0</v>
      </c>
      <c r="AH240" s="21">
        <f t="shared" si="193"/>
        <v>0</v>
      </c>
      <c r="AI240" s="17">
        <f t="shared" si="194"/>
        <v>0</v>
      </c>
      <c r="AJ240" s="18">
        <f t="shared" si="195"/>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+IF(AGOSTO!S241=0,"",AGOSTO!S241)</f>
        <v>8001999</v>
      </c>
      <c r="T241" s="55" t="str">
        <f>+IF(AGOSTO!T241=0,"",AGOSTO!T241)</f>
        <v>Vigencias Anteriores</v>
      </c>
      <c r="U241" s="29">
        <f>+ENERO!U241</f>
        <v>0</v>
      </c>
      <c r="V241" s="17">
        <f>AGOSTO!V241+SEPTIEMBRE!AL241</f>
        <v>0</v>
      </c>
      <c r="W241" s="17">
        <f>AGOSTO!W241+SEPTIEMBRE!AM241</f>
        <v>0</v>
      </c>
      <c r="X241" s="20">
        <f t="shared" si="189"/>
        <v>0</v>
      </c>
      <c r="Y241" s="21">
        <f>AGOSTO!AA241</f>
        <v>0</v>
      </c>
      <c r="Z241" s="457">
        <v>0</v>
      </c>
      <c r="AA241" s="20">
        <f t="shared" si="190"/>
        <v>0</v>
      </c>
      <c r="AB241" s="21">
        <f>AGOSTO!AD241</f>
        <v>0</v>
      </c>
      <c r="AC241" s="457">
        <v>0</v>
      </c>
      <c r="AD241" s="20">
        <f t="shared" si="191"/>
        <v>0</v>
      </c>
      <c r="AE241" s="21">
        <f>AGOSTO!AG241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+IF(AGOSTO!S242=0,"",AGOSTO!S242)</f>
        <v/>
      </c>
      <c r="T242" s="649" t="str">
        <f>+IF(AGOSTO!T242=0,"",AGOSTO!T242)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+IF(AGOSTO!S243=0,"",AGOSTO!S243)</f>
        <v>8002001</v>
      </c>
      <c r="T243" s="159" t="str">
        <f>+IF(AGOSTO!T243=0,"",AGOSTO!T243)</f>
        <v>Gastos Operativos de Inversion   (Programas Especiales)</v>
      </c>
      <c r="U243" s="29">
        <f t="shared" ref="U243:AJ243" si="196">SUM(U244:U256)</f>
        <v>121563100</v>
      </c>
      <c r="V243" s="17">
        <f t="shared" si="196"/>
        <v>-1563100</v>
      </c>
      <c r="W243" s="17">
        <f t="shared" si="196"/>
        <v>0</v>
      </c>
      <c r="X243" s="20">
        <f t="shared" si="196"/>
        <v>120000000</v>
      </c>
      <c r="Y243" s="21">
        <f t="shared" si="196"/>
        <v>96730948</v>
      </c>
      <c r="Z243" s="169">
        <f t="shared" si="196"/>
        <v>0</v>
      </c>
      <c r="AA243" s="20">
        <f t="shared" si="196"/>
        <v>96730948</v>
      </c>
      <c r="AB243" s="21">
        <f t="shared" si="196"/>
        <v>96730948</v>
      </c>
      <c r="AC243" s="169">
        <f t="shared" si="196"/>
        <v>0</v>
      </c>
      <c r="AD243" s="20">
        <f t="shared" si="196"/>
        <v>96730948</v>
      </c>
      <c r="AE243" s="21">
        <f t="shared" si="196"/>
        <v>91335947</v>
      </c>
      <c r="AF243" s="169">
        <f t="shared" si="196"/>
        <v>0</v>
      </c>
      <c r="AG243" s="20">
        <f t="shared" si="196"/>
        <v>91335947</v>
      </c>
      <c r="AH243" s="21">
        <f t="shared" si="196"/>
        <v>23269052</v>
      </c>
      <c r="AI243" s="17">
        <f t="shared" si="196"/>
        <v>23269052</v>
      </c>
      <c r="AJ243" s="18">
        <f t="shared" si="196"/>
        <v>28664053</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+IF(AGOSTO!S244=0,"",AGOSTO!S244)</f>
        <v>8002100-1</v>
      </c>
      <c r="T244" s="55" t="str">
        <f>+IF(AGOSTO!T244=0,"",AGOSTO!T244)</f>
        <v>Salud Pública</v>
      </c>
      <c r="U244" s="29">
        <f>+ENERO!U244</f>
        <v>120000000</v>
      </c>
      <c r="V244" s="17">
        <f>AGOSTO!V244+SEPTIEMBRE!AL244</f>
        <v>0</v>
      </c>
      <c r="W244" s="17">
        <f>AGOSTO!W244+SEPTIEMBRE!AM244</f>
        <v>0</v>
      </c>
      <c r="X244" s="20">
        <f t="shared" ref="X244:X256" si="197">SUM(U244:W244)</f>
        <v>120000000</v>
      </c>
      <c r="Y244" s="21">
        <f>AGOSTO!AA244</f>
        <v>96730948</v>
      </c>
      <c r="Z244" s="457">
        <v>0</v>
      </c>
      <c r="AA244" s="20">
        <f t="shared" ref="AA244:AA256" si="198">SUM(Y244:Z244)</f>
        <v>96730948</v>
      </c>
      <c r="AB244" s="21">
        <f>AGOSTO!AD244</f>
        <v>96730948</v>
      </c>
      <c r="AC244" s="457">
        <v>0</v>
      </c>
      <c r="AD244" s="20">
        <f t="shared" ref="AD244:AD256" si="199">SUM(AB244:AC244)</f>
        <v>96730948</v>
      </c>
      <c r="AE244" s="21">
        <f>AGOSTO!AG244</f>
        <v>91335947</v>
      </c>
      <c r="AF244" s="457">
        <v>0</v>
      </c>
      <c r="AG244" s="20">
        <f t="shared" ref="AG244:AG256" si="200">SUM(AE244:AF244)</f>
        <v>91335947</v>
      </c>
      <c r="AH244" s="21">
        <f t="shared" ref="AH244:AH256" si="201">X244-AA244</f>
        <v>23269052</v>
      </c>
      <c r="AI244" s="17">
        <f t="shared" ref="AI244:AI256" si="202">X244-AD244</f>
        <v>23269052</v>
      </c>
      <c r="AJ244" s="18">
        <f t="shared" ref="AJ244:AJ256" si="203">X244-AG244</f>
        <v>28664053</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+IF(AGOSTO!S245=0,"",AGOSTO!S245)</f>
        <v>8002100-2</v>
      </c>
      <c r="T245" s="55" t="str">
        <f>+IF(AGOSTO!T245=0,"",AGOSTO!T245)</f>
        <v>Programas Especial 01</v>
      </c>
      <c r="U245" s="29">
        <f>+ENERO!U245</f>
        <v>0</v>
      </c>
      <c r="V245" s="17">
        <f>AGOSTO!V245+SEPTIEMBRE!AL245</f>
        <v>0</v>
      </c>
      <c r="W245" s="17">
        <f>AGOSTO!W245+SEPTIEMBRE!AM245</f>
        <v>0</v>
      </c>
      <c r="X245" s="20">
        <f t="shared" si="197"/>
        <v>0</v>
      </c>
      <c r="Y245" s="21">
        <f>AGOSTO!AA245</f>
        <v>0</v>
      </c>
      <c r="Z245" s="457">
        <v>0</v>
      </c>
      <c r="AA245" s="20">
        <f t="shared" si="198"/>
        <v>0</v>
      </c>
      <c r="AB245" s="21">
        <f>AGOSTO!AD245</f>
        <v>0</v>
      </c>
      <c r="AC245" s="457">
        <v>0</v>
      </c>
      <c r="AD245" s="20">
        <f t="shared" si="199"/>
        <v>0</v>
      </c>
      <c r="AE245" s="21">
        <f>AGOSTO!AG245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+IF(AGOSTO!S246=0,"",AGOSTO!S246)</f>
        <v>8002100-3</v>
      </c>
      <c r="T246" s="55" t="str">
        <f>+IF(AGOSTO!T246=0,"",AGOSTO!T246)</f>
        <v>Programas Especial 02</v>
      </c>
      <c r="U246" s="29">
        <f>+ENERO!U246</f>
        <v>0</v>
      </c>
      <c r="V246" s="17">
        <f>AGOSTO!V246+SEPTIEMBRE!AL246</f>
        <v>0</v>
      </c>
      <c r="W246" s="17">
        <f>AGOSTO!W246+SEPTIEMBRE!AM246</f>
        <v>0</v>
      </c>
      <c r="X246" s="20">
        <f t="shared" si="197"/>
        <v>0</v>
      </c>
      <c r="Y246" s="21">
        <f>AGOSTO!AA246</f>
        <v>0</v>
      </c>
      <c r="Z246" s="457">
        <v>0</v>
      </c>
      <c r="AA246" s="20">
        <f t="shared" si="198"/>
        <v>0</v>
      </c>
      <c r="AB246" s="21">
        <f>AGOSTO!AD246</f>
        <v>0</v>
      </c>
      <c r="AC246" s="457">
        <v>0</v>
      </c>
      <c r="AD246" s="20">
        <f t="shared" si="199"/>
        <v>0</v>
      </c>
      <c r="AE246" s="21">
        <f>AGOSTO!AG246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+IF(AGOSTO!S247=0,"",AGOSTO!S247)</f>
        <v>8002100-4</v>
      </c>
      <c r="T247" s="55" t="str">
        <f>+IF(AGOSTO!T247=0,"",AGOSTO!T247)</f>
        <v>Programas Especial 03</v>
      </c>
      <c r="U247" s="29">
        <f>+ENERO!U247</f>
        <v>0</v>
      </c>
      <c r="V247" s="17">
        <f>AGOSTO!V247+SEPTIEMBRE!AL247</f>
        <v>0</v>
      </c>
      <c r="W247" s="17">
        <f>AGOSTO!W247+SEPTIEMBRE!AM247</f>
        <v>0</v>
      </c>
      <c r="X247" s="20">
        <f t="shared" si="197"/>
        <v>0</v>
      </c>
      <c r="Y247" s="21">
        <f>AGOSTO!AA247</f>
        <v>0</v>
      </c>
      <c r="Z247" s="457">
        <v>0</v>
      </c>
      <c r="AA247" s="20">
        <f t="shared" si="198"/>
        <v>0</v>
      </c>
      <c r="AB247" s="21">
        <f>AGOSTO!AD247</f>
        <v>0</v>
      </c>
      <c r="AC247" s="457">
        <v>0</v>
      </c>
      <c r="AD247" s="20">
        <f t="shared" si="199"/>
        <v>0</v>
      </c>
      <c r="AE247" s="21">
        <f>AGOSTO!AG247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+IF(AGOSTO!S248=0,"",AGOSTO!S248)</f>
        <v>8002100-5</v>
      </c>
      <c r="T248" s="55" t="str">
        <f>+IF(AGOSTO!T248=0,"",AGOSTO!T248)</f>
        <v>Programas Especial 04</v>
      </c>
      <c r="U248" s="29">
        <f>+ENERO!U248</f>
        <v>0</v>
      </c>
      <c r="V248" s="17">
        <f>AGOSTO!V248+SEPTIEMBRE!AL248</f>
        <v>0</v>
      </c>
      <c r="W248" s="17">
        <f>AGOSTO!W248+SEPTIEMBRE!AM248</f>
        <v>0</v>
      </c>
      <c r="X248" s="20">
        <f t="shared" si="197"/>
        <v>0</v>
      </c>
      <c r="Y248" s="21">
        <f>AGOSTO!AA248</f>
        <v>0</v>
      </c>
      <c r="Z248" s="457">
        <v>0</v>
      </c>
      <c r="AA248" s="20">
        <f t="shared" si="198"/>
        <v>0</v>
      </c>
      <c r="AB248" s="21">
        <f>AGOSTO!AD248</f>
        <v>0</v>
      </c>
      <c r="AC248" s="457">
        <v>0</v>
      </c>
      <c r="AD248" s="20">
        <f t="shared" si="199"/>
        <v>0</v>
      </c>
      <c r="AE248" s="21">
        <f>AGOSTO!AG248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+IF(AGOSTO!S249=0,"",AGOSTO!S249)</f>
        <v>8002100-6</v>
      </c>
      <c r="T249" s="55" t="str">
        <f>+IF(AGOSTO!T249=0,"",AGOSTO!T249)</f>
        <v>Programas Especial 05</v>
      </c>
      <c r="U249" s="29">
        <f>+ENERO!U249</f>
        <v>0</v>
      </c>
      <c r="V249" s="17">
        <f>AGOSTO!V249+SEPTIEMBRE!AL249</f>
        <v>0</v>
      </c>
      <c r="W249" s="17">
        <f>AGOSTO!W249+SEPTIEMBRE!AM249</f>
        <v>0</v>
      </c>
      <c r="X249" s="20">
        <f t="shared" si="197"/>
        <v>0</v>
      </c>
      <c r="Y249" s="21">
        <f>AGOSTO!AA249</f>
        <v>0</v>
      </c>
      <c r="Z249" s="457">
        <v>0</v>
      </c>
      <c r="AA249" s="20">
        <f t="shared" si="198"/>
        <v>0</v>
      </c>
      <c r="AB249" s="21">
        <f>AGOSTO!AD249</f>
        <v>0</v>
      </c>
      <c r="AC249" s="457">
        <v>0</v>
      </c>
      <c r="AD249" s="20">
        <f t="shared" si="199"/>
        <v>0</v>
      </c>
      <c r="AE249" s="21">
        <f>AGOSTO!AG249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+IF(AGOSTO!S250=0,"",AGOSTO!S250)</f>
        <v>8002100-7</v>
      </c>
      <c r="T250" s="55" t="str">
        <f>+IF(AGOSTO!T250=0,"",AGOSTO!T250)</f>
        <v>Programas Especial 06</v>
      </c>
      <c r="U250" s="29">
        <f>+ENERO!U250</f>
        <v>0</v>
      </c>
      <c r="V250" s="17">
        <f>AGOSTO!V250+SEPTIEMBRE!AL250</f>
        <v>0</v>
      </c>
      <c r="W250" s="17">
        <f>AGOSTO!W250+SEPTIEMBRE!AM250</f>
        <v>0</v>
      </c>
      <c r="X250" s="20">
        <f>SUM(U250:W250)</f>
        <v>0</v>
      </c>
      <c r="Y250" s="21">
        <f>AGOSTO!AA250</f>
        <v>0</v>
      </c>
      <c r="Z250" s="457">
        <v>0</v>
      </c>
      <c r="AA250" s="20">
        <f>SUM(Y250:Z250)</f>
        <v>0</v>
      </c>
      <c r="AB250" s="21">
        <f>AGOSTO!AD250</f>
        <v>0</v>
      </c>
      <c r="AC250" s="457">
        <v>0</v>
      </c>
      <c r="AD250" s="20">
        <f>SUM(AB250:AC250)</f>
        <v>0</v>
      </c>
      <c r="AE250" s="21">
        <f>AGOSTO!AG250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+IF(AGOSTO!S251=0,"",AGOSTO!S251)</f>
        <v>8002100-8</v>
      </c>
      <c r="T251" s="55" t="str">
        <f>+IF(AGOSTO!T251=0,"",AGOSTO!T251)</f>
        <v>Programas Especial 07</v>
      </c>
      <c r="U251" s="29">
        <f>+ENERO!U251</f>
        <v>0</v>
      </c>
      <c r="V251" s="17">
        <f>AGOSTO!V251+SEPTIEMBRE!AL251</f>
        <v>0</v>
      </c>
      <c r="W251" s="17">
        <f>AGOSTO!W251+SEPTIEMBRE!AM251</f>
        <v>0</v>
      </c>
      <c r="X251" s="20">
        <f>SUM(U251:W251)</f>
        <v>0</v>
      </c>
      <c r="Y251" s="21">
        <f>AGOSTO!AA251</f>
        <v>0</v>
      </c>
      <c r="Z251" s="457">
        <v>0</v>
      </c>
      <c r="AA251" s="20">
        <f>SUM(Y251:Z251)</f>
        <v>0</v>
      </c>
      <c r="AB251" s="21">
        <f>AGOSTO!AD251</f>
        <v>0</v>
      </c>
      <c r="AC251" s="457">
        <v>0</v>
      </c>
      <c r="AD251" s="20">
        <f>SUM(AB251:AC251)</f>
        <v>0</v>
      </c>
      <c r="AE251" s="21">
        <f>AGOSTO!AG251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+IF(AGOSTO!S252=0,"",AGOSTO!S252)</f>
        <v>8002100-9</v>
      </c>
      <c r="T252" s="55" t="str">
        <f>+IF(AGOSTO!T252=0,"",AGOSTO!T252)</f>
        <v>Programas Especial 08</v>
      </c>
      <c r="U252" s="29">
        <f>+ENERO!U252</f>
        <v>0</v>
      </c>
      <c r="V252" s="17">
        <f>AGOSTO!V252+SEPTIEMBRE!AL252</f>
        <v>0</v>
      </c>
      <c r="W252" s="17">
        <f>AGOSTO!W252+SEPTIEMBRE!AM252</f>
        <v>0</v>
      </c>
      <c r="X252" s="20">
        <f>SUM(U252:W252)</f>
        <v>0</v>
      </c>
      <c r="Y252" s="21">
        <f>AGOSTO!AA252</f>
        <v>0</v>
      </c>
      <c r="Z252" s="457">
        <v>0</v>
      </c>
      <c r="AA252" s="20">
        <f>SUM(Y252:Z252)</f>
        <v>0</v>
      </c>
      <c r="AB252" s="21">
        <f>AGOSTO!AD252</f>
        <v>0</v>
      </c>
      <c r="AC252" s="457">
        <v>0</v>
      </c>
      <c r="AD252" s="20">
        <f>SUM(AB252:AC252)</f>
        <v>0</v>
      </c>
      <c r="AE252" s="21">
        <f>AGOSTO!AG252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+IF(AGOSTO!S253=0,"",AGOSTO!S253)</f>
        <v>8002100-10</v>
      </c>
      <c r="T253" s="55" t="str">
        <f>+IF(AGOSTO!T253=0,"",AGOSTO!T253)</f>
        <v>Programas Especial 09</v>
      </c>
      <c r="U253" s="29">
        <f>+ENERO!U253</f>
        <v>0</v>
      </c>
      <c r="V253" s="17">
        <f>AGOSTO!V253+SEPTIEMBRE!AL253</f>
        <v>0</v>
      </c>
      <c r="W253" s="17">
        <f>AGOSTO!W253+SEPTIEMBRE!AM253</f>
        <v>0</v>
      </c>
      <c r="X253" s="20">
        <f>SUM(U253:W253)</f>
        <v>0</v>
      </c>
      <c r="Y253" s="21">
        <f>AGOSTO!AA253</f>
        <v>0</v>
      </c>
      <c r="Z253" s="457">
        <v>0</v>
      </c>
      <c r="AA253" s="20">
        <f>SUM(Y253:Z253)</f>
        <v>0</v>
      </c>
      <c r="AB253" s="21">
        <f>AGOSTO!AD253</f>
        <v>0</v>
      </c>
      <c r="AC253" s="457">
        <v>0</v>
      </c>
      <c r="AD253" s="20">
        <f>SUM(AB253:AC253)</f>
        <v>0</v>
      </c>
      <c r="AE253" s="21">
        <f>AGOSTO!AG253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+IF(AGOSTO!S254=0,"",AGOSTO!S254)</f>
        <v>8002100-11</v>
      </c>
      <c r="T254" s="55" t="str">
        <f>+IF(AGOSTO!T254=0,"",AGOSTO!T254)</f>
        <v>Programas Especial 10</v>
      </c>
      <c r="U254" s="29">
        <f>+ENERO!U254</f>
        <v>0</v>
      </c>
      <c r="V254" s="17">
        <f>AGOSTO!V254+SEPTIEMBRE!AL254</f>
        <v>0</v>
      </c>
      <c r="W254" s="17">
        <f>AGOSTO!W254+SEPTIEMBRE!AM254</f>
        <v>0</v>
      </c>
      <c r="X254" s="20">
        <f>SUM(U254:W254)</f>
        <v>0</v>
      </c>
      <c r="Y254" s="21">
        <f>AGOSTO!AA254</f>
        <v>0</v>
      </c>
      <c r="Z254" s="457">
        <v>0</v>
      </c>
      <c r="AA254" s="20">
        <f>SUM(Y254:Z254)</f>
        <v>0</v>
      </c>
      <c r="AB254" s="21">
        <f>AGOSTO!AD254</f>
        <v>0</v>
      </c>
      <c r="AC254" s="457">
        <v>0</v>
      </c>
      <c r="AD254" s="20">
        <f>SUM(AB254:AC254)</f>
        <v>0</v>
      </c>
      <c r="AE254" s="21">
        <f>AGOSTO!AG254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+IF(AGOSTO!S255=0,"",AGOSTO!S255)</f>
        <v>8002100-12</v>
      </c>
      <c r="T255" s="55" t="str">
        <f>+IF(AGOSTO!T255=0,"",AGOSTO!T255)</f>
        <v>Programas Especial 11</v>
      </c>
      <c r="U255" s="29">
        <f>+ENERO!U255</f>
        <v>0</v>
      </c>
      <c r="V255" s="17">
        <f>AGOSTO!V255+SEPTIEMBRE!AL255</f>
        <v>0</v>
      </c>
      <c r="W255" s="17">
        <f>AGOSTO!W255+SEPTIEMBRE!AM255</f>
        <v>0</v>
      </c>
      <c r="X255" s="20">
        <f t="shared" si="197"/>
        <v>0</v>
      </c>
      <c r="Y255" s="21">
        <f>AGOSTO!AA255</f>
        <v>0</v>
      </c>
      <c r="Z255" s="457">
        <v>0</v>
      </c>
      <c r="AA255" s="20">
        <f t="shared" si="198"/>
        <v>0</v>
      </c>
      <c r="AB255" s="21">
        <f>AGOSTO!AD255</f>
        <v>0</v>
      </c>
      <c r="AC255" s="457">
        <v>0</v>
      </c>
      <c r="AD255" s="20">
        <f t="shared" si="199"/>
        <v>0</v>
      </c>
      <c r="AE255" s="21">
        <f>AGOSTO!AG255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+IF(AGOSTO!S256=0,"",AGOSTO!S256)</f>
        <v>8002999</v>
      </c>
      <c r="T256" s="658" t="str">
        <f>+IF(AGOSTO!T256=0,"",AGOSTO!T256)</f>
        <v>Vigencias Anteriores</v>
      </c>
      <c r="U256" s="160">
        <f>+ENERO!U256</f>
        <v>1563100</v>
      </c>
      <c r="V256" s="143">
        <f>AGOSTO!V256+SEPTIEMBRE!AL256</f>
        <v>-1563100</v>
      </c>
      <c r="W256" s="143">
        <f>AGOSTO!W256+SEPTIEMBRE!AM256</f>
        <v>0</v>
      </c>
      <c r="X256" s="149">
        <f t="shared" si="197"/>
        <v>0</v>
      </c>
      <c r="Y256" s="147">
        <f>AGOSTO!AA256</f>
        <v>0</v>
      </c>
      <c r="Z256" s="475">
        <v>0</v>
      </c>
      <c r="AA256" s="149">
        <f t="shared" si="198"/>
        <v>0</v>
      </c>
      <c r="AB256" s="147">
        <f>AGOSTO!AD256</f>
        <v>0</v>
      </c>
      <c r="AC256" s="475">
        <v>0</v>
      </c>
      <c r="AD256" s="149">
        <f t="shared" si="199"/>
        <v>0</v>
      </c>
      <c r="AE256" s="147">
        <f>AGOSTO!AG256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+IF(AGOSTO!S257=0,"",AGOSTO!S257)</f>
        <v/>
      </c>
      <c r="T257" s="357" t="str">
        <f>+IF(AGOSTO!T257=0,"",AGOSTO!T257)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+IF(AGOSTO!S258=0,"",AGOSTO!S258)</f>
        <v>E</v>
      </c>
      <c r="T258" s="664" t="str">
        <f>+IF(AGOSTO!T258=0,"",AGOSTO!T258)</f>
        <v>DISPONIBILIDAD FINAL</v>
      </c>
      <c r="U258" s="415">
        <f>+(C10+C17+C108)-(U10+U207+U220+U232)</f>
        <v>0</v>
      </c>
      <c r="V258" s="415">
        <f t="shared" ref="V258:AJ258" si="204">+(D10+D17+D108)-(V10+V207+V220+V232)</f>
        <v>0</v>
      </c>
      <c r="W258" s="415">
        <f t="shared" si="204"/>
        <v>0</v>
      </c>
      <c r="X258" s="415">
        <f t="shared" si="204"/>
        <v>0</v>
      </c>
      <c r="Y258" s="415">
        <f t="shared" si="204"/>
        <v>394260200</v>
      </c>
      <c r="Z258" s="415">
        <f t="shared" si="204"/>
        <v>171041162</v>
      </c>
      <c r="AA258" s="415">
        <f t="shared" si="204"/>
        <v>565301362</v>
      </c>
      <c r="AB258" s="415">
        <f t="shared" si="204"/>
        <v>-12229186</v>
      </c>
      <c r="AC258" s="415">
        <f t="shared" si="204"/>
        <v>138806329</v>
      </c>
      <c r="AD258" s="415">
        <f t="shared" si="204"/>
        <v>126577143</v>
      </c>
      <c r="AE258" s="415">
        <f t="shared" si="204"/>
        <v>-1510334144</v>
      </c>
      <c r="AF258" s="415">
        <f t="shared" si="204"/>
        <v>749112651</v>
      </c>
      <c r="AG258" s="415">
        <f t="shared" si="204"/>
        <v>-2413874843</v>
      </c>
      <c r="AH258" s="415">
        <f t="shared" si="204"/>
        <v>-1172116655</v>
      </c>
      <c r="AI258" s="415">
        <f t="shared" si="204"/>
        <v>-1172415200</v>
      </c>
      <c r="AJ258" s="415">
        <f t="shared" si="204"/>
        <v>-1425259492</v>
      </c>
      <c r="AK258" s="10"/>
      <c r="AL258" s="415">
        <v>0</v>
      </c>
      <c r="AM258" s="416">
        <v>0</v>
      </c>
    </row>
    <row r="259" spans="1:39" ht="17.25" thickBot="1" x14ac:dyDescent="0.25">
      <c r="S259" s="982" t="str">
        <f>+IF(AGOSTO!S259=0,"",AGOSTO!S259)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144524291</v>
      </c>
      <c r="AF259" s="133">
        <f t="shared" si="205"/>
        <v>0</v>
      </c>
      <c r="AG259" s="146">
        <f t="shared" si="205"/>
        <v>144524291</v>
      </c>
      <c r="AH259" s="145">
        <f t="shared" si="205"/>
        <v>466000</v>
      </c>
      <c r="AI259" s="133">
        <f t="shared" si="205"/>
        <v>466000</v>
      </c>
      <c r="AJ259" s="134">
        <f t="shared" si="205"/>
        <v>1395200</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1"/>
  <sheetViews>
    <sheetView showGridLines="0" zoomScale="87" zoomScaleNormal="87" workbookViewId="0">
      <selection activeCell="H127" sqref="H127"/>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8.855468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1"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10</v>
      </c>
      <c r="AP2" s="349" t="s">
        <v>8</v>
      </c>
      <c r="AQ2" s="350"/>
      <c r="AR2" s="4"/>
      <c r="AS2" s="4"/>
      <c r="AT2" s="4"/>
      <c r="AU2" s="4"/>
      <c r="AV2" s="4"/>
      <c r="AW2" s="4"/>
      <c r="AX2" s="4"/>
      <c r="AY2" s="4"/>
      <c r="AZ2" s="5"/>
      <c r="BB2" s="952" t="s">
        <v>423</v>
      </c>
      <c r="BC2" s="969"/>
      <c r="BD2" s="69" t="s">
        <v>409</v>
      </c>
      <c r="BE2" s="347" t="str">
        <f>+L3</f>
        <v>OCTUBRE</v>
      </c>
      <c r="BF2" s="340"/>
      <c r="BG2" s="952" t="s">
        <v>424</v>
      </c>
      <c r="BH2" s="969"/>
      <c r="BI2" s="969"/>
      <c r="BJ2" s="69" t="s">
        <v>409</v>
      </c>
      <c r="BK2" s="347" t="str">
        <f>+BE2</f>
        <v>OCTUBRE</v>
      </c>
      <c r="BM2" s="952" t="s">
        <v>424</v>
      </c>
      <c r="BN2" s="969"/>
      <c r="BO2" s="969"/>
      <c r="BP2" s="69" t="s">
        <v>409</v>
      </c>
      <c r="BQ2" s="347" t="str">
        <f>+BK2</f>
        <v>OCTUBRE</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394</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OCTUBRE</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OCTUBRE</v>
      </c>
      <c r="AS6" s="387" t="str">
        <f>AR6</f>
        <v>OCTUBRE</v>
      </c>
      <c r="AT6" s="387" t="str">
        <f>AR6</f>
        <v>OCTUBRE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325318962</v>
      </c>
      <c r="AS7" s="401">
        <f>L22</f>
        <v>195164184</v>
      </c>
      <c r="AT7" s="15"/>
      <c r="AU7" s="402">
        <f t="shared" ref="AU7:AU17" si="0">IF(AQ7=0," ",AR7/AQ7)</f>
        <v>1.3817590103169206</v>
      </c>
      <c r="AV7" s="402">
        <f t="shared" ref="AV7:AV17" si="1">IF(AQ7=0," ",AS7/AQ7)</f>
        <v>0.82893990585507082</v>
      </c>
      <c r="AW7" s="401">
        <f>I23/AO$2*12+I24</f>
        <v>370995693.39999998</v>
      </c>
      <c r="AX7" s="401">
        <f>L23/AO$2*12+L24</f>
        <v>214809959.80000001</v>
      </c>
      <c r="AY7" s="401">
        <f t="shared" ref="AY7:AY16" si="2">AW7-AQ7</f>
        <v>135557415.39999998</v>
      </c>
      <c r="AZ7" s="403">
        <f t="shared" ref="AZ7:AZ16" si="3">AX7-AQ7</f>
        <v>-20628318.199999988</v>
      </c>
      <c r="BB7" s="404" t="s">
        <v>55</v>
      </c>
      <c r="BC7" s="72">
        <f>F10</f>
        <v>133074115</v>
      </c>
      <c r="BD7" s="73">
        <f>I10</f>
        <v>133074115</v>
      </c>
      <c r="BE7" s="74">
        <f>K10</f>
        <v>0</v>
      </c>
      <c r="BF7" s="75"/>
      <c r="BG7" s="109" t="s">
        <v>56</v>
      </c>
      <c r="BH7" s="135">
        <f>+SUM(BH8:BH11)</f>
        <v>3326828778</v>
      </c>
      <c r="BI7" s="135">
        <f>+SUM(BI8:BI11)</f>
        <v>2322497666</v>
      </c>
      <c r="BJ7" s="135">
        <f>+SUM(BJ8:BJ11)</f>
        <v>2322227663</v>
      </c>
      <c r="BK7" s="135">
        <f>+SUM(BK8:BK11)</f>
        <v>239332088</v>
      </c>
      <c r="BM7" s="79" t="s">
        <v>56</v>
      </c>
      <c r="BN7" s="80">
        <f>BN8+BN15+BN22</f>
        <v>3326828778</v>
      </c>
      <c r="BO7" s="81">
        <f>BO8+BO15+BO22</f>
        <v>2322497666</v>
      </c>
      <c r="BP7" s="81">
        <f>BP8+BP15+BP22</f>
        <v>2322227663</v>
      </c>
      <c r="BQ7" s="82">
        <f>BQ8+BQ15+BQ22</f>
        <v>239332088</v>
      </c>
    </row>
    <row r="8" spans="1:69" s="10" customFormat="1" ht="24" thickBot="1" x14ac:dyDescent="0.3">
      <c r="A8" s="405">
        <f>+IF(SEPTIEMBRE!A8=0,"",SEPTIEMBRE!A8)</f>
        <v>1</v>
      </c>
      <c r="B8" s="670" t="str">
        <f>+IF(SEPTIEMBRE!B8=0,"",SEPTIEMBRE!B8)</f>
        <v>INGRESOS</v>
      </c>
      <c r="C8" s="407">
        <f>C10+C17+C108</f>
        <v>3631501012</v>
      </c>
      <c r="D8" s="407">
        <f t="shared" ref="D8:N8" si="4">D10+D17+D108</f>
        <v>0</v>
      </c>
      <c r="E8" s="407">
        <f t="shared" si="4"/>
        <v>457333323</v>
      </c>
      <c r="F8" s="407">
        <f t="shared" si="4"/>
        <v>4088834335</v>
      </c>
      <c r="G8" s="407">
        <f t="shared" si="4"/>
        <v>3232319042</v>
      </c>
      <c r="H8" s="407">
        <f t="shared" si="4"/>
        <v>321847280</v>
      </c>
      <c r="I8" s="407">
        <f t="shared" si="4"/>
        <v>3554166322</v>
      </c>
      <c r="J8" s="407">
        <f t="shared" si="4"/>
        <v>2793296278</v>
      </c>
      <c r="K8" s="407">
        <f t="shared" si="4"/>
        <v>288442693</v>
      </c>
      <c r="L8" s="407">
        <f t="shared" si="4"/>
        <v>3081738971</v>
      </c>
      <c r="M8" s="407">
        <f t="shared" si="4"/>
        <v>534668013</v>
      </c>
      <c r="N8" s="408">
        <f t="shared" si="4"/>
        <v>1007095364</v>
      </c>
      <c r="O8" s="409"/>
      <c r="P8" s="410">
        <f>P10+P17+P108</f>
        <v>0</v>
      </c>
      <c r="Q8" s="408">
        <f>Q10+Q17+Q108</f>
        <v>249700000</v>
      </c>
      <c r="S8" s="206" t="str">
        <f>+IF(SEPTIEMBRE!S8=0,"",SEPTIEMBRE!S8)</f>
        <v/>
      </c>
      <c r="T8" s="411" t="str">
        <f>+IF(SEPTIEMBRE!T8=0,"",SEPTIEMBRE!T8)</f>
        <v>GASTOS</v>
      </c>
      <c r="U8" s="412">
        <f t="shared" ref="U8:AM8" si="5">U10+U207+U220+U232</f>
        <v>3631501012</v>
      </c>
      <c r="V8" s="413">
        <f t="shared" si="5"/>
        <v>0</v>
      </c>
      <c r="W8" s="413">
        <f t="shared" si="5"/>
        <v>457333323</v>
      </c>
      <c r="X8" s="414">
        <f t="shared" si="5"/>
        <v>4088834335</v>
      </c>
      <c r="Y8" s="415">
        <f t="shared" si="5"/>
        <v>2667017680</v>
      </c>
      <c r="Z8" s="413">
        <f t="shared" si="5"/>
        <v>218572392</v>
      </c>
      <c r="AA8" s="414">
        <f t="shared" si="5"/>
        <v>2885590072</v>
      </c>
      <c r="AB8" s="415">
        <f t="shared" si="5"/>
        <v>2666719135</v>
      </c>
      <c r="AC8" s="413">
        <f t="shared" si="5"/>
        <v>218572391</v>
      </c>
      <c r="AD8" s="414">
        <f t="shared" si="5"/>
        <v>2885291526</v>
      </c>
      <c r="AE8" s="415">
        <f t="shared" si="5"/>
        <v>2413874843</v>
      </c>
      <c r="AF8" s="413">
        <f t="shared" si="5"/>
        <v>274899039</v>
      </c>
      <c r="AG8" s="414">
        <f t="shared" si="5"/>
        <v>2688773882</v>
      </c>
      <c r="AH8" s="415">
        <f t="shared" si="5"/>
        <v>1203244263</v>
      </c>
      <c r="AI8" s="413">
        <f t="shared" si="5"/>
        <v>1203542809</v>
      </c>
      <c r="AJ8" s="416">
        <f t="shared" si="5"/>
        <v>1400060453</v>
      </c>
      <c r="AL8" s="417">
        <f t="shared" si="5"/>
        <v>0</v>
      </c>
      <c r="AM8" s="418">
        <f t="shared" si="5"/>
        <v>249700000</v>
      </c>
      <c r="AO8" s="23"/>
      <c r="AP8" s="13" t="s">
        <v>58</v>
      </c>
      <c r="AQ8" s="14">
        <f>F25</f>
        <v>2707198704</v>
      </c>
      <c r="AR8" s="14">
        <f>I25</f>
        <v>2271912148</v>
      </c>
      <c r="AS8" s="14">
        <f>L25</f>
        <v>2027465602</v>
      </c>
      <c r="AT8" s="15"/>
      <c r="AU8" s="419">
        <f t="shared" si="0"/>
        <v>0.8392114493269941</v>
      </c>
      <c r="AV8" s="419">
        <f t="shared" si="1"/>
        <v>0.74891643491271409</v>
      </c>
      <c r="AW8" s="14">
        <f>I26/AO$2*12+I27</f>
        <v>2682275108.1999998</v>
      </c>
      <c r="AX8" s="14">
        <f>L26/AO$2*12+L27</f>
        <v>2388939253</v>
      </c>
      <c r="AY8" s="14">
        <f t="shared" si="2"/>
        <v>-24923595.800000191</v>
      </c>
      <c r="AZ8" s="420">
        <f t="shared" si="3"/>
        <v>-318259451</v>
      </c>
      <c r="BB8" s="167" t="s">
        <v>59</v>
      </c>
      <c r="BC8" s="83">
        <f>BC9+BC19</f>
        <v>3486627588</v>
      </c>
      <c r="BD8" s="84">
        <f>BD9+BD19</f>
        <v>2893814647</v>
      </c>
      <c r="BE8" s="85">
        <f>BE9+BE19</f>
        <v>280000435</v>
      </c>
      <c r="BF8" s="75"/>
      <c r="BG8" s="86" t="s">
        <v>60</v>
      </c>
      <c r="BH8" s="87">
        <f>BN9+BN13</f>
        <v>2172482035</v>
      </c>
      <c r="BI8" s="87">
        <f>BO9+BO13</f>
        <v>1611400128</v>
      </c>
      <c r="BJ8" s="87">
        <f>BP9+BP13</f>
        <v>1611400128</v>
      </c>
      <c r="BK8" s="87">
        <f>BQ9+BQ13</f>
        <v>155203470</v>
      </c>
      <c r="BM8" s="89" t="s">
        <v>61</v>
      </c>
      <c r="BN8" s="90">
        <f>BN9+BN14+BN13</f>
        <v>2396916990</v>
      </c>
      <c r="BO8" s="87">
        <f>BO9+BO14+BO13</f>
        <v>1702291015</v>
      </c>
      <c r="BP8" s="87">
        <f>BP9+BP14+BP13</f>
        <v>1702291015</v>
      </c>
      <c r="BQ8" s="88">
        <f>BQ9+BQ14+BQ13</f>
        <v>166170183</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32800000</v>
      </c>
      <c r="AR9" s="14">
        <f>I28+I75</f>
        <v>32860005</v>
      </c>
      <c r="AS9" s="14">
        <f>L28+L75</f>
        <v>32880625</v>
      </c>
      <c r="AT9" s="15"/>
      <c r="AU9" s="429">
        <f t="shared" si="0"/>
        <v>1.0018294207317073</v>
      </c>
      <c r="AV9" s="429">
        <f t="shared" si="1"/>
        <v>1.0024580792682927</v>
      </c>
      <c r="AW9" s="430">
        <f>(I30+I33+I36+I76)/AO$2*12+I31+I34+I37+I38+I39+I40+I77</f>
        <v>39432006</v>
      </c>
      <c r="AX9" s="430">
        <f>(L30+L33+L36+L76)/AO$2*12+L31+L34+L37+L38+L39+L40+L77</f>
        <v>39456750</v>
      </c>
      <c r="AY9" s="430">
        <f t="shared" si="2"/>
        <v>6632006</v>
      </c>
      <c r="AZ9" s="431">
        <f t="shared" si="3"/>
        <v>6656750</v>
      </c>
      <c r="BB9" s="432" t="s">
        <v>456</v>
      </c>
      <c r="BC9" s="91">
        <f>BC10+BC18</f>
        <v>3357448559</v>
      </c>
      <c r="BD9" s="92">
        <f>BD10+BD18</f>
        <v>2768528779</v>
      </c>
      <c r="BE9" s="93">
        <f>BE10+BE18</f>
        <v>270109307</v>
      </c>
      <c r="BF9" s="94"/>
      <c r="BG9" s="95" t="s">
        <v>64</v>
      </c>
      <c r="BH9" s="96">
        <f t="shared" ref="BH9:BK10" si="6">BN14</f>
        <v>224434955</v>
      </c>
      <c r="BI9" s="96">
        <f t="shared" si="6"/>
        <v>90890887</v>
      </c>
      <c r="BJ9" s="96">
        <f t="shared" si="6"/>
        <v>90890887</v>
      </c>
      <c r="BK9" s="96">
        <f t="shared" si="6"/>
        <v>10966713</v>
      </c>
      <c r="BM9" s="164" t="s">
        <v>65</v>
      </c>
      <c r="BN9" s="98">
        <f>SUM(BN10:BN12)</f>
        <v>1605742067</v>
      </c>
      <c r="BO9" s="96">
        <f>SUM(BO10:BO12)</f>
        <v>1200591924</v>
      </c>
      <c r="BP9" s="96">
        <f>SUM(BP10:BP12)</f>
        <v>1200591924</v>
      </c>
      <c r="BQ9" s="97">
        <f>SUM(BQ10:BQ12)</f>
        <v>115940047</v>
      </c>
    </row>
    <row r="10" spans="1:69" s="10" customFormat="1" ht="19.5" x14ac:dyDescent="0.2">
      <c r="A10" s="433">
        <f>+IF(SEPTIEMBRE!A10=0,"",SEPTIEMBRE!A10)</f>
        <v>10</v>
      </c>
      <c r="B10" s="434" t="str">
        <f>+IF(SEPTIEMBRE!B10=0,"",SEPTIEMBRE!B10)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+IF(SEPTIEMBRE!S10=0,"",SEPTIEMBRE!S10)</f>
        <v>A</v>
      </c>
      <c r="T10" s="439" t="str">
        <f>+IF(SEPTIEMBRE!T10=0,"",SEPTIEMBRE!T10)</f>
        <v>GASTOS DE FUNCIONAMIENTO</v>
      </c>
      <c r="U10" s="440">
        <f t="shared" ref="U10:AJ10" si="8">U12+U110+U170+U193</f>
        <v>3509937912</v>
      </c>
      <c r="V10" s="441">
        <f t="shared" si="8"/>
        <v>1563100</v>
      </c>
      <c r="W10" s="441">
        <f t="shared" si="8"/>
        <v>321923183</v>
      </c>
      <c r="X10" s="444">
        <f t="shared" si="8"/>
        <v>3833424195</v>
      </c>
      <c r="Y10" s="443">
        <f t="shared" si="8"/>
        <v>2484876592</v>
      </c>
      <c r="Z10" s="441">
        <f t="shared" si="8"/>
        <v>218572392</v>
      </c>
      <c r="AA10" s="444">
        <f t="shared" si="8"/>
        <v>2703448984</v>
      </c>
      <c r="AB10" s="443">
        <f t="shared" si="8"/>
        <v>2484579276</v>
      </c>
      <c r="AC10" s="441">
        <f t="shared" si="8"/>
        <v>218572391</v>
      </c>
      <c r="AD10" s="444">
        <f t="shared" si="8"/>
        <v>2703151667</v>
      </c>
      <c r="AE10" s="443">
        <f t="shared" si="8"/>
        <v>2243069059</v>
      </c>
      <c r="AF10" s="441">
        <f t="shared" si="8"/>
        <v>269339203</v>
      </c>
      <c r="AG10" s="444">
        <f t="shared" si="8"/>
        <v>2512408262</v>
      </c>
      <c r="AH10" s="443">
        <f t="shared" si="8"/>
        <v>1129975211</v>
      </c>
      <c r="AI10" s="441">
        <f t="shared" si="8"/>
        <v>1130272528</v>
      </c>
      <c r="AJ10" s="442">
        <f t="shared" si="8"/>
        <v>1321015933</v>
      </c>
      <c r="AL10" s="445">
        <f>AL12+AL110+AL170+AL193</f>
        <v>0</v>
      </c>
      <c r="AM10" s="446">
        <f>AM12+AM110+AM170+AM193</f>
        <v>199700000</v>
      </c>
      <c r="AO10" s="428"/>
      <c r="AP10" s="13" t="s">
        <v>67</v>
      </c>
      <c r="AQ10" s="14">
        <f>F42</f>
        <v>175397398</v>
      </c>
      <c r="AR10" s="14">
        <f>I42</f>
        <v>111330469</v>
      </c>
      <c r="AS10" s="14">
        <f>L42</f>
        <v>63941789</v>
      </c>
      <c r="AT10" s="15"/>
      <c r="AU10" s="429">
        <f t="shared" si="0"/>
        <v>0.63473272847525364</v>
      </c>
      <c r="AV10" s="429">
        <f t="shared" si="1"/>
        <v>0.36455380598063375</v>
      </c>
      <c r="AW10" s="430">
        <f>I43/AO$2*12+I44</f>
        <v>133596562.80000001</v>
      </c>
      <c r="AX10" s="430">
        <f>L43/AO$2*12+L44</f>
        <v>76730146.800000012</v>
      </c>
      <c r="AY10" s="430">
        <f t="shared" si="2"/>
        <v>-41800835.199999988</v>
      </c>
      <c r="AZ10" s="431">
        <f t="shared" si="3"/>
        <v>-98667251.199999988</v>
      </c>
      <c r="BB10" s="447" t="s">
        <v>457</v>
      </c>
      <c r="BC10" s="91">
        <f>BC11+BC12+BC13+BC14+BC16+BC17+BC15</f>
        <v>3104923118</v>
      </c>
      <c r="BD10" s="92">
        <f>BD11+BD12+BD13+BD14+BD16+BD17+BD15</f>
        <v>2558090911</v>
      </c>
      <c r="BE10" s="93">
        <f>BE11+BE12+BE13+BE14+BE16+BE17+BE15</f>
        <v>249065485</v>
      </c>
      <c r="BF10" s="94"/>
      <c r="BG10" s="86" t="s">
        <v>68</v>
      </c>
      <c r="BH10" s="99">
        <f t="shared" si="6"/>
        <v>731144299</v>
      </c>
      <c r="BI10" s="99">
        <f t="shared" si="6"/>
        <v>515431857</v>
      </c>
      <c r="BJ10" s="99">
        <f t="shared" si="6"/>
        <v>515161854</v>
      </c>
      <c r="BK10" s="99">
        <f t="shared" si="6"/>
        <v>64755880</v>
      </c>
      <c r="BM10" s="161" t="s">
        <v>470</v>
      </c>
      <c r="BN10" s="101">
        <f>X17+X66</f>
        <v>1269481968</v>
      </c>
      <c r="BO10" s="99">
        <f>AA17+AA66</f>
        <v>1054667077</v>
      </c>
      <c r="BP10" s="99">
        <f>AD17+AD66</f>
        <v>1054667077</v>
      </c>
      <c r="BQ10" s="100">
        <f>AF17+AF66</f>
        <v>103877891</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0.83333333333333337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2051814801</v>
      </c>
      <c r="BE11" s="93">
        <f>K26</f>
        <v>205337561</v>
      </c>
      <c r="BF11" s="94"/>
      <c r="BG11" s="86" t="s">
        <v>69</v>
      </c>
      <c r="BH11" s="102">
        <f>BN22</f>
        <v>198767489</v>
      </c>
      <c r="BI11" s="102">
        <f>BO22</f>
        <v>104774794</v>
      </c>
      <c r="BJ11" s="102">
        <f>BP22</f>
        <v>104774794</v>
      </c>
      <c r="BK11" s="102">
        <f>BQ22</f>
        <v>8406025</v>
      </c>
      <c r="BM11" s="162" t="s">
        <v>471</v>
      </c>
      <c r="BN11" s="104">
        <f>X18+X67</f>
        <v>136976782</v>
      </c>
      <c r="BO11" s="102">
        <f>AA18+AA67</f>
        <v>86494241</v>
      </c>
      <c r="BP11" s="102">
        <f>AD18+AD67</f>
        <v>86494241</v>
      </c>
      <c r="BQ11" s="103">
        <f>AF18+AF67</f>
        <v>7540368</v>
      </c>
    </row>
    <row r="12" spans="1:69" s="10" customFormat="1" ht="25.5" x14ac:dyDescent="0.2">
      <c r="A12" s="203">
        <f>+IF(SEPTIEMBRE!A12=0,"",SEPTIEMBRE!A12)</f>
        <v>1001</v>
      </c>
      <c r="B12" s="251" t="str">
        <f>+IF(SEPTIEMBRE!B12=0,"",SEPTIEMBRE!B12)</f>
        <v>Bienestar Social (Caja, Bancos, Inversiones Tempor.) a Dic-31-2013</v>
      </c>
      <c r="C12" s="283">
        <f>+ENERO!C12</f>
        <v>0</v>
      </c>
      <c r="D12" s="456">
        <f>SEPTIEMBRE!D12+OCTUBRE!P12</f>
        <v>0</v>
      </c>
      <c r="E12" s="456">
        <f>SEPTIEMBRE!E12+OCTUBRE!Q12</f>
        <v>0</v>
      </c>
      <c r="F12" s="170">
        <f>SUM(C12:E12)</f>
        <v>0</v>
      </c>
      <c r="G12" s="283">
        <f>SEPTIEMBRE!I12</f>
        <v>0</v>
      </c>
      <c r="H12" s="154">
        <v>0</v>
      </c>
      <c r="I12" s="170">
        <f>SUM(G12:H12)</f>
        <v>0</v>
      </c>
      <c r="J12" s="283">
        <f>SEPTIEMBRE!L12</f>
        <v>0</v>
      </c>
      <c r="K12" s="154">
        <v>0</v>
      </c>
      <c r="L12" s="170">
        <f>SUM(J12:K12)</f>
        <v>0</v>
      </c>
      <c r="M12" s="283">
        <f>F12-I12</f>
        <v>0</v>
      </c>
      <c r="N12" s="170">
        <f>F12-L12</f>
        <v>0</v>
      </c>
      <c r="O12" s="365"/>
      <c r="P12" s="455">
        <v>0</v>
      </c>
      <c r="Q12" s="458">
        <v>0</v>
      </c>
      <c r="S12" s="459">
        <f>+IF(SEPTIEMBRE!S12=0,"",SEPTIEMBRE!S12)</f>
        <v>1000000</v>
      </c>
      <c r="T12" s="460" t="str">
        <f>+IF(SEPTIEMBRE!T12=0,"",SEPTIEMBRE!T12)</f>
        <v>GASTOS DE PERSONAL</v>
      </c>
      <c r="U12" s="461">
        <f t="shared" ref="U12:AJ12" si="9">U14+U63</f>
        <v>2360005696</v>
      </c>
      <c r="V12" s="462">
        <f t="shared" si="9"/>
        <v>0</v>
      </c>
      <c r="W12" s="462">
        <f t="shared" si="9"/>
        <v>77989110</v>
      </c>
      <c r="X12" s="463">
        <f t="shared" si="9"/>
        <v>2437994806</v>
      </c>
      <c r="Y12" s="445">
        <f t="shared" si="9"/>
        <v>1590019724</v>
      </c>
      <c r="Z12" s="462">
        <f t="shared" si="9"/>
        <v>152884107</v>
      </c>
      <c r="AA12" s="463">
        <f t="shared" si="9"/>
        <v>1742903831</v>
      </c>
      <c r="AB12" s="445">
        <f t="shared" si="9"/>
        <v>1590019724</v>
      </c>
      <c r="AC12" s="462">
        <f t="shared" si="9"/>
        <v>152884107</v>
      </c>
      <c r="AD12" s="463">
        <f t="shared" si="9"/>
        <v>1742903831</v>
      </c>
      <c r="AE12" s="445">
        <f t="shared" si="9"/>
        <v>1506351155</v>
      </c>
      <c r="AF12" s="462">
        <f t="shared" si="9"/>
        <v>166170183</v>
      </c>
      <c r="AG12" s="463">
        <f t="shared" si="9"/>
        <v>1672521338</v>
      </c>
      <c r="AH12" s="445">
        <f t="shared" si="9"/>
        <v>695090975</v>
      </c>
      <c r="AI12" s="462">
        <f t="shared" si="9"/>
        <v>695090975</v>
      </c>
      <c r="AJ12" s="446">
        <f t="shared" si="9"/>
        <v>765473468</v>
      </c>
      <c r="AK12" s="12"/>
      <c r="AL12" s="464">
        <f>AL14+AL63</f>
        <v>0</v>
      </c>
      <c r="AM12" s="465">
        <f>AM14+AM63</f>
        <v>58000000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228383657</v>
      </c>
      <c r="BE12" s="93">
        <f>K23</f>
        <v>22598833</v>
      </c>
      <c r="BF12" s="94"/>
      <c r="BG12" s="466" t="s">
        <v>412</v>
      </c>
      <c r="BH12" s="102">
        <f>BN25</f>
        <v>360675926</v>
      </c>
      <c r="BI12" s="17">
        <f>BO25</f>
        <v>235497827</v>
      </c>
      <c r="BJ12" s="102">
        <f>BP25</f>
        <v>235470513</v>
      </c>
      <c r="BK12" s="102">
        <f>BQ25</f>
        <v>30007115</v>
      </c>
      <c r="BM12" s="163" t="s">
        <v>472</v>
      </c>
      <c r="BN12" s="104">
        <f>X16+X65-X81-X33-BN10-BN11</f>
        <v>199283317</v>
      </c>
      <c r="BO12" s="102">
        <f>AA16+AA65-AA81-AA33-BO10-BO11</f>
        <v>59430606</v>
      </c>
      <c r="BP12" s="102">
        <f>AD16+AD65-AD81-AD33-BP10-BP11</f>
        <v>59430606</v>
      </c>
      <c r="BQ12" s="103">
        <f>AF16+AF65-AF81-AF33-BQ10-BQ11</f>
        <v>4521788</v>
      </c>
    </row>
    <row r="13" spans="1:69" s="10" customFormat="1" ht="27.75" customHeight="1" x14ac:dyDescent="0.25">
      <c r="A13" s="203">
        <f>+IF(SEPTIEMBRE!A13=0,"",SEPTIEMBRE!A13)</f>
        <v>1002</v>
      </c>
      <c r="B13" s="251" t="str">
        <f>+IF(SEPTIEMBRE!B13=0,"",SEPTIEMBRE!B13)</f>
        <v>Fondo Vivienda (Caja, Bancos, Inversiones Tempor.) a Dic-31-2013</v>
      </c>
      <c r="C13" s="283">
        <f>+ENERO!C13</f>
        <v>0</v>
      </c>
      <c r="D13" s="456">
        <f>SEPTIEMBRE!D13+OCTUBRE!P13</f>
        <v>0</v>
      </c>
      <c r="E13" s="456">
        <f>SEPTIEMBRE!E13+OCTUBRE!Q13</f>
        <v>0</v>
      </c>
      <c r="F13" s="170">
        <f>SUM(C13:E13)</f>
        <v>0</v>
      </c>
      <c r="G13" s="283">
        <f>SEPTIEMBRE!I13</f>
        <v>0</v>
      </c>
      <c r="H13" s="154">
        <v>0</v>
      </c>
      <c r="I13" s="170">
        <f>SUM(G13:H13)</f>
        <v>0</v>
      </c>
      <c r="J13" s="283">
        <f>SEPTIEMBRE!L13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255410140</v>
      </c>
      <c r="BI13" s="102">
        <f t="shared" si="10"/>
        <v>182141088</v>
      </c>
      <c r="BJ13" s="102">
        <f t="shared" si="10"/>
        <v>182139859</v>
      </c>
      <c r="BK13" s="102">
        <f t="shared" si="10"/>
        <v>5559836</v>
      </c>
      <c r="BM13" s="166" t="s">
        <v>473</v>
      </c>
      <c r="BN13" s="101">
        <f>X43-X55+X57-X61+X90-X102+X104-X108</f>
        <v>566739968</v>
      </c>
      <c r="BO13" s="99">
        <f>AA43-AA55+AA57-AA61+AA90-AA102+AA104-AA108</f>
        <v>410808204</v>
      </c>
      <c r="BP13" s="99">
        <f>AD43-AD55+AD57-AD61+AD90-AD102+AD104-AD108</f>
        <v>410808204</v>
      </c>
      <c r="BQ13" s="100">
        <f>AF43-AF55+AF57-AF61+AF90-AF102+AF104-AF108</f>
        <v>39263423</v>
      </c>
    </row>
    <row r="14" spans="1:69" s="10" customFormat="1" ht="15.75" x14ac:dyDescent="0.25">
      <c r="A14" s="203">
        <f>+IF(SEPTIEMBRE!A14=0,"",SEPTIEMBRE!A14)</f>
        <v>1003</v>
      </c>
      <c r="B14" s="251" t="str">
        <f>+IF(SEPTIEMBRE!B14=0,"",SEPTIEMBRE!B14)</f>
        <v>Fondos Comunes y Especiales (Caja, Bancos, Invers. Tempor.) a Dic-31-2013</v>
      </c>
      <c r="C14" s="283">
        <f>+ENERO!C14</f>
        <v>80000000</v>
      </c>
      <c r="D14" s="456">
        <f>SEPTIEMBRE!D14+OCTUBRE!P14</f>
        <v>0</v>
      </c>
      <c r="E14" s="456">
        <f>SEPTIEMBRE!E14+OCTUBRE!Q14</f>
        <v>33074115</v>
      </c>
      <c r="F14" s="170">
        <f>SUM(C14:E14)</f>
        <v>113074115</v>
      </c>
      <c r="G14" s="283">
        <f>SEPTIEMBRE!I14</f>
        <v>113074115</v>
      </c>
      <c r="H14" s="154">
        <v>0</v>
      </c>
      <c r="I14" s="170">
        <f>SUM(G14:H14)</f>
        <v>113074115</v>
      </c>
      <c r="J14" s="283">
        <f>SEPTIEMBRE!L14</f>
        <v>113074115</v>
      </c>
      <c r="K14" s="154">
        <v>0</v>
      </c>
      <c r="L14" s="170">
        <f>SUM(J14:K14)</f>
        <v>113074115</v>
      </c>
      <c r="M14" s="283">
        <f>F14-I14</f>
        <v>0</v>
      </c>
      <c r="N14" s="170">
        <f>F14-L14</f>
        <v>0</v>
      </c>
      <c r="O14" s="467"/>
      <c r="P14" s="455">
        <v>0</v>
      </c>
      <c r="Q14" s="458">
        <v>0</v>
      </c>
      <c r="S14" s="469">
        <f>+IF(SEPTIEMBRE!S14=0,"",SEPTIEMBRE!S14)</f>
        <v>1010000</v>
      </c>
      <c r="T14" s="470" t="str">
        <f>+IF(SEPTIEMBRE!T14=0,"",SEPTIEMBRE!T14)</f>
        <v>Gastos de Administración</v>
      </c>
      <c r="U14" s="157">
        <f t="shared" ref="U14:AJ14" si="11">U16+U35+U43+U57</f>
        <v>703883287</v>
      </c>
      <c r="V14" s="144">
        <f t="shared" si="11"/>
        <v>-5657703</v>
      </c>
      <c r="W14" s="144">
        <f t="shared" si="11"/>
        <v>29200000</v>
      </c>
      <c r="X14" s="152">
        <f t="shared" si="11"/>
        <v>727425584</v>
      </c>
      <c r="Y14" s="151">
        <f t="shared" si="11"/>
        <v>441223559</v>
      </c>
      <c r="Z14" s="144">
        <f t="shared" si="11"/>
        <v>43971725</v>
      </c>
      <c r="AA14" s="152">
        <f t="shared" si="11"/>
        <v>485195284</v>
      </c>
      <c r="AB14" s="151">
        <f t="shared" si="11"/>
        <v>441223559</v>
      </c>
      <c r="AC14" s="144">
        <f t="shared" si="11"/>
        <v>43971725</v>
      </c>
      <c r="AD14" s="152">
        <f t="shared" si="11"/>
        <v>485195284</v>
      </c>
      <c r="AE14" s="151">
        <f t="shared" si="11"/>
        <v>422639195</v>
      </c>
      <c r="AF14" s="144">
        <f t="shared" si="11"/>
        <v>47046212</v>
      </c>
      <c r="AG14" s="152">
        <f t="shared" si="11"/>
        <v>469685407</v>
      </c>
      <c r="AH14" s="151">
        <f t="shared" si="11"/>
        <v>242230300</v>
      </c>
      <c r="AI14" s="144">
        <f t="shared" si="11"/>
        <v>242230300</v>
      </c>
      <c r="AJ14" s="153">
        <f t="shared" si="11"/>
        <v>257740177</v>
      </c>
      <c r="AK14" s="12"/>
      <c r="AL14" s="151">
        <f>AL16+AL35+AL43+AL57</f>
        <v>0</v>
      </c>
      <c r="AM14" s="153">
        <f>AM16+AM35+AM43+AM57</f>
        <v>28000000</v>
      </c>
      <c r="AO14" s="23"/>
      <c r="AP14" s="13" t="s">
        <v>75</v>
      </c>
      <c r="AQ14" s="14">
        <f>F19-AQ7-AQ8-AQ9-AQ10-AQ11-AQ12-AQ13</f>
        <v>401837872</v>
      </c>
      <c r="AR14" s="14">
        <f>I19-AR7-AR8-AR9-AR10-AR11-AR12-AR13</f>
        <v>323553054</v>
      </c>
      <c r="AS14" s="14">
        <f>L19-AS7-AS8-AS9-AS10-AS11-AS12-AS13</f>
        <v>273095085</v>
      </c>
      <c r="AT14" s="467"/>
      <c r="AU14" s="429">
        <f t="shared" si="0"/>
        <v>0.80518307642242337</v>
      </c>
      <c r="AV14" s="429">
        <f t="shared" si="1"/>
        <v>0.67961509859877023</v>
      </c>
      <c r="AW14" s="430">
        <f>(I41+I46+I49+I52+I55+I58+I61+I64+I67+I70+I73+I78+I81+I82+I83+I86+I87+I93)/AO$2*12+I47+I50+I53+I56+I59+I62+I65+I68+I71+I74</f>
        <v>375350623.39999998</v>
      </c>
      <c r="AX14" s="430">
        <f>(L41+L46+L49+L52+L55+L58+L61+L64+L67+L70+L73+L78+L81+L82+L83+L86+L87+L93)/AO$2*12+L47+L50+L53+L56+L59+L62+L65+L68+L71+L74</f>
        <v>314801060.60000002</v>
      </c>
      <c r="AY14" s="430">
        <f t="shared" si="2"/>
        <v>-26487248.600000024</v>
      </c>
      <c r="AZ14" s="431">
        <f t="shared" si="3"/>
        <v>-87036811.399999976</v>
      </c>
      <c r="BB14" s="468" t="s">
        <v>461</v>
      </c>
      <c r="BC14" s="110">
        <f>+F64</f>
        <v>40103182</v>
      </c>
      <c r="BD14" s="111">
        <f>+I64</f>
        <v>30981739</v>
      </c>
      <c r="BE14" s="112">
        <f>K64</f>
        <v>3385592</v>
      </c>
      <c r="BF14" s="113"/>
      <c r="BG14" s="109" t="s">
        <v>76</v>
      </c>
      <c r="BH14" s="99">
        <f t="shared" si="10"/>
        <v>0</v>
      </c>
      <c r="BI14" s="99">
        <f t="shared" si="10"/>
        <v>0</v>
      </c>
      <c r="BJ14" s="99">
        <f t="shared" si="10"/>
        <v>0</v>
      </c>
      <c r="BK14" s="99">
        <f t="shared" si="10"/>
        <v>0</v>
      </c>
      <c r="BM14" s="165" t="s">
        <v>469</v>
      </c>
      <c r="BN14" s="104">
        <f>X35-X41+X83-X88</f>
        <v>224434955</v>
      </c>
      <c r="BO14" s="102">
        <f>AA35-AA41+AA83-AA88</f>
        <v>90890887</v>
      </c>
      <c r="BP14" s="102">
        <f>AD35-AD41+AD83-AD88</f>
        <v>90890887</v>
      </c>
      <c r="BQ14" s="103">
        <f>AF35-AF41+AF83-AF88</f>
        <v>10966713</v>
      </c>
    </row>
    <row r="15" spans="1:69" s="10" customFormat="1" ht="16.5" thickBot="1" x14ac:dyDescent="0.3">
      <c r="A15" s="204">
        <f>+IF(SEPTIEMBRE!A15=0,"",SEPTIEMBRE!A15)</f>
        <v>1004</v>
      </c>
      <c r="B15" s="677" t="str">
        <f>+IF(SEPTIEMBRE!B15=0,"",SEPTIEMBRE!B15)</f>
        <v>Cesantias Ley 50/1990 a Dic-31-2013</v>
      </c>
      <c r="C15" s="474">
        <f>+ENERO!C15</f>
        <v>20000000</v>
      </c>
      <c r="D15" s="472">
        <f>SEPTIEMBRE!D15+OCTUBRE!P15</f>
        <v>0</v>
      </c>
      <c r="E15" s="472">
        <f>SEPTIEMBRE!E15+OCTUBRE!Q15</f>
        <v>0</v>
      </c>
      <c r="F15" s="473">
        <f>SUM(C15:E15)</f>
        <v>20000000</v>
      </c>
      <c r="G15" s="474">
        <f>SEPTIEMBRE!I15</f>
        <v>20000000</v>
      </c>
      <c r="H15" s="197">
        <v>0</v>
      </c>
      <c r="I15" s="473">
        <f>SUM(G15:H15)</f>
        <v>20000000</v>
      </c>
      <c r="J15" s="474">
        <f>SEPTIEMBRE!L15</f>
        <v>20000000</v>
      </c>
      <c r="K15" s="197">
        <v>0</v>
      </c>
      <c r="L15" s="473">
        <f>SUM(J15:K15)</f>
        <v>20000000</v>
      </c>
      <c r="M15" s="474">
        <f>F15-I15</f>
        <v>0</v>
      </c>
      <c r="N15" s="473">
        <f>F15-L15</f>
        <v>0</v>
      </c>
      <c r="O15" s="467"/>
      <c r="P15" s="471">
        <v>0</v>
      </c>
      <c r="Q15" s="476">
        <v>0</v>
      </c>
      <c r="S15" s="448" t="str">
        <f>+IF(SEPTIEMBRE!S15=0,"",SEPTIEMBRE!S15)</f>
        <v/>
      </c>
      <c r="T15" s="649" t="str">
        <f>+IF(SEPTIEMBRE!T15=0,"",SEPTIEMBRE!T15)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145679701</v>
      </c>
      <c r="AS15" s="14">
        <f>L108</f>
        <v>145679703</v>
      </c>
      <c r="AT15" s="15"/>
      <c r="AU15" s="429">
        <f t="shared" si="0"/>
        <v>0.96756944707762504</v>
      </c>
      <c r="AV15" s="429">
        <f t="shared" si="1"/>
        <v>0.96756946036114289</v>
      </c>
      <c r="AW15" s="14">
        <f>AQ15</f>
        <v>150562527</v>
      </c>
      <c r="AX15" s="14">
        <f>AR15</f>
        <v>145679701</v>
      </c>
      <c r="AY15" s="14">
        <f t="shared" si="2"/>
        <v>0</v>
      </c>
      <c r="AZ15" s="420">
        <f t="shared" si="3"/>
        <v>-4882826</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0</v>
      </c>
      <c r="BM15" s="89" t="s">
        <v>68</v>
      </c>
      <c r="BN15" s="101">
        <f>SUM(BN16:BN21)</f>
        <v>731144299</v>
      </c>
      <c r="BO15" s="99">
        <f>SUM(BO16:BO21)</f>
        <v>515431857</v>
      </c>
      <c r="BP15" s="99">
        <f>SUM(BP16:BP21)</f>
        <v>515161854</v>
      </c>
      <c r="BQ15" s="100">
        <f>SUM(BQ16:BQ21)</f>
        <v>64755880</v>
      </c>
    </row>
    <row r="16" spans="1:69" s="10" customFormat="1" ht="15.75" thickBot="1" x14ac:dyDescent="0.3">
      <c r="A16" s="198" t="str">
        <f>+IF(SEPTIEMBRE!A16=0,"",SEPTIEMBRE!A16)</f>
        <v/>
      </c>
      <c r="B16" s="477" t="str">
        <f>+IF(SEPTIEMBRE!B16=0,"",SEPTIEMBRE!B16)</f>
        <v/>
      </c>
      <c r="C16" s="478"/>
      <c r="D16" s="478"/>
      <c r="E16" s="478"/>
      <c r="F16" s="478"/>
      <c r="G16" s="478"/>
      <c r="H16" s="478"/>
      <c r="I16" s="478"/>
      <c r="J16" s="478"/>
      <c r="K16" s="478"/>
      <c r="L16" s="478"/>
      <c r="M16" s="478"/>
      <c r="N16" s="479"/>
      <c r="O16" s="467"/>
      <c r="P16" s="480"/>
      <c r="Q16" s="481"/>
      <c r="S16" s="34">
        <f>+IF(SEPTIEMBRE!S16=0,"",SEPTIEMBRE!S16)</f>
        <v>1010100</v>
      </c>
      <c r="T16" s="158" t="str">
        <f>+IF(SEPTIEMBRE!T16=0,"",SEPTIEMBRE!T16)</f>
        <v>Servicios Personales Asociados a Nómina</v>
      </c>
      <c r="U16" s="157">
        <f t="shared" ref="U16:AJ16" si="12">SUM(U17:U20)+U33</f>
        <v>451022301</v>
      </c>
      <c r="V16" s="144">
        <f t="shared" si="12"/>
        <v>-3476851</v>
      </c>
      <c r="W16" s="144">
        <f t="shared" si="12"/>
        <v>5000000</v>
      </c>
      <c r="X16" s="152">
        <f t="shared" si="12"/>
        <v>452545450</v>
      </c>
      <c r="Y16" s="151">
        <f t="shared" si="12"/>
        <v>286683367</v>
      </c>
      <c r="Z16" s="144">
        <f t="shared" si="12"/>
        <v>29225436</v>
      </c>
      <c r="AA16" s="152">
        <f t="shared" si="12"/>
        <v>315908803</v>
      </c>
      <c r="AB16" s="151">
        <f t="shared" si="12"/>
        <v>286683367</v>
      </c>
      <c r="AC16" s="144">
        <f t="shared" si="12"/>
        <v>29225436</v>
      </c>
      <c r="AD16" s="152">
        <f t="shared" si="12"/>
        <v>315908803</v>
      </c>
      <c r="AE16" s="151">
        <f t="shared" si="12"/>
        <v>281711925</v>
      </c>
      <c r="AF16" s="144">
        <f t="shared" si="12"/>
        <v>29304490</v>
      </c>
      <c r="AG16" s="152">
        <f t="shared" si="12"/>
        <v>311016415</v>
      </c>
      <c r="AH16" s="151">
        <f t="shared" si="12"/>
        <v>136636647</v>
      </c>
      <c r="AI16" s="144">
        <f t="shared" si="12"/>
        <v>136636647</v>
      </c>
      <c r="AJ16" s="153">
        <f t="shared" si="12"/>
        <v>141529035</v>
      </c>
      <c r="AK16" s="12"/>
      <c r="AL16" s="151">
        <f>SUM(AL17:AL20)+AL33</f>
        <v>0</v>
      </c>
      <c r="AM16" s="153">
        <f>SUM(AM17:AM20)+AM33</f>
        <v>5000000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175397398</v>
      </c>
      <c r="BD16" s="92">
        <f>I43</f>
        <v>111330469</v>
      </c>
      <c r="BE16" s="93">
        <f>K43</f>
        <v>10919003</v>
      </c>
      <c r="BF16" s="94"/>
      <c r="BG16" s="109" t="s">
        <v>84</v>
      </c>
      <c r="BH16" s="114">
        <f>BH7+BH12+BH13+BH14+BH15</f>
        <v>4088834335</v>
      </c>
      <c r="BI16" s="114">
        <f>BI7+BI12+BI13+BI14+BI15</f>
        <v>2885590072</v>
      </c>
      <c r="BJ16" s="114">
        <f>BJ7+BJ12+BJ13+BJ14+BJ15</f>
        <v>2885291526</v>
      </c>
      <c r="BK16" s="114">
        <f>BK7+BK12+BK13+BK14+BK15</f>
        <v>274899039</v>
      </c>
      <c r="BM16" s="164" t="s">
        <v>85</v>
      </c>
      <c r="BN16" s="101">
        <f>X114-X121+X147-X148-X153</f>
        <v>202592049</v>
      </c>
      <c r="BO16" s="99">
        <f>AA114-AA121+AA147-AA148-AA153</f>
        <v>145462968</v>
      </c>
      <c r="BP16" s="99">
        <f>AD114-AD121+AD147-AD148-AD153</f>
        <v>145462965</v>
      </c>
      <c r="BQ16" s="100">
        <f>AF114-AF121+AF147-AF148-AF153</f>
        <v>20668420</v>
      </c>
    </row>
    <row r="17" spans="1:70" s="467" customFormat="1" ht="17.25" thickBot="1" x14ac:dyDescent="0.3">
      <c r="A17" s="433">
        <f>+IF(SEPTIEMBRE!A17=0,"",SEPTIEMBRE!A17)</f>
        <v>11</v>
      </c>
      <c r="B17" s="439" t="str">
        <f>+IF(SEPTIEMBRE!B17=0,"",SEPTIEMBRE!B17)</f>
        <v>INGRESOS  CORRIENTES</v>
      </c>
      <c r="C17" s="435">
        <f>C19+C99</f>
        <v>3530048625</v>
      </c>
      <c r="D17" s="435">
        <f t="shared" ref="D17:N17" si="13">D19+D99</f>
        <v>0</v>
      </c>
      <c r="E17" s="435">
        <f t="shared" si="13"/>
        <v>275149068</v>
      </c>
      <c r="F17" s="435">
        <f t="shared" si="13"/>
        <v>3805197693</v>
      </c>
      <c r="G17" s="435">
        <f t="shared" si="13"/>
        <v>2953940601</v>
      </c>
      <c r="H17" s="435">
        <f t="shared" si="13"/>
        <v>321471905</v>
      </c>
      <c r="I17" s="435">
        <f t="shared" si="13"/>
        <v>3275412506</v>
      </c>
      <c r="J17" s="435">
        <f t="shared" si="13"/>
        <v>2514917837</v>
      </c>
      <c r="K17" s="435">
        <f t="shared" si="13"/>
        <v>288067316</v>
      </c>
      <c r="L17" s="435">
        <f t="shared" si="13"/>
        <v>2802985153</v>
      </c>
      <c r="M17" s="435">
        <f t="shared" si="13"/>
        <v>529785187</v>
      </c>
      <c r="N17" s="216">
        <f t="shared" si="13"/>
        <v>1002212540</v>
      </c>
      <c r="P17" s="215">
        <f>P19+P99</f>
        <v>0</v>
      </c>
      <c r="Q17" s="216">
        <f>Q19+Q99</f>
        <v>249700000</v>
      </c>
      <c r="R17" s="10"/>
      <c r="S17" s="155">
        <f>+IF(SEPTIEMBRE!S17=0,"",SEPTIEMBRE!S17)</f>
        <v>1010101</v>
      </c>
      <c r="T17" s="159" t="str">
        <f>+IF(SEPTIEMBRE!T17=0,"",SEPTIEMBRE!T17)</f>
        <v>Sueldos del Personal de nómina</v>
      </c>
      <c r="U17" s="29">
        <f>+ENERO!U17</f>
        <v>368370792</v>
      </c>
      <c r="V17" s="17">
        <f>SEPTIEMBRE!V17+OCTUBRE!AL17</f>
        <v>0</v>
      </c>
      <c r="W17" s="17">
        <f>SEPTIEMBRE!W17+OCTUBRE!AM17</f>
        <v>0</v>
      </c>
      <c r="X17" s="20">
        <f>SUM(U17:W17)</f>
        <v>368370792</v>
      </c>
      <c r="Y17" s="21">
        <f>SEPTIEMBRE!AA17</f>
        <v>258994666</v>
      </c>
      <c r="Z17" s="457">
        <v>27233874</v>
      </c>
      <c r="AA17" s="20">
        <f>SUM(Y17:Z17)</f>
        <v>286228540</v>
      </c>
      <c r="AB17" s="21">
        <f>SEPTIEMBRE!AD17</f>
        <v>258994666</v>
      </c>
      <c r="AC17" s="457">
        <v>27233874</v>
      </c>
      <c r="AD17" s="20">
        <f>SUM(AB17:AC17)</f>
        <v>286228540</v>
      </c>
      <c r="AE17" s="21">
        <f>SEPTIEMBRE!AG17</f>
        <v>254023224</v>
      </c>
      <c r="AF17" s="457">
        <v>27312928</v>
      </c>
      <c r="AG17" s="20">
        <f>SUM(AE17:AF17)</f>
        <v>281336152</v>
      </c>
      <c r="AH17" s="21">
        <f>X17-AA17</f>
        <v>82142252</v>
      </c>
      <c r="AI17" s="17">
        <f>X17-AD17</f>
        <v>82142252</v>
      </c>
      <c r="AJ17" s="18">
        <f>X17-AG17</f>
        <v>87034640</v>
      </c>
      <c r="AK17" s="10"/>
      <c r="AL17" s="455">
        <v>0</v>
      </c>
      <c r="AM17" s="458">
        <v>0</v>
      </c>
      <c r="AN17" s="10"/>
      <c r="AO17" s="428"/>
      <c r="AP17" s="488" t="s">
        <v>87</v>
      </c>
      <c r="AQ17" s="489">
        <f>SUM(AQ7:AQ16)</f>
        <v>3836308894</v>
      </c>
      <c r="AR17" s="490">
        <f>SUM(AR7:AR16)</f>
        <v>3343728454</v>
      </c>
      <c r="AS17" s="491">
        <f>SUM(AS7:AS16)</f>
        <v>2871301103</v>
      </c>
      <c r="AT17" s="492"/>
      <c r="AU17" s="490">
        <f t="shared" si="0"/>
        <v>0.87160042279953065</v>
      </c>
      <c r="AV17" s="490">
        <f t="shared" si="1"/>
        <v>0.74845409541727059</v>
      </c>
      <c r="AW17" s="493">
        <f>SUM(AX7:AX16)</f>
        <v>3313490986.2000003</v>
      </c>
      <c r="AX17" s="493">
        <f>SUM(AX7:AX16)</f>
        <v>3313490986.2000003</v>
      </c>
      <c r="AY17" s="493">
        <f>SUM(AY7:AY16)</f>
        <v>48977741.799999774</v>
      </c>
      <c r="AZ17" s="494">
        <f>SUM(AZ7:AZ16)</f>
        <v>-522817907.79999995</v>
      </c>
      <c r="BA17" s="10"/>
      <c r="BB17" s="468" t="s">
        <v>463</v>
      </c>
      <c r="BC17" s="91">
        <f>F41+F52+F55+F58+F61+F67+F70+F73+F76+F79+F82+F88+F89+F90+F91</f>
        <v>209189895</v>
      </c>
      <c r="BD17" s="92">
        <f>I41+I52+I55+I58+I61+I67+I70+I73+I76+I79+I82+I88+I89+I90+I91</f>
        <v>135580245</v>
      </c>
      <c r="BE17" s="93">
        <f>K41+K52+K55+K58+K61+K67+K70+K73+K76+K79+K82+K88+K89+K90+K91</f>
        <v>6824496</v>
      </c>
      <c r="BF17" s="94"/>
      <c r="BG17" s="116" t="s">
        <v>88</v>
      </c>
      <c r="BH17" s="117">
        <f>BC23-BH16</f>
        <v>0</v>
      </c>
      <c r="BI17" s="117"/>
      <c r="BJ17" s="117"/>
      <c r="BK17" s="117"/>
      <c r="BM17" s="164" t="s">
        <v>479</v>
      </c>
      <c r="BN17" s="101">
        <f>X123-X126-X139+X155-X156-X167-X168</f>
        <v>243336548</v>
      </c>
      <c r="BO17" s="99">
        <f>AA123-AA126-AA139+AA155-AA156-AA167-AA168</f>
        <v>157022480</v>
      </c>
      <c r="BP17" s="99">
        <f>AD123-AD126-AD139+AD155-AD156-AD167-AD168</f>
        <v>157022480</v>
      </c>
      <c r="BQ17" s="100">
        <f>AF123-AF126-AF139+AF155-AF156-AF167-AF168</f>
        <v>20598969</v>
      </c>
      <c r="BR17" s="10"/>
    </row>
    <row r="18" spans="1:70" s="10" customFormat="1" ht="15" thickBot="1" x14ac:dyDescent="0.25">
      <c r="A18" s="202" t="str">
        <f>+IF(SEPTIEMBRE!A18=0,"",SEPTIEMBRE!A18)</f>
        <v/>
      </c>
      <c r="B18" s="201" t="str">
        <f>+IF(SEPTIEMBRE!B18=0,"",SEPTIEMBRE!B18)</f>
        <v/>
      </c>
      <c r="C18" s="495"/>
      <c r="D18" s="495"/>
      <c r="E18" s="495"/>
      <c r="F18" s="495"/>
      <c r="G18" s="495"/>
      <c r="H18" s="495"/>
      <c r="I18" s="495"/>
      <c r="J18" s="495"/>
      <c r="K18" s="495"/>
      <c r="L18" s="495"/>
      <c r="M18" s="495"/>
      <c r="N18" s="496"/>
      <c r="P18" s="497"/>
      <c r="Q18" s="496"/>
      <c r="S18" s="155">
        <f>+IF(SEPTIEMBRE!S18=0,"",SEPTIEMBRE!S18)</f>
        <v>1010102</v>
      </c>
      <c r="T18" s="159" t="str">
        <f>+IF(SEPTIEMBRE!T18=0,"",SEPTIEMBRE!T18)</f>
        <v>Horas Extras,Dominic.,Festivos y Rec. Nocturnos</v>
      </c>
      <c r="U18" s="29">
        <f>+ENERO!U18</f>
        <v>20119405</v>
      </c>
      <c r="V18" s="17">
        <f>SEPTIEMBRE!V18+OCTUBRE!AL18</f>
        <v>0</v>
      </c>
      <c r="W18" s="17">
        <f>SEPTIEMBRE!W18+OCTUBRE!AM18</f>
        <v>0</v>
      </c>
      <c r="X18" s="20">
        <f>SUM(U18:W18)</f>
        <v>20119405</v>
      </c>
      <c r="Y18" s="21">
        <f>SEPTIEMBRE!AA18</f>
        <v>8657772</v>
      </c>
      <c r="Z18" s="457">
        <v>793520</v>
      </c>
      <c r="AA18" s="20">
        <f>SUM(Y18:Z18)</f>
        <v>9451292</v>
      </c>
      <c r="AB18" s="21">
        <f>SEPTIEMBRE!AD18</f>
        <v>8657772</v>
      </c>
      <c r="AC18" s="457">
        <v>793520</v>
      </c>
      <c r="AD18" s="20">
        <f>SUM(AB18:AC18)</f>
        <v>9451292</v>
      </c>
      <c r="AE18" s="21">
        <f>SEPTIEMBRE!AG18</f>
        <v>8657772</v>
      </c>
      <c r="AF18" s="457">
        <v>793520</v>
      </c>
      <c r="AG18" s="20">
        <f>SUM(AE18:AF18)</f>
        <v>9451292</v>
      </c>
      <c r="AH18" s="21">
        <f>X18-AA18</f>
        <v>10668113</v>
      </c>
      <c r="AI18" s="17">
        <f>X18-AD18</f>
        <v>10668113</v>
      </c>
      <c r="AJ18" s="18">
        <f>X18-AG18</f>
        <v>10668113</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210437868</v>
      </c>
      <c r="BE18" s="93">
        <f>K100+K101+K102+K105</f>
        <v>21043822</v>
      </c>
      <c r="BF18" s="113"/>
      <c r="BM18" s="164" t="s">
        <v>89</v>
      </c>
      <c r="BN18" s="101">
        <f>X148+X156</f>
        <v>222935242</v>
      </c>
      <c r="BO18" s="99">
        <f>AA148+AA156</f>
        <v>167855239</v>
      </c>
      <c r="BP18" s="99">
        <f>AD148+AD156</f>
        <v>167585239</v>
      </c>
      <c r="BQ18" s="100">
        <f>AF148+AF156</f>
        <v>18258620</v>
      </c>
      <c r="BR18" s="467"/>
    </row>
    <row r="19" spans="1:70" s="10" customFormat="1" ht="15.75" x14ac:dyDescent="0.25">
      <c r="A19" s="498">
        <f>+IF(SEPTIEMBRE!A19=0,"",SEPTIEMBRE!A19)</f>
        <v>113</v>
      </c>
      <c r="B19" s="499" t="str">
        <f>+IF(SEPTIEMBRE!B19=0,"",SEPTIEMBRE!B19)</f>
        <v>VENTA DE SERVICIOS</v>
      </c>
      <c r="C19" s="53">
        <f t="shared" ref="C19:N19" si="14">C21+C85</f>
        <v>3530048625</v>
      </c>
      <c r="D19" s="53">
        <f t="shared" si="14"/>
        <v>-227076373</v>
      </c>
      <c r="E19" s="53">
        <f t="shared" si="14"/>
        <v>249700000</v>
      </c>
      <c r="F19" s="54">
        <f t="shared" si="14"/>
        <v>3552672252</v>
      </c>
      <c r="G19" s="52">
        <f t="shared" si="14"/>
        <v>2764546555</v>
      </c>
      <c r="H19" s="53">
        <f t="shared" si="14"/>
        <v>300428083</v>
      </c>
      <c r="I19" s="54">
        <f t="shared" si="14"/>
        <v>3064974638</v>
      </c>
      <c r="J19" s="52">
        <f t="shared" si="14"/>
        <v>2325523791</v>
      </c>
      <c r="K19" s="53">
        <f t="shared" si="14"/>
        <v>267023494</v>
      </c>
      <c r="L19" s="54">
        <f t="shared" si="14"/>
        <v>2592547285</v>
      </c>
      <c r="M19" s="52">
        <f t="shared" si="14"/>
        <v>487697614</v>
      </c>
      <c r="N19" s="54">
        <f t="shared" si="14"/>
        <v>960124967</v>
      </c>
      <c r="O19" s="467"/>
      <c r="P19" s="52">
        <f>P21+P85</f>
        <v>0</v>
      </c>
      <c r="Q19" s="54">
        <f>Q21+Q85</f>
        <v>249700000</v>
      </c>
      <c r="S19" s="155">
        <f>+IF(SEPTIEMBRE!S19=0,"",SEPTIEMBRE!S19)</f>
        <v>1010103</v>
      </c>
      <c r="T19" s="159" t="str">
        <f>+IF(SEPTIEMBRE!T19=0,"",SEPTIEMBRE!T19)</f>
        <v>Prima Técnica</v>
      </c>
      <c r="U19" s="29">
        <f>+ENERO!U19</f>
        <v>0</v>
      </c>
      <c r="V19" s="17">
        <f>SEPTIEMBRE!V19+OCTUBRE!AL19</f>
        <v>0</v>
      </c>
      <c r="W19" s="17">
        <f>SEPTIEMBRE!W19+OCTUBRE!AM19</f>
        <v>0</v>
      </c>
      <c r="X19" s="20">
        <f>SUM(U19:W19)</f>
        <v>0</v>
      </c>
      <c r="Y19" s="21">
        <f>SEPTIEMBRE!AA19</f>
        <v>0</v>
      </c>
      <c r="Z19" s="457">
        <v>0</v>
      </c>
      <c r="AA19" s="20">
        <f>SUM(Y19:Z19)</f>
        <v>0</v>
      </c>
      <c r="AB19" s="21">
        <f>SEPTIEMBRE!AD19</f>
        <v>0</v>
      </c>
      <c r="AC19" s="457">
        <v>0</v>
      </c>
      <c r="AD19" s="20">
        <f>SUM(AB19:AC19)</f>
        <v>0</v>
      </c>
      <c r="AE19" s="21">
        <f>SEPTIEMBRE!AG19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129179029</v>
      </c>
      <c r="BD19" s="111">
        <f>I86+I87+I93+I103+I104</f>
        <v>125285868</v>
      </c>
      <c r="BE19" s="112">
        <f>K86+K87+K93+K103+K104</f>
        <v>9891128</v>
      </c>
      <c r="BF19" s="75"/>
      <c r="BG19" s="467"/>
      <c r="BH19" s="467">
        <f>BN33</f>
        <v>0</v>
      </c>
      <c r="BI19" s="467"/>
      <c r="BJ19" s="467"/>
      <c r="BK19" s="467"/>
      <c r="BM19" s="164" t="s">
        <v>96</v>
      </c>
      <c r="BN19" s="101">
        <f>X126+X167</f>
        <v>61280460</v>
      </c>
      <c r="BO19" s="99">
        <f>AA126+AA167</f>
        <v>44883570</v>
      </c>
      <c r="BP19" s="99">
        <f>AD126+AD167</f>
        <v>44883570</v>
      </c>
      <c r="BQ19" s="100">
        <f>AF126+AF167</f>
        <v>5022271</v>
      </c>
    </row>
    <row r="20" spans="1:70" s="514" customFormat="1" ht="15" x14ac:dyDescent="0.25">
      <c r="A20" s="202" t="str">
        <f>+IF(SEPTIEMBRE!A20=0,"",SEPTIEMBRE!A20)</f>
        <v/>
      </c>
      <c r="B20" s="201" t="str">
        <f>+IF(SEPTIEMBRE!B20=0,"",SEPTIEMBRE!B20)</f>
        <v/>
      </c>
      <c r="C20" s="495"/>
      <c r="D20" s="495"/>
      <c r="E20" s="495"/>
      <c r="F20" s="495"/>
      <c r="G20" s="495"/>
      <c r="H20" s="495"/>
      <c r="I20" s="495"/>
      <c r="J20" s="495"/>
      <c r="K20" s="495"/>
      <c r="L20" s="495"/>
      <c r="M20" s="495"/>
      <c r="N20" s="496"/>
      <c r="O20" s="10"/>
      <c r="P20" s="497"/>
      <c r="Q20" s="496"/>
      <c r="R20" s="10"/>
      <c r="S20" s="155">
        <f>+IF(SEPTIEMBRE!S20=0,"",SEPTIEMBRE!S20)</f>
        <v>1010104</v>
      </c>
      <c r="T20" s="159" t="str">
        <f>+IF(SEPTIEMBRE!T20=0,"",SEPTIEMBRE!T20)</f>
        <v>Otros</v>
      </c>
      <c r="U20" s="29">
        <f t="shared" ref="U20:AJ20" si="15">SUM(U21:U32)</f>
        <v>58502253</v>
      </c>
      <c r="V20" s="17">
        <f t="shared" si="15"/>
        <v>0</v>
      </c>
      <c r="W20" s="17">
        <f t="shared" si="15"/>
        <v>5000000</v>
      </c>
      <c r="X20" s="20">
        <f t="shared" si="15"/>
        <v>63502253</v>
      </c>
      <c r="Y20" s="21">
        <f t="shared" si="15"/>
        <v>18477929</v>
      </c>
      <c r="Z20" s="169">
        <f t="shared" si="15"/>
        <v>1198042</v>
      </c>
      <c r="AA20" s="20">
        <f t="shared" si="15"/>
        <v>19675971</v>
      </c>
      <c r="AB20" s="21">
        <f t="shared" si="15"/>
        <v>18477929</v>
      </c>
      <c r="AC20" s="169">
        <f t="shared" si="15"/>
        <v>1198042</v>
      </c>
      <c r="AD20" s="20">
        <f t="shared" si="15"/>
        <v>19675971</v>
      </c>
      <c r="AE20" s="21">
        <f t="shared" si="15"/>
        <v>18477929</v>
      </c>
      <c r="AF20" s="169">
        <f t="shared" si="15"/>
        <v>1198042</v>
      </c>
      <c r="AG20" s="20">
        <f t="shared" si="15"/>
        <v>19675971</v>
      </c>
      <c r="AH20" s="21">
        <f t="shared" si="15"/>
        <v>43826282</v>
      </c>
      <c r="AI20" s="17">
        <f t="shared" si="15"/>
        <v>43826282</v>
      </c>
      <c r="AJ20" s="18">
        <f t="shared" si="15"/>
        <v>43826282</v>
      </c>
      <c r="AK20" s="10"/>
      <c r="AL20" s="31">
        <f>SUM(AL21:AL32)</f>
        <v>0</v>
      </c>
      <c r="AM20" s="28">
        <f>SUM(AM21:AM32)</f>
        <v>5000000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719307</v>
      </c>
      <c r="BE20" s="85">
        <f>+K109+K111+K113+K114+K115</f>
        <v>44577</v>
      </c>
      <c r="BF20" s="75"/>
      <c r="BG20" s="467"/>
      <c r="BH20" s="467">
        <f>BH19-BH16</f>
        <v>-4088834335</v>
      </c>
      <c r="BI20" s="467"/>
      <c r="BJ20" s="467"/>
      <c r="BK20" s="467"/>
      <c r="BL20" s="467"/>
      <c r="BM20" s="166" t="s">
        <v>474</v>
      </c>
      <c r="BN20" s="101">
        <f>+X141-X143</f>
        <v>1000000</v>
      </c>
      <c r="BO20" s="99">
        <f>+AA141-AA143</f>
        <v>207600</v>
      </c>
      <c r="BP20" s="99">
        <f>+AD141-AD143</f>
        <v>207600</v>
      </c>
      <c r="BQ20" s="100">
        <f>+AF141-AF143</f>
        <v>207600</v>
      </c>
      <c r="BR20" s="10"/>
    </row>
    <row r="21" spans="1:70" s="514" customFormat="1" ht="16.5" thickBot="1" x14ac:dyDescent="0.3">
      <c r="A21" s="515">
        <f>+IF(SEPTIEMBRE!A21=0,"",SEPTIEMBRE!A21)</f>
        <v>11301</v>
      </c>
      <c r="B21" s="516" t="str">
        <f>+IF(SEPTIEMBRE!B21=0,"",SEPTIEMBRE!B21)</f>
        <v>Venta de Servicios de Salud</v>
      </c>
      <c r="C21" s="518">
        <f t="shared" ref="C21:N21" si="16">C22+C25+C28+C41+C42+C45+C48+C51+C54+C57+C60+C63+C66+C69+C72+C75+C78+C81</f>
        <v>3414869596</v>
      </c>
      <c r="D21" s="518">
        <f t="shared" si="16"/>
        <v>-227076373</v>
      </c>
      <c r="E21" s="518">
        <f t="shared" si="16"/>
        <v>235700000</v>
      </c>
      <c r="F21" s="519">
        <f t="shared" si="16"/>
        <v>3423493223</v>
      </c>
      <c r="G21" s="517">
        <f t="shared" si="16"/>
        <v>2649151815</v>
      </c>
      <c r="H21" s="518">
        <f t="shared" si="16"/>
        <v>290536955</v>
      </c>
      <c r="I21" s="519">
        <f t="shared" si="16"/>
        <v>2939688770</v>
      </c>
      <c r="J21" s="517">
        <f t="shared" si="16"/>
        <v>2210129051</v>
      </c>
      <c r="K21" s="518">
        <f t="shared" si="16"/>
        <v>257132366</v>
      </c>
      <c r="L21" s="519">
        <f t="shared" si="16"/>
        <v>2467261417</v>
      </c>
      <c r="M21" s="517">
        <f t="shared" si="16"/>
        <v>483804453</v>
      </c>
      <c r="N21" s="519">
        <f t="shared" si="16"/>
        <v>956231806</v>
      </c>
      <c r="O21" s="467"/>
      <c r="P21" s="52">
        <f>P22+P25+P28+P41+P42+P45+P48+P51+P54+P57+P60+P63+P66+P69+P72+P75+P78+P81</f>
        <v>0</v>
      </c>
      <c r="Q21" s="54">
        <f>Q22+Q25+Q28+Q41+Q42+Q45+Q48+Q51+Q54+Q57+Q60+Q63+Q66+Q69+Q72+Q75+Q78+Q81</f>
        <v>235700000</v>
      </c>
      <c r="R21" s="10"/>
      <c r="S21" s="156" t="str">
        <f>+IF(SEPTIEMBRE!S21=0,"",SEPTIEMBRE!S21)</f>
        <v>1010104-1</v>
      </c>
      <c r="T21" s="55" t="str">
        <f>+IF(SEPTIEMBRE!T21=0,"",SEPTIEMBRE!T21)</f>
        <v xml:space="preserve">Prima de Navidad </v>
      </c>
      <c r="U21" s="29">
        <f>+ENERO!U21</f>
        <v>31976631</v>
      </c>
      <c r="V21" s="17">
        <f>SEPTIEMBRE!V21+OCTUBRE!AL21</f>
        <v>0</v>
      </c>
      <c r="W21" s="17">
        <f>SEPTIEMBRE!W21+OCTUBRE!AM21</f>
        <v>5000000</v>
      </c>
      <c r="X21" s="20">
        <f t="shared" ref="X21:X33" si="17">SUM(U21:W21)</f>
        <v>36976631</v>
      </c>
      <c r="Y21" s="21">
        <f>SEPTIEMBRE!AA21</f>
        <v>262183</v>
      </c>
      <c r="Z21" s="457">
        <v>0</v>
      </c>
      <c r="AA21" s="20">
        <f t="shared" ref="AA21:AA33" si="18">SUM(Y21:Z21)</f>
        <v>262183</v>
      </c>
      <c r="AB21" s="21">
        <f>SEPTIEMBRE!AD21</f>
        <v>262183</v>
      </c>
      <c r="AC21" s="457">
        <v>0</v>
      </c>
      <c r="AD21" s="20">
        <f t="shared" ref="AD21:AD33" si="19">SUM(AB21:AC21)</f>
        <v>262183</v>
      </c>
      <c r="AE21" s="21">
        <f>SEPTIEMBRE!AG21</f>
        <v>262183</v>
      </c>
      <c r="AF21" s="457">
        <v>0</v>
      </c>
      <c r="AG21" s="20">
        <f t="shared" ref="AG21:AG33" si="20">SUM(AE21:AF21)</f>
        <v>262183</v>
      </c>
      <c r="AH21" s="21">
        <f t="shared" ref="AH21:AH33" si="21">X21-AA21</f>
        <v>36714448</v>
      </c>
      <c r="AI21" s="17">
        <f t="shared" ref="AI21:AI33" si="22">X21-AD21</f>
        <v>36714448</v>
      </c>
      <c r="AJ21" s="18">
        <f t="shared" ref="AJ21:AJ33" si="23">X21-AG21</f>
        <v>36714448</v>
      </c>
      <c r="AK21" s="10"/>
      <c r="AL21" s="455">
        <v>0</v>
      </c>
      <c r="AM21" s="458">
        <v>5000000</v>
      </c>
      <c r="AN21" s="10"/>
      <c r="AO21" s="428"/>
      <c r="AP21" s="520"/>
      <c r="AQ21" s="521"/>
      <c r="AR21" s="522" t="str">
        <f>AR6</f>
        <v>OCTUBRE</v>
      </c>
      <c r="AS21" s="523" t="str">
        <f>AR6</f>
        <v>OCTUBRE</v>
      </c>
      <c r="AT21" s="522" t="str">
        <f>AR6</f>
        <v>OCTUBRE</v>
      </c>
      <c r="AU21" s="522" t="s">
        <v>46</v>
      </c>
      <c r="AV21" s="522" t="s">
        <v>24</v>
      </c>
      <c r="AW21" s="524"/>
      <c r="AX21" s="524"/>
      <c r="AY21" s="522" t="s">
        <v>46</v>
      </c>
      <c r="AZ21" s="525" t="s">
        <v>24</v>
      </c>
      <c r="BA21" s="10"/>
      <c r="BB21" s="119" t="s">
        <v>466</v>
      </c>
      <c r="BC21" s="83">
        <f>+F117</f>
        <v>149110140</v>
      </c>
      <c r="BD21" s="84">
        <f>I117</f>
        <v>142400183</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+IF(SEPTIEMBRE!A22=0,"",SEPTIEMBRE!A22)</f>
        <v>1130101</v>
      </c>
      <c r="B22" s="45" t="str">
        <f>+IF(SEPTIEMBRE!B22=0,"",SEPTIEMBRE!B22)</f>
        <v>EPS - REGIMEN CONTRIBUTIVO</v>
      </c>
      <c r="C22" s="53">
        <f t="shared" ref="C22:N22" si="24">SUM(C23:C24)</f>
        <v>235438278</v>
      </c>
      <c r="D22" s="53">
        <f t="shared" si="24"/>
        <v>0</v>
      </c>
      <c r="E22" s="53">
        <f t="shared" si="24"/>
        <v>0</v>
      </c>
      <c r="F22" s="54">
        <f t="shared" si="24"/>
        <v>235438278</v>
      </c>
      <c r="G22" s="52">
        <f t="shared" si="24"/>
        <v>301926804</v>
      </c>
      <c r="H22" s="53">
        <f t="shared" si="24"/>
        <v>23392158</v>
      </c>
      <c r="I22" s="54">
        <f t="shared" si="24"/>
        <v>325318962</v>
      </c>
      <c r="J22" s="52">
        <f t="shared" si="24"/>
        <v>167816768</v>
      </c>
      <c r="K22" s="53">
        <f t="shared" si="24"/>
        <v>27347416</v>
      </c>
      <c r="L22" s="54">
        <f t="shared" si="24"/>
        <v>195164184</v>
      </c>
      <c r="M22" s="52">
        <f t="shared" si="24"/>
        <v>-89880684</v>
      </c>
      <c r="N22" s="54">
        <f t="shared" si="24"/>
        <v>40274094</v>
      </c>
      <c r="P22" s="52">
        <f>SUM(P23:P24)</f>
        <v>0</v>
      </c>
      <c r="Q22" s="54">
        <f>SUM(Q23:Q24)</f>
        <v>0</v>
      </c>
      <c r="S22" s="156" t="str">
        <f>+IF(SEPTIEMBRE!S22=0,"",SEPTIEMBRE!S22)</f>
        <v>1010104-2</v>
      </c>
      <c r="T22" s="55" t="str">
        <f>+IF(SEPTIEMBRE!T22=0,"",SEPTIEMBRE!T22)</f>
        <v>Prima Vida Cara</v>
      </c>
      <c r="U22" s="29">
        <f>+ENERO!U22</f>
        <v>0</v>
      </c>
      <c r="V22" s="17">
        <f>SEPTIEMBRE!V22+OCTUBRE!AL22</f>
        <v>0</v>
      </c>
      <c r="W22" s="17">
        <f>SEPTIEMBRE!W22+OCTUBRE!AM22</f>
        <v>0</v>
      </c>
      <c r="X22" s="20">
        <f t="shared" si="17"/>
        <v>0</v>
      </c>
      <c r="Y22" s="21">
        <f>SEPTIEMBRE!AA22</f>
        <v>0</v>
      </c>
      <c r="Z22" s="457">
        <v>0</v>
      </c>
      <c r="AA22" s="20">
        <f t="shared" si="18"/>
        <v>0</v>
      </c>
      <c r="AB22" s="21">
        <f>SEPTIEMBRE!AD22</f>
        <v>0</v>
      </c>
      <c r="AC22" s="457">
        <v>0</v>
      </c>
      <c r="AD22" s="20">
        <f t="shared" si="19"/>
        <v>0</v>
      </c>
      <c r="AE22" s="21">
        <f>SEPTIEMBRE!AG22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1054667077</v>
      </c>
      <c r="AS22" s="527">
        <f>AG17+AG66</f>
        <v>1028748495</v>
      </c>
      <c r="AT22" s="528"/>
      <c r="AU22" s="529">
        <f t="shared" ref="AU22:AU32" si="25">IF(AQ22=0," ",AR22/AQ22)</f>
        <v>0.83078539403089813</v>
      </c>
      <c r="AV22" s="529">
        <f t="shared" ref="AV22:AV32" si="26">IF(AQ22=0," ",AS22/AQ22)</f>
        <v>0.81036873380780472</v>
      </c>
      <c r="AW22" s="530">
        <f>AR22/$AO$2*12</f>
        <v>1265600492.4000001</v>
      </c>
      <c r="AX22" s="530">
        <f>AS22/$AO$2*12</f>
        <v>1234498194</v>
      </c>
      <c r="AY22" s="530">
        <f t="shared" ref="AY22:AY31" si="27">AW22-AQ22</f>
        <v>-3881475.5999999046</v>
      </c>
      <c r="AZ22" s="531">
        <f t="shared" ref="AZ22:AZ31" si="28">AQ22-AX22</f>
        <v>34983774</v>
      </c>
      <c r="BA22" s="467"/>
      <c r="BB22" s="119" t="s">
        <v>467</v>
      </c>
      <c r="BC22" s="83">
        <f>SUMIF($B8:B117,$B24,F8:F117)+F116</f>
        <v>319717175</v>
      </c>
      <c r="BD22" s="84">
        <f>SUMIF($B8:B117,$B24,I8:I117)+I116</f>
        <v>384158070</v>
      </c>
      <c r="BE22" s="85">
        <f>SUMIF($B8:B117,$B24,K8:K117)+K116</f>
        <v>8397681</v>
      </c>
      <c r="BF22" s="75"/>
      <c r="BG22" s="467"/>
      <c r="BH22" s="467"/>
      <c r="BI22" s="467"/>
      <c r="BJ22" s="467"/>
      <c r="BK22" s="467"/>
      <c r="BM22" s="89" t="s">
        <v>69</v>
      </c>
      <c r="BN22" s="101">
        <f>BN23+BN24</f>
        <v>198767489</v>
      </c>
      <c r="BO22" s="99">
        <f>BO23+BO24</f>
        <v>104774794</v>
      </c>
      <c r="BP22" s="99">
        <f>BP23+BP24</f>
        <v>104774794</v>
      </c>
      <c r="BQ22" s="100">
        <f>BQ23+BQ24</f>
        <v>8406025</v>
      </c>
      <c r="BR22" s="467"/>
    </row>
    <row r="23" spans="1:70" s="514" customFormat="1" ht="15.75" thickBot="1" x14ac:dyDescent="0.25">
      <c r="A23" s="188" t="str">
        <f>+IF(SEPTIEMBRE!A23=0,"",SEPTIEMBRE!A23)</f>
        <v>1130101-1</v>
      </c>
      <c r="B23" s="189" t="str">
        <f>+CONCATENATE("Vigencia ",INSTRUCCIONES!$F$3)</f>
        <v>Vigencia 2014</v>
      </c>
      <c r="C23" s="456">
        <f>+ENERO!C23</f>
        <v>190033939</v>
      </c>
      <c r="D23" s="456">
        <f>SEPTIEMBRE!D23+OCTUBRE!P23</f>
        <v>0</v>
      </c>
      <c r="E23" s="456">
        <f>SEPTIEMBRE!E23+OCTUBRE!Q23</f>
        <v>0</v>
      </c>
      <c r="F23" s="170">
        <f>SUM(C23:E23)</f>
        <v>190033939</v>
      </c>
      <c r="G23" s="283">
        <f>SEPTIEMBRE!I23</f>
        <v>209740082</v>
      </c>
      <c r="H23" s="457">
        <v>18643575</v>
      </c>
      <c r="I23" s="170">
        <f>SUM(G23:H23)</f>
        <v>228383657</v>
      </c>
      <c r="J23" s="283">
        <f>SEPTIEMBRE!L23</f>
        <v>75630046</v>
      </c>
      <c r="K23" s="457">
        <v>22598833</v>
      </c>
      <c r="L23" s="170">
        <f>SUM(J23:K23)</f>
        <v>98228879</v>
      </c>
      <c r="M23" s="283">
        <f>F23-I23</f>
        <v>-38349718</v>
      </c>
      <c r="N23" s="170">
        <f>F23-L23</f>
        <v>91805060</v>
      </c>
      <c r="O23" s="10"/>
      <c r="P23" s="455">
        <v>0</v>
      </c>
      <c r="Q23" s="458">
        <v>0</v>
      </c>
      <c r="R23" s="10"/>
      <c r="S23" s="156" t="str">
        <f>+IF(SEPTIEMBRE!S23=0,"",SEPTIEMBRE!S23)</f>
        <v>1010104-3</v>
      </c>
      <c r="T23" s="55" t="str">
        <f>+IF(SEPTIEMBRE!T23=0,"",SEPTIEMBRE!T23)</f>
        <v>Prima de Vacaciones</v>
      </c>
      <c r="U23" s="29">
        <f>+ENERO!U23</f>
        <v>15348783</v>
      </c>
      <c r="V23" s="17">
        <f>SEPTIEMBRE!V23+OCTUBRE!AL23</f>
        <v>0</v>
      </c>
      <c r="W23" s="17">
        <f>SEPTIEMBRE!W23+OCTUBRE!AM23</f>
        <v>0</v>
      </c>
      <c r="X23" s="20">
        <f t="shared" si="17"/>
        <v>15348783</v>
      </c>
      <c r="Y23" s="21">
        <f>SEPTIEMBRE!AA23</f>
        <v>9975426</v>
      </c>
      <c r="Z23" s="457">
        <v>418560</v>
      </c>
      <c r="AA23" s="20">
        <f t="shared" si="18"/>
        <v>10393986</v>
      </c>
      <c r="AB23" s="21">
        <f>SEPTIEMBRE!AD23</f>
        <v>9975426</v>
      </c>
      <c r="AC23" s="457">
        <v>418560</v>
      </c>
      <c r="AD23" s="20">
        <f t="shared" si="19"/>
        <v>10393986</v>
      </c>
      <c r="AE23" s="21">
        <f>SEPTIEMBRE!AG23</f>
        <v>9975426</v>
      </c>
      <c r="AF23" s="457">
        <v>418560</v>
      </c>
      <c r="AG23" s="20">
        <f t="shared" si="20"/>
        <v>10393986</v>
      </c>
      <c r="AH23" s="21">
        <f t="shared" si="21"/>
        <v>4954797</v>
      </c>
      <c r="AI23" s="17">
        <f t="shared" si="22"/>
        <v>4954797</v>
      </c>
      <c r="AJ23" s="18">
        <f t="shared" si="23"/>
        <v>4954797</v>
      </c>
      <c r="AK23" s="10"/>
      <c r="AL23" s="455">
        <v>0</v>
      </c>
      <c r="AM23" s="458">
        <v>0</v>
      </c>
      <c r="AN23" s="10"/>
      <c r="AO23" s="453"/>
      <c r="AP23" s="532" t="s">
        <v>110</v>
      </c>
      <c r="AQ23" s="533">
        <f>X16+X65-AQ22</f>
        <v>359958128</v>
      </c>
      <c r="AR23" s="533">
        <f>AD16+AD65-AR22</f>
        <v>169157876</v>
      </c>
      <c r="AS23" s="533">
        <f>AG16+AG65-AS22</f>
        <v>158519029</v>
      </c>
      <c r="AT23" s="401"/>
      <c r="AU23" s="419">
        <f t="shared" si="25"/>
        <v>0.46993764785886427</v>
      </c>
      <c r="AV23" s="419">
        <f t="shared" si="26"/>
        <v>0.44038185741426011</v>
      </c>
      <c r="AW23" s="533">
        <f>(AR23-AD21-AD22-AD23-AD25-AD30-AD33-AD70-AD71-AD72-AD74-AD78-AD81)/$AO$2*12+AX22/12*2.5+AD30+AD33+AD78+AD81</f>
        <v>402090495.14999998</v>
      </c>
      <c r="AX23" s="533">
        <f>(AS23-AG21-AG22-AG23-AG25-AG30-AG33-AG70-AG71-AG72-AG74-AG78-AG81)/$AO$2*12+AX22/12*2.5+AG30+AG33+AG78+AG81</f>
        <v>400149498.75</v>
      </c>
      <c r="AY23" s="533">
        <f t="shared" si="27"/>
        <v>42132367.149999976</v>
      </c>
      <c r="AZ23" s="62">
        <f t="shared" si="28"/>
        <v>-40191370.75</v>
      </c>
      <c r="BA23" s="467"/>
      <c r="BB23" s="678" t="s">
        <v>111</v>
      </c>
      <c r="BC23" s="679">
        <f>BC7+BC8+BC20+BC21+BC22</f>
        <v>4088834335</v>
      </c>
      <c r="BD23" s="138">
        <f>BD7+BD8+BD20+BD21+BD22+BD92</f>
        <v>3554166322</v>
      </c>
      <c r="BE23" s="139">
        <f>BE7+BE8+BE20+BE21+BE22+BE92</f>
        <v>288442693</v>
      </c>
      <c r="BF23" s="467"/>
      <c r="BG23" s="467"/>
      <c r="BH23" s="467"/>
      <c r="BI23" s="467"/>
      <c r="BJ23" s="467"/>
      <c r="BK23" s="467"/>
      <c r="BL23" s="467"/>
      <c r="BM23" s="164" t="s">
        <v>107</v>
      </c>
      <c r="BN23" s="101">
        <f>X177</f>
        <v>104106866</v>
      </c>
      <c r="BO23" s="99">
        <f>AA177</f>
        <v>81094225</v>
      </c>
      <c r="BP23" s="99">
        <f>AD177</f>
        <v>81094225</v>
      </c>
      <c r="BQ23" s="100">
        <f>AF177</f>
        <v>7458862</v>
      </c>
      <c r="BR23" s="10"/>
    </row>
    <row r="24" spans="1:70" s="514" customFormat="1" ht="15" x14ac:dyDescent="0.2">
      <c r="A24" s="188" t="str">
        <f>+IF(SEPTIEMBRE!A24=0,"",SEPTIEMBRE!A24)</f>
        <v>1130101-2</v>
      </c>
      <c r="B24" s="189" t="str">
        <f>+IF(SEPTIEMBRE!B24=0,"",SEPTIEMBRE!B24)</f>
        <v>Vigencias Anteriores</v>
      </c>
      <c r="C24" s="456">
        <f>+ENERO!C24</f>
        <v>45404339</v>
      </c>
      <c r="D24" s="456">
        <f>SEPTIEMBRE!D24+OCTUBRE!P24</f>
        <v>0</v>
      </c>
      <c r="E24" s="456">
        <f>SEPTIEMBRE!E24+OCTUBRE!Q24</f>
        <v>0</v>
      </c>
      <c r="F24" s="170">
        <f>SUM(C24:E24)</f>
        <v>45404339</v>
      </c>
      <c r="G24" s="283">
        <f>SEPTIEMBRE!I24</f>
        <v>92186722</v>
      </c>
      <c r="H24" s="457">
        <v>4748583</v>
      </c>
      <c r="I24" s="170">
        <f>SUM(G24:H24)</f>
        <v>96935305</v>
      </c>
      <c r="J24" s="283">
        <f>SEPTIEMBRE!L24</f>
        <v>92186722</v>
      </c>
      <c r="K24" s="457">
        <v>4748583</v>
      </c>
      <c r="L24" s="170">
        <f>SUM(J24:K24)</f>
        <v>96935305</v>
      </c>
      <c r="M24" s="283">
        <f>F24-I24</f>
        <v>-51530966</v>
      </c>
      <c r="N24" s="170">
        <f>F24-L24</f>
        <v>-51530966</v>
      </c>
      <c r="O24" s="467"/>
      <c r="P24" s="455">
        <v>0</v>
      </c>
      <c r="Q24" s="458">
        <v>0</v>
      </c>
      <c r="R24" s="10"/>
      <c r="S24" s="156" t="str">
        <f>+IF(SEPTIEMBRE!S24=0,"",SEPTIEMBRE!S24)</f>
        <v>1010104-4</v>
      </c>
      <c r="T24" s="55" t="str">
        <f>+IF(SEPTIEMBRE!T24=0,"",SEPTIEMBRE!T24)</f>
        <v>Prima Clima</v>
      </c>
      <c r="U24" s="29">
        <f>+ENERO!U24</f>
        <v>0</v>
      </c>
      <c r="V24" s="17">
        <f>SEPTIEMBRE!V24+OCTUBRE!AL24</f>
        <v>0</v>
      </c>
      <c r="W24" s="17">
        <f>SEPTIEMBRE!W24+OCTUBRE!AM24</f>
        <v>0</v>
      </c>
      <c r="X24" s="20">
        <f t="shared" si="17"/>
        <v>0</v>
      </c>
      <c r="Y24" s="21">
        <f>SEPTIEMBRE!AA24</f>
        <v>0</v>
      </c>
      <c r="Z24" s="457">
        <v>0</v>
      </c>
      <c r="AA24" s="20">
        <f t="shared" si="18"/>
        <v>0</v>
      </c>
      <c r="AB24" s="21">
        <f>SEPTIEMBRE!AD24</f>
        <v>0</v>
      </c>
      <c r="AC24" s="457">
        <v>0</v>
      </c>
      <c r="AD24" s="20">
        <f t="shared" si="19"/>
        <v>0</v>
      </c>
      <c r="AE24" s="21">
        <f>SEPTIEMBRE!AG24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235975007</v>
      </c>
      <c r="AR24" s="528">
        <f>AD35+AD83</f>
        <v>102430939</v>
      </c>
      <c r="AS24" s="528">
        <f>AG35+AG83</f>
        <v>94362771</v>
      </c>
      <c r="AT24" s="528"/>
      <c r="AU24" s="456">
        <f t="shared" si="25"/>
        <v>0.43407537222787329</v>
      </c>
      <c r="AV24" s="456">
        <f t="shared" si="26"/>
        <v>0.39988459879566823</v>
      </c>
      <c r="AW24" s="456">
        <f>(AR24-AD41-AD88)/$AO$2*12+AD41+AD88</f>
        <v>120609116.39999999</v>
      </c>
      <c r="AX24" s="456">
        <f>(AS24-AG41-AG88)/$AO$2*12+AG41+AG88</f>
        <v>110936774.80000001</v>
      </c>
      <c r="AY24" s="456">
        <f t="shared" si="27"/>
        <v>-115365890.60000001</v>
      </c>
      <c r="AZ24" s="170">
        <f t="shared" si="28"/>
        <v>125038232.19999999</v>
      </c>
      <c r="BA24" s="10"/>
      <c r="BB24" s="534"/>
      <c r="BC24" s="467"/>
      <c r="BD24" s="467"/>
      <c r="BE24" s="467"/>
      <c r="BF24" s="467"/>
      <c r="BG24" s="467"/>
      <c r="BH24" s="467"/>
      <c r="BI24" s="467"/>
      <c r="BJ24" s="467"/>
      <c r="BK24" s="467"/>
      <c r="BL24" s="467"/>
      <c r="BM24" s="164" t="s">
        <v>112</v>
      </c>
      <c r="BN24" s="101">
        <f>X170-X177-X174-X183-X191</f>
        <v>94660623</v>
      </c>
      <c r="BO24" s="99">
        <f>AA170-AA177-AA174-AA183-AA191</f>
        <v>23680569</v>
      </c>
      <c r="BP24" s="99">
        <f>AD170-AD177-AD174-AD183-AD191</f>
        <v>23680569</v>
      </c>
      <c r="BQ24" s="100">
        <f>AF170-AF177-AF174-AF183-AF191</f>
        <v>947163</v>
      </c>
      <c r="BR24" s="467"/>
    </row>
    <row r="25" spans="1:70" s="467" customFormat="1" ht="15" x14ac:dyDescent="0.25">
      <c r="A25" s="57">
        <f>+IF(SEPTIEMBRE!A25=0,"",SEPTIEMBRE!A25)</f>
        <v>1130102</v>
      </c>
      <c r="B25" s="45" t="str">
        <f>+IF(SEPTIEMBRE!B25=0,"",SEPTIEMBRE!B25)</f>
        <v>ARS - REGIMEN SUBSIDIADO</v>
      </c>
      <c r="C25" s="53">
        <f t="shared" ref="C25:N25" si="29">SUM(C26:C27)</f>
        <v>2553198704</v>
      </c>
      <c r="D25" s="53">
        <f t="shared" si="29"/>
        <v>0</v>
      </c>
      <c r="E25" s="53">
        <f t="shared" si="29"/>
        <v>154000000</v>
      </c>
      <c r="F25" s="54">
        <f t="shared" si="29"/>
        <v>2707198704</v>
      </c>
      <c r="G25" s="52">
        <f t="shared" si="29"/>
        <v>2053434189</v>
      </c>
      <c r="H25" s="53">
        <f t="shared" si="29"/>
        <v>218477959</v>
      </c>
      <c r="I25" s="54">
        <f t="shared" si="29"/>
        <v>2271912148</v>
      </c>
      <c r="J25" s="52">
        <f t="shared" si="29"/>
        <v>1818809743</v>
      </c>
      <c r="K25" s="53">
        <f t="shared" si="29"/>
        <v>208655859</v>
      </c>
      <c r="L25" s="54">
        <f t="shared" si="29"/>
        <v>2027465602</v>
      </c>
      <c r="M25" s="52">
        <f t="shared" si="29"/>
        <v>435286556</v>
      </c>
      <c r="N25" s="54">
        <f t="shared" si="29"/>
        <v>679733102</v>
      </c>
      <c r="P25" s="52">
        <f>SUM(P26:P27)</f>
        <v>0</v>
      </c>
      <c r="Q25" s="54">
        <f>SUM(Q26:Q27)</f>
        <v>154000000</v>
      </c>
      <c r="R25" s="10"/>
      <c r="S25" s="156" t="str">
        <f>+IF(SEPTIEMBRE!S25=0,"",SEPTIEMBRE!S25)</f>
        <v>1010104-5</v>
      </c>
      <c r="T25" s="55" t="str">
        <f>+IF(SEPTIEMBRE!T25=0,"",SEPTIEMBRE!T25)</f>
        <v>Prima de Servicios</v>
      </c>
      <c r="U25" s="29">
        <f>+ENERO!U25</f>
        <v>0</v>
      </c>
      <c r="V25" s="17">
        <f>SEPTIEMBRE!V25+OCTUBRE!AL25</f>
        <v>0</v>
      </c>
      <c r="W25" s="17">
        <f>SEPTIEMBRE!W25+OCTUBRE!AM25</f>
        <v>0</v>
      </c>
      <c r="X25" s="20">
        <f t="shared" si="17"/>
        <v>0</v>
      </c>
      <c r="Y25" s="21">
        <f>SEPTIEMBRE!AA25</f>
        <v>0</v>
      </c>
      <c r="Z25" s="457">
        <v>0</v>
      </c>
      <c r="AA25" s="20">
        <f t="shared" si="18"/>
        <v>0</v>
      </c>
      <c r="AB25" s="21">
        <f>SEPTIEMBRE!AD25</f>
        <v>0</v>
      </c>
      <c r="AC25" s="457">
        <v>0</v>
      </c>
      <c r="AD25" s="20">
        <f t="shared" si="19"/>
        <v>0</v>
      </c>
      <c r="AE25" s="21">
        <f>SEPTIEMBRE!AG25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416647939</v>
      </c>
      <c r="AS25" s="456">
        <f>AG43+AG57+AG90+AG104</f>
        <v>390891043</v>
      </c>
      <c r="AT25" s="528"/>
      <c r="AU25" s="456">
        <f t="shared" si="25"/>
        <v>0.72766802039435896</v>
      </c>
      <c r="AV25" s="456">
        <f t="shared" si="26"/>
        <v>0.68268407167062994</v>
      </c>
      <c r="AW25" s="456">
        <f>(AR25-AD55-AD61-AD102-AD108)/$AO$2*12+AD55+AD61+AD102+AD108</f>
        <v>498809579.79999995</v>
      </c>
      <c r="AX25" s="456">
        <f>(AS25-AG55-AG61-AG102-AG108)/$AO$2*12+AG55+AG61+AG102+AG108</f>
        <v>467901304.59999996</v>
      </c>
      <c r="AY25" s="456">
        <f t="shared" si="27"/>
        <v>-73770123.200000048</v>
      </c>
      <c r="AZ25" s="170">
        <f t="shared" si="28"/>
        <v>104678398.40000004</v>
      </c>
      <c r="BM25" s="167" t="s">
        <v>475</v>
      </c>
      <c r="BN25" s="124">
        <f>+SUM(BN26:BN28)</f>
        <v>360675926</v>
      </c>
      <c r="BO25" s="125">
        <f>+SUM(BO26:BO28)</f>
        <v>235497827</v>
      </c>
      <c r="BP25" s="125">
        <f>+SUM(BP26:BP28)</f>
        <v>235470513</v>
      </c>
      <c r="BQ25" s="126">
        <f>+SUM(BQ26:BQ28)</f>
        <v>30007115</v>
      </c>
    </row>
    <row r="26" spans="1:70" s="10" customFormat="1" ht="15" x14ac:dyDescent="0.2">
      <c r="A26" s="188" t="str">
        <f>+IF(SEPTIEMBRE!A26=0,"",SEPTIEMBRE!A26)</f>
        <v>1130102-1</v>
      </c>
      <c r="B26" s="189" t="str">
        <f>+CONCATENATE("Vigencia ",INSTRUCCIONES!$F$3)</f>
        <v>Vigencia 2014</v>
      </c>
      <c r="C26" s="456">
        <f>+ENERO!C26</f>
        <v>2490198704</v>
      </c>
      <c r="D26" s="456">
        <f>SEPTIEMBRE!D26+OCTUBRE!P26</f>
        <v>0</v>
      </c>
      <c r="E26" s="456">
        <f>SEPTIEMBRE!E26+OCTUBRE!Q26</f>
        <v>0</v>
      </c>
      <c r="F26" s="170">
        <f>SUM(C26:E26)</f>
        <v>2490198704</v>
      </c>
      <c r="G26" s="283">
        <f>SEPTIEMBRE!I26</f>
        <v>1836655140</v>
      </c>
      <c r="H26" s="457">
        <v>215159661</v>
      </c>
      <c r="I26" s="170">
        <f>SUM(G26:H26)</f>
        <v>2051814801</v>
      </c>
      <c r="J26" s="283">
        <f>SEPTIEMBRE!L26</f>
        <v>1602030694</v>
      </c>
      <c r="K26" s="457">
        <v>205337561</v>
      </c>
      <c r="L26" s="170">
        <f>SUM(J26:K26)</f>
        <v>1807368255</v>
      </c>
      <c r="M26" s="283">
        <f>F26-I26</f>
        <v>438383903</v>
      </c>
      <c r="N26" s="170">
        <f>F26-L26</f>
        <v>682830449</v>
      </c>
      <c r="P26" s="455">
        <v>0</v>
      </c>
      <c r="Q26" s="458">
        <v>0</v>
      </c>
      <c r="S26" s="156" t="str">
        <f>+IF(SEPTIEMBRE!S26=0,"",SEPTIEMBRE!S26)</f>
        <v>1010104-8</v>
      </c>
      <c r="T26" s="55" t="str">
        <f>+IF(SEPTIEMBRE!T26=0,"",SEPTIEMBRE!T26)</f>
        <v>Bonific. por Servicios Prestados (Convencional)</v>
      </c>
      <c r="U26" s="29">
        <f>+ENERO!U26</f>
        <v>0</v>
      </c>
      <c r="V26" s="17">
        <f>SEPTIEMBRE!V26+OCTUBRE!AL26</f>
        <v>0</v>
      </c>
      <c r="W26" s="17">
        <f>SEPTIEMBRE!W26+OCTUBRE!AM26</f>
        <v>0</v>
      </c>
      <c r="X26" s="20">
        <f t="shared" si="17"/>
        <v>0</v>
      </c>
      <c r="Y26" s="21">
        <f>SEPTIEMBRE!AA26</f>
        <v>0</v>
      </c>
      <c r="Z26" s="457">
        <v>0</v>
      </c>
      <c r="AA26" s="20">
        <f t="shared" si="18"/>
        <v>0</v>
      </c>
      <c r="AB26" s="21">
        <f>SEPTIEMBRE!AD26</f>
        <v>0</v>
      </c>
      <c r="AC26" s="457">
        <v>0</v>
      </c>
      <c r="AD26" s="20">
        <f t="shared" si="19"/>
        <v>0</v>
      </c>
      <c r="AE26" s="21">
        <f>SEPTIEMBRE!AG26</f>
        <v>0</v>
      </c>
      <c r="AF26" s="457">
        <v>0</v>
      </c>
      <c r="AG26" s="20">
        <f t="shared" si="20"/>
        <v>0</v>
      </c>
      <c r="AH26" s="21">
        <f t="shared" si="21"/>
        <v>0</v>
      </c>
      <c r="AI26" s="17">
        <f t="shared" si="22"/>
        <v>0</v>
      </c>
      <c r="AJ26" s="18">
        <f t="shared" si="23"/>
        <v>0</v>
      </c>
      <c r="AL26" s="455">
        <v>0</v>
      </c>
      <c r="AM26" s="458">
        <v>0</v>
      </c>
      <c r="AO26" s="23"/>
      <c r="AP26" s="536" t="s">
        <v>122</v>
      </c>
      <c r="AQ26" s="401">
        <f>X110</f>
        <v>768954629</v>
      </c>
      <c r="AR26" s="401">
        <f>AD110</f>
        <v>552971184</v>
      </c>
      <c r="AS26" s="401">
        <f>AG110</f>
        <v>505486046</v>
      </c>
      <c r="AT26" s="454">
        <f>AO2/12</f>
        <v>0.83333333333333337</v>
      </c>
      <c r="AU26" s="419">
        <f t="shared" si="25"/>
        <v>0.71912069079956087</v>
      </c>
      <c r="AV26" s="419">
        <f t="shared" si="26"/>
        <v>0.65736784322030528</v>
      </c>
      <c r="AW26" s="533">
        <f>(AR26-AD121-AD139-AD143-AD153-AD168)/$AO$2*12+AD121+AD139+AD143+AD153+AD168</f>
        <v>656003554.79999995</v>
      </c>
      <c r="AX26" s="533">
        <f>(AS26-AG121-AG139-AG143-AG153-AG168)/$AO$2*12+AG121+AG139+AG143+AG153+AG168</f>
        <v>599197769.20000005</v>
      </c>
      <c r="AY26" s="533">
        <f t="shared" si="27"/>
        <v>-112951074.20000005</v>
      </c>
      <c r="AZ26" s="62">
        <f t="shared" si="28"/>
        <v>169756859.79999995</v>
      </c>
      <c r="BA26" s="467"/>
      <c r="BB26" s="467"/>
      <c r="BC26" s="467"/>
      <c r="BD26" s="467"/>
      <c r="BE26" s="467"/>
      <c r="BF26" s="467"/>
      <c r="BG26" s="467"/>
      <c r="BH26" s="467"/>
      <c r="BI26" s="467"/>
      <c r="BJ26" s="467"/>
      <c r="BK26" s="467"/>
      <c r="BM26" s="127" t="s">
        <v>476</v>
      </c>
      <c r="BN26" s="104">
        <f>+X196+X212</f>
        <v>208038050</v>
      </c>
      <c r="BO26" s="102">
        <f>+AA196+AA212</f>
        <v>146167677</v>
      </c>
      <c r="BP26" s="102">
        <f>+AD196+AD212</f>
        <v>146140668</v>
      </c>
      <c r="BQ26" s="103">
        <f>+AF196+AF212</f>
        <v>16694527</v>
      </c>
      <c r="BR26" s="467"/>
    </row>
    <row r="27" spans="1:70" s="514" customFormat="1" ht="15" x14ac:dyDescent="0.2">
      <c r="A27" s="188" t="str">
        <f>+IF(SEPTIEMBRE!A27=0,"",SEPTIEMBRE!A27)</f>
        <v>1130102-2</v>
      </c>
      <c r="B27" s="189" t="str">
        <f>+IF(SEPTIEMBRE!B27=0,"",SEPTIEMBRE!B27)</f>
        <v>Vigencias Anteriores</v>
      </c>
      <c r="C27" s="456">
        <f>+ENERO!C27</f>
        <v>63000000</v>
      </c>
      <c r="D27" s="456">
        <f>SEPTIEMBRE!D27+OCTUBRE!P27</f>
        <v>0</v>
      </c>
      <c r="E27" s="456">
        <f>SEPTIEMBRE!E27+OCTUBRE!Q27</f>
        <v>154000000</v>
      </c>
      <c r="F27" s="170">
        <f>SUM(C27:E27)</f>
        <v>217000000</v>
      </c>
      <c r="G27" s="283">
        <f>SEPTIEMBRE!I27</f>
        <v>216779049</v>
      </c>
      <c r="H27" s="457">
        <v>3318298</v>
      </c>
      <c r="I27" s="170">
        <f>SUM(G27:H27)</f>
        <v>220097347</v>
      </c>
      <c r="J27" s="283">
        <f>SEPTIEMBRE!L27</f>
        <v>216779049</v>
      </c>
      <c r="K27" s="457">
        <v>3318298</v>
      </c>
      <c r="L27" s="170">
        <f>SUM(J27:K27)</f>
        <v>220097347</v>
      </c>
      <c r="M27" s="283">
        <f>F27-I27</f>
        <v>-3097347</v>
      </c>
      <c r="N27" s="170">
        <f>F27-L27</f>
        <v>-3097347</v>
      </c>
      <c r="O27" s="467"/>
      <c r="P27" s="455">
        <v>0</v>
      </c>
      <c r="Q27" s="458">
        <v>154000000</v>
      </c>
      <c r="R27" s="10"/>
      <c r="S27" s="156" t="str">
        <f>+IF(SEPTIEMBRE!S27=0,"",SEPTIEMBRE!S27)</f>
        <v>1010104-9</v>
      </c>
      <c r="T27" s="55" t="str">
        <f>+IF(SEPTIEMBRE!T27=0,"",SEPTIEMBRE!T27)</f>
        <v>Auxilio de Transporte</v>
      </c>
      <c r="U27" s="29">
        <f>+ENERO!U27</f>
        <v>0</v>
      </c>
      <c r="V27" s="17">
        <f>SEPTIEMBRE!V27+OCTUBRE!AL27</f>
        <v>0</v>
      </c>
      <c r="W27" s="17">
        <f>SEPTIEMBRE!W27+OCTUBRE!AM27</f>
        <v>0</v>
      </c>
      <c r="X27" s="20">
        <f t="shared" si="17"/>
        <v>0</v>
      </c>
      <c r="Y27" s="21">
        <f>SEPTIEMBRE!AA27</f>
        <v>0</v>
      </c>
      <c r="Z27" s="457">
        <v>0</v>
      </c>
      <c r="AA27" s="20">
        <f t="shared" si="18"/>
        <v>0</v>
      </c>
      <c r="AB27" s="21">
        <f>SEPTIEMBRE!AD27</f>
        <v>0</v>
      </c>
      <c r="AC27" s="457">
        <v>0</v>
      </c>
      <c r="AD27" s="20">
        <f t="shared" si="19"/>
        <v>0</v>
      </c>
      <c r="AE27" s="21">
        <f>SEPTIEMBRE!AG27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205581543</v>
      </c>
      <c r="AR27" s="456">
        <f>AD170</f>
        <v>111588848</v>
      </c>
      <c r="AS27" s="456">
        <f>AG170</f>
        <v>109089959</v>
      </c>
      <c r="AT27" s="528"/>
      <c r="AU27" s="456">
        <f t="shared" si="25"/>
        <v>0.54279604273619053</v>
      </c>
      <c r="AV27" s="456">
        <f t="shared" si="26"/>
        <v>0.53064082216758146</v>
      </c>
      <c r="AW27" s="456">
        <f>(AR27-AD174-AD183-AD191)/$AO$2*12+AD174+AD183+AD191</f>
        <v>132543806.80000001</v>
      </c>
      <c r="AX27" s="456">
        <f>(AS27-AG174-AG183-AG191)/$AO$2*12+AG174+AG183+AG191</f>
        <v>129545140</v>
      </c>
      <c r="AY27" s="456">
        <f t="shared" si="27"/>
        <v>-73037736.199999988</v>
      </c>
      <c r="AZ27" s="170">
        <f t="shared" si="28"/>
        <v>76036403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+IF(SEPTIEMBRE!A28=0,"",SEPTIEMBRE!A28)</f>
        <v>1130103</v>
      </c>
      <c r="B28" s="60" t="str">
        <f>+IF(SEPTIEMBRE!B28=0,"",SEPTIEMBRE!B28)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+IF(SEPTIEMBRE!S28=0,"",SEPTIEMBRE!S28)</f>
        <v>1010104-10</v>
      </c>
      <c r="T28" s="55" t="str">
        <f>+IF(SEPTIEMBRE!T28=0,"",SEPTIEMBRE!T28)</f>
        <v>Subsidio de Alimentación</v>
      </c>
      <c r="U28" s="29">
        <f>+ENERO!U28</f>
        <v>9130335</v>
      </c>
      <c r="V28" s="17">
        <f>SEPTIEMBRE!V28+OCTUBRE!AL28</f>
        <v>0</v>
      </c>
      <c r="W28" s="17">
        <f>SEPTIEMBRE!W28+OCTUBRE!AM28</f>
        <v>0</v>
      </c>
      <c r="X28" s="20">
        <f t="shared" si="17"/>
        <v>9130335</v>
      </c>
      <c r="Y28" s="21">
        <f>SEPTIEMBRE!AA28</f>
        <v>6911860</v>
      </c>
      <c r="Z28" s="457">
        <v>723674</v>
      </c>
      <c r="AA28" s="20">
        <f t="shared" si="18"/>
        <v>7635534</v>
      </c>
      <c r="AB28" s="21">
        <f>SEPTIEMBRE!AD28</f>
        <v>6911860</v>
      </c>
      <c r="AC28" s="457">
        <v>723674</v>
      </c>
      <c r="AD28" s="20">
        <f t="shared" si="19"/>
        <v>7635534</v>
      </c>
      <c r="AE28" s="21">
        <f>SEPTIEMBRE!AG28</f>
        <v>6911860</v>
      </c>
      <c r="AF28" s="457">
        <v>723674</v>
      </c>
      <c r="AG28" s="20">
        <f t="shared" si="20"/>
        <v>7635534</v>
      </c>
      <c r="AH28" s="21">
        <f t="shared" si="21"/>
        <v>1494801</v>
      </c>
      <c r="AI28" s="17">
        <f t="shared" si="22"/>
        <v>1494801</v>
      </c>
      <c r="AJ28" s="18">
        <f t="shared" si="23"/>
        <v>1494801</v>
      </c>
      <c r="AK28" s="10"/>
      <c r="AL28" s="455">
        <v>0</v>
      </c>
      <c r="AM28" s="458">
        <v>0</v>
      </c>
      <c r="AN28" s="10"/>
      <c r="AO28" s="428"/>
      <c r="AP28" s="535" t="s">
        <v>129</v>
      </c>
      <c r="AQ28" s="528">
        <f>X193</f>
        <v>420893217</v>
      </c>
      <c r="AR28" s="528">
        <f>AD193</f>
        <v>295687804</v>
      </c>
      <c r="AS28" s="528">
        <f>AG193</f>
        <v>225310919</v>
      </c>
      <c r="AT28" s="528"/>
      <c r="AU28" s="456">
        <f t="shared" si="25"/>
        <v>0.70252451704395136</v>
      </c>
      <c r="AV28" s="456">
        <f t="shared" si="26"/>
        <v>0.53531610845607902</v>
      </c>
      <c r="AW28" s="456">
        <f>(AR28-AD205)/$AO$2*12+AD205</f>
        <v>342781906.60000002</v>
      </c>
      <c r="AX28" s="456">
        <f>(AS28-AG205)/$AO$2*12+AG205</f>
        <v>258329644.60000002</v>
      </c>
      <c r="AY28" s="456">
        <f t="shared" si="27"/>
        <v>-78111310.399999976</v>
      </c>
      <c r="AZ28" s="170">
        <f t="shared" si="28"/>
        <v>162563572.39999998</v>
      </c>
      <c r="BA28" s="467"/>
      <c r="BB28" s="467"/>
      <c r="BC28" s="467"/>
      <c r="BD28" s="467"/>
      <c r="BE28" s="467"/>
      <c r="BF28" s="467"/>
      <c r="BG28" s="467"/>
      <c r="BH28" s="467"/>
      <c r="BI28" s="467"/>
      <c r="BJ28" s="467"/>
      <c r="BK28" s="467"/>
      <c r="BL28" s="467"/>
      <c r="BM28" s="89" t="s">
        <v>478</v>
      </c>
      <c r="BN28" s="101">
        <f>+X194-X196-X205</f>
        <v>152637876</v>
      </c>
      <c r="BO28" s="99">
        <f>+AA194-AA196-AA205</f>
        <v>89330150</v>
      </c>
      <c r="BP28" s="99">
        <f>+AD194-AD196-AD205</f>
        <v>89329845</v>
      </c>
      <c r="BQ28" s="100">
        <f>+AF194-AF196-AF205</f>
        <v>13312588</v>
      </c>
      <c r="BR28" s="10"/>
    </row>
    <row r="29" spans="1:70" s="10" customFormat="1" ht="15" x14ac:dyDescent="0.25">
      <c r="A29" s="61" t="str">
        <f>+IF(SEPTIEMBRE!A29=0,"",SEPTIEMBRE!A29)</f>
        <v>1130103-1</v>
      </c>
      <c r="B29" s="62" t="str">
        <f>+IF(SEPTIEMBRE!B29=0,"",SEPTIEMBRE!B29)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+IF(SEPTIEMBRE!S29=0,"",SEPTIEMBRE!S29)</f>
        <v>1010104-11</v>
      </c>
      <c r="T29" s="55" t="str">
        <f>+IF(SEPTIEMBRE!T29=0,"",SEPTIEMBRE!T29)</f>
        <v>Gastos de Representación</v>
      </c>
      <c r="U29" s="29">
        <f>+ENERO!U29</f>
        <v>0</v>
      </c>
      <c r="V29" s="17">
        <f>SEPTIEMBRE!V29+OCTUBRE!AL29</f>
        <v>0</v>
      </c>
      <c r="W29" s="17">
        <f>SEPTIEMBRE!W29+OCTUBRE!AM29</f>
        <v>0</v>
      </c>
      <c r="X29" s="20">
        <f t="shared" si="17"/>
        <v>0</v>
      </c>
      <c r="Y29" s="21">
        <f>SEPTIEMBRE!AA29</f>
        <v>0</v>
      </c>
      <c r="Z29" s="457">
        <v>0</v>
      </c>
      <c r="AA29" s="20">
        <f t="shared" si="18"/>
        <v>0</v>
      </c>
      <c r="AB29" s="21">
        <f>SEPTIEMBRE!AD29</f>
        <v>0</v>
      </c>
      <c r="AC29" s="457">
        <v>0</v>
      </c>
      <c r="AD29" s="20">
        <f t="shared" si="19"/>
        <v>0</v>
      </c>
      <c r="AE29" s="21">
        <f>SEPTIEMBRE!AG29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255410140</v>
      </c>
      <c r="BO29" s="125">
        <f>AA232-AA256-AA241</f>
        <v>182141088</v>
      </c>
      <c r="BP29" s="125">
        <f>AD232-AD256-AD241</f>
        <v>182139859</v>
      </c>
      <c r="BQ29" s="126">
        <f>AF232-AF256-AF241</f>
        <v>5559836</v>
      </c>
      <c r="BR29" s="467"/>
    </row>
    <row r="30" spans="1:70" s="514" customFormat="1" ht="15" x14ac:dyDescent="0.25">
      <c r="A30" s="188" t="str">
        <f>+IF(SEPTIEMBRE!A30=0,"",SEPTIEMBRE!A30)</f>
        <v>1130103-1-1</v>
      </c>
      <c r="B30" s="189" t="str">
        <f>+CONCATENATE("Vigencia ",INSTRUCCIONES!$F$3)</f>
        <v>Vigencia 2014</v>
      </c>
      <c r="C30" s="456">
        <f>+ENERO!C30</f>
        <v>227076373</v>
      </c>
      <c r="D30" s="456">
        <f>SEPTIEMBRE!D30+OCTUBRE!P30</f>
        <v>-227076373</v>
      </c>
      <c r="E30" s="456">
        <f>SEPTIEMBRE!E30+OCTUBRE!Q30</f>
        <v>0</v>
      </c>
      <c r="F30" s="170">
        <f>SUM(C30:E30)</f>
        <v>0</v>
      </c>
      <c r="G30" s="283">
        <f>SEPTIEMBRE!I30</f>
        <v>0</v>
      </c>
      <c r="H30" s="457">
        <v>0</v>
      </c>
      <c r="I30" s="170">
        <f>SUM(G30:H30)</f>
        <v>0</v>
      </c>
      <c r="J30" s="283">
        <f>SEPTIEMBRE!L30</f>
        <v>0</v>
      </c>
      <c r="K30" s="457">
        <v>0</v>
      </c>
      <c r="L30" s="170">
        <f>SUM(J30:K30)</f>
        <v>0</v>
      </c>
      <c r="M30" s="283">
        <f>F30-I30</f>
        <v>0</v>
      </c>
      <c r="N30" s="170">
        <f>F30-L30</f>
        <v>0</v>
      </c>
      <c r="O30" s="10"/>
      <c r="P30" s="455">
        <v>0</v>
      </c>
      <c r="Q30" s="458">
        <v>0</v>
      </c>
      <c r="R30" s="10"/>
      <c r="S30" s="156" t="str">
        <f>+IF(SEPTIEMBRE!S30=0,"",SEPTIEMBRE!S30)</f>
        <v>1010104-12</v>
      </c>
      <c r="T30" s="55" t="str">
        <f>+IF(SEPTIEMBRE!T30=0,"",SEPTIEMBRE!T30)</f>
        <v xml:space="preserve"> Indemnizaciones por Vacaciones o Supresión de Cargos por Reestructuración</v>
      </c>
      <c r="U30" s="29">
        <f>+ENERO!U30</f>
        <v>0</v>
      </c>
      <c r="V30" s="17">
        <f>SEPTIEMBRE!V30+OCTUBRE!AL30</f>
        <v>0</v>
      </c>
      <c r="W30" s="17">
        <f>SEPTIEMBRE!W30+OCTUBRE!AM30</f>
        <v>0</v>
      </c>
      <c r="X30" s="20">
        <f t="shared" si="17"/>
        <v>0</v>
      </c>
      <c r="Y30" s="21">
        <f>SEPTIEMBRE!AA30</f>
        <v>0</v>
      </c>
      <c r="Z30" s="457">
        <v>0</v>
      </c>
      <c r="AA30" s="20">
        <f t="shared" si="18"/>
        <v>0</v>
      </c>
      <c r="AB30" s="21">
        <f>SEPTIEMBRE!AD30</f>
        <v>0</v>
      </c>
      <c r="AC30" s="457">
        <v>0</v>
      </c>
      <c r="AD30" s="20">
        <f t="shared" si="19"/>
        <v>0</v>
      </c>
      <c r="AE30" s="21">
        <f>SEPTIEMBRE!AG30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255410140</v>
      </c>
      <c r="AR30" s="456">
        <f>AD220+AD232</f>
        <v>182139859</v>
      </c>
      <c r="AS30" s="456">
        <f>AG220+AG232</f>
        <v>176365620</v>
      </c>
      <c r="AT30" s="528"/>
      <c r="AU30" s="456">
        <f t="shared" si="25"/>
        <v>0.71312696903889561</v>
      </c>
      <c r="AV30" s="456">
        <f t="shared" si="26"/>
        <v>0.69051925659646873</v>
      </c>
      <c r="AW30" s="456">
        <f>(AR30-AD225-AD230-AD241-AD256)/$AO$2*12+AD225+AD230+AD241+AD256</f>
        <v>218567830.79999998</v>
      </c>
      <c r="AX30" s="456">
        <f>(AS30-AG225-AG230-AG241-AG256)/$AO$2*12+AG225+AG230+AG241+AG256</f>
        <v>211638744</v>
      </c>
      <c r="AY30" s="456">
        <f t="shared" si="27"/>
        <v>-36842309.200000018</v>
      </c>
      <c r="AZ30" s="170">
        <f t="shared" si="28"/>
        <v>43771396</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+IF(SEPTIEMBRE!A31=0,"",SEPTIEMBRE!A31)</f>
        <v>1130103-1-2</v>
      </c>
      <c r="B31" s="189" t="str">
        <f>+IF(SEPTIEMBRE!B31=0,"",SEPTIEMBRE!B31)</f>
        <v>Vigencias Anteriores</v>
      </c>
      <c r="C31" s="456">
        <f>+ENERO!C31</f>
        <v>0</v>
      </c>
      <c r="D31" s="456">
        <f>SEPTIEMBRE!D31+OCTUBRE!P31</f>
        <v>0</v>
      </c>
      <c r="E31" s="456">
        <f>SEPTIEMBRE!E31+OCTUBRE!Q31</f>
        <v>0</v>
      </c>
      <c r="F31" s="170">
        <f>SUM(C31:E31)</f>
        <v>0</v>
      </c>
      <c r="G31" s="283">
        <f>SEPTIEMBRE!I31</f>
        <v>0</v>
      </c>
      <c r="H31" s="457">
        <v>0</v>
      </c>
      <c r="I31" s="170">
        <f>SUM(G31:H31)</f>
        <v>0</v>
      </c>
      <c r="J31" s="283">
        <f>SEPTIEMBRE!L31</f>
        <v>0</v>
      </c>
      <c r="K31" s="457">
        <v>0</v>
      </c>
      <c r="L31" s="170">
        <f>SUM(J31:K31)</f>
        <v>0</v>
      </c>
      <c r="M31" s="283">
        <f>F31-I31</f>
        <v>0</v>
      </c>
      <c r="N31" s="170">
        <f>F31-L31</f>
        <v>0</v>
      </c>
      <c r="O31" s="467"/>
      <c r="P31" s="455">
        <v>0</v>
      </c>
      <c r="Q31" s="458">
        <v>0</v>
      </c>
      <c r="R31" s="10"/>
      <c r="S31" s="156" t="str">
        <f>+IF(SEPTIEMBRE!S31=0,"",SEPTIEMBRE!S31)</f>
        <v>1010104-13</v>
      </c>
      <c r="T31" s="55" t="str">
        <f>+IF(SEPTIEMBRE!T31=0,"",SEPTIEMBRE!T31)</f>
        <v>Bonificación Especial por Recreación</v>
      </c>
      <c r="U31" s="29">
        <f>+ENERO!U31</f>
        <v>2046504</v>
      </c>
      <c r="V31" s="17">
        <f>SEPTIEMBRE!V31+OCTUBRE!AL31</f>
        <v>0</v>
      </c>
      <c r="W31" s="17">
        <f>SEPTIEMBRE!W31+OCTUBRE!AM31</f>
        <v>0</v>
      </c>
      <c r="X31" s="20">
        <f t="shared" si="17"/>
        <v>2046504</v>
      </c>
      <c r="Y31" s="21">
        <f>SEPTIEMBRE!AA31</f>
        <v>1328460</v>
      </c>
      <c r="Z31" s="457">
        <v>55808</v>
      </c>
      <c r="AA31" s="20">
        <f t="shared" si="18"/>
        <v>1384268</v>
      </c>
      <c r="AB31" s="21">
        <f>SEPTIEMBRE!AD31</f>
        <v>1328460</v>
      </c>
      <c r="AC31" s="457">
        <v>55808</v>
      </c>
      <c r="AD31" s="20">
        <f t="shared" si="19"/>
        <v>1384268</v>
      </c>
      <c r="AE31" s="21">
        <f>SEPTIEMBRE!AG31</f>
        <v>1328460</v>
      </c>
      <c r="AF31" s="457">
        <v>55808</v>
      </c>
      <c r="AG31" s="20">
        <f t="shared" si="20"/>
        <v>1384268</v>
      </c>
      <c r="AH31" s="21">
        <f t="shared" si="21"/>
        <v>662236</v>
      </c>
      <c r="AI31" s="17">
        <f t="shared" si="22"/>
        <v>662236</v>
      </c>
      <c r="AJ31" s="18">
        <f t="shared" si="23"/>
        <v>662236</v>
      </c>
      <c r="AK31" s="10"/>
      <c r="AL31" s="455">
        <v>0</v>
      </c>
      <c r="AM31" s="458">
        <v>0</v>
      </c>
      <c r="AN31" s="10"/>
      <c r="AO31" s="428"/>
      <c r="AP31" s="507" t="s">
        <v>139</v>
      </c>
      <c r="AQ31" s="528">
        <f>X258</f>
        <v>0</v>
      </c>
      <c r="AR31" s="528">
        <f>AD258</f>
        <v>196447445</v>
      </c>
      <c r="AS31" s="528">
        <f>AG258</f>
        <v>-2688773882</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0</v>
      </c>
      <c r="BR31" s="10"/>
    </row>
    <row r="32" spans="1:70" s="10" customFormat="1" ht="15.75" thickBot="1" x14ac:dyDescent="0.3">
      <c r="A32" s="61" t="str">
        <f>+IF(SEPTIEMBRE!A32=0,"",SEPTIEMBRE!A32)</f>
        <v>1130103-2</v>
      </c>
      <c r="B32" s="62" t="str">
        <f>+IF(SEPTIEMBRE!B32=0,"",SEPTIEMBRE!B32)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+IF(SEPTIEMBRE!S32=0,"",SEPTIEMBRE!S32)</f>
        <v>1010104-14</v>
      </c>
      <c r="T32" s="55" t="str">
        <f>+IF(SEPTIEMBRE!T32=0,"",SEPTIEMBRE!T32)</f>
        <v/>
      </c>
      <c r="U32" s="29">
        <f>+ENERO!U32</f>
        <v>0</v>
      </c>
      <c r="V32" s="17">
        <f>SEPTIEMBRE!V32+OCTUBRE!AL32</f>
        <v>0</v>
      </c>
      <c r="W32" s="17">
        <f>SEPTIEMBRE!W32+OCTUBRE!AM32</f>
        <v>0</v>
      </c>
      <c r="X32" s="20">
        <f t="shared" si="17"/>
        <v>0</v>
      </c>
      <c r="Y32" s="21">
        <f>SEPTIEMBRE!AA32</f>
        <v>0</v>
      </c>
      <c r="Z32" s="457">
        <v>0</v>
      </c>
      <c r="AA32" s="20">
        <f t="shared" si="18"/>
        <v>0</v>
      </c>
      <c r="AB32" s="21">
        <f>SEPTIEMBRE!AD32</f>
        <v>0</v>
      </c>
      <c r="AC32" s="457">
        <v>0</v>
      </c>
      <c r="AD32" s="20">
        <f t="shared" si="19"/>
        <v>0</v>
      </c>
      <c r="AE32" s="21">
        <f>SEPTIEMBRE!AG32</f>
        <v>0</v>
      </c>
      <c r="AF32" s="457">
        <v>0</v>
      </c>
      <c r="AG32" s="20">
        <f t="shared" si="20"/>
        <v>0</v>
      </c>
      <c r="AH32" s="21">
        <f t="shared" si="21"/>
        <v>0</v>
      </c>
      <c r="AI32" s="17">
        <f t="shared" si="22"/>
        <v>0</v>
      </c>
      <c r="AJ32" s="18">
        <f t="shared" si="23"/>
        <v>0</v>
      </c>
      <c r="AL32" s="455">
        <v>0</v>
      </c>
      <c r="AM32" s="458">
        <v>0</v>
      </c>
      <c r="AO32" s="23"/>
      <c r="AP32" s="537" t="s">
        <v>144</v>
      </c>
      <c r="AQ32" s="483">
        <f>SUM(AQ22:AQ31)</f>
        <v>4088834335</v>
      </c>
      <c r="AR32" s="483">
        <f>SUM(AR22:AR31)</f>
        <v>3081738971</v>
      </c>
      <c r="AS32" s="483">
        <f>SUM(AS22:AS31)</f>
        <v>0</v>
      </c>
      <c r="AT32" s="538"/>
      <c r="AU32" s="539">
        <f t="shared" si="25"/>
        <v>0.75369621718851076</v>
      </c>
      <c r="AV32" s="539">
        <f t="shared" si="26"/>
        <v>0</v>
      </c>
      <c r="AW32" s="430">
        <f>SUM(AW22:AW31)</f>
        <v>3637006782.7500005</v>
      </c>
      <c r="AX32" s="430">
        <f>SUM(AX22:AX31)</f>
        <v>3412197069.9500003</v>
      </c>
      <c r="AY32" s="430">
        <f>SUM(AY22:AY31)</f>
        <v>-451827552.25</v>
      </c>
      <c r="AZ32" s="431">
        <f>SUM(AZ22:AZ31)</f>
        <v>676637265.04999995</v>
      </c>
      <c r="BA32" s="467"/>
      <c r="BB32" s="514"/>
      <c r="BC32" s="514"/>
      <c r="BD32" s="514"/>
      <c r="BE32" s="514"/>
      <c r="BF32" s="514"/>
      <c r="BG32" s="467"/>
      <c r="BH32" s="467"/>
      <c r="BI32" s="467"/>
      <c r="BJ32" s="467"/>
      <c r="BK32" s="467"/>
      <c r="BM32" s="128" t="s">
        <v>140</v>
      </c>
      <c r="BN32" s="124">
        <f>+BN7+BN25+BN29+BN30+BN31</f>
        <v>4088834335</v>
      </c>
      <c r="BO32" s="125">
        <f t="shared" ref="BO32:BQ32" si="33">+BO7+BO25+BO29+BO30+BO31</f>
        <v>2885590072</v>
      </c>
      <c r="BP32" s="125">
        <f t="shared" si="33"/>
        <v>2885291526</v>
      </c>
      <c r="BQ32" s="126">
        <f t="shared" si="33"/>
        <v>274899039</v>
      </c>
      <c r="BR32" s="467"/>
    </row>
    <row r="33" spans="1:70" s="514" customFormat="1" ht="15.75" thickBot="1" x14ac:dyDescent="0.3">
      <c r="A33" s="188" t="str">
        <f>+IF(SEPTIEMBRE!A33=0,"",SEPTIEMBRE!A33)</f>
        <v>1130103-2-1</v>
      </c>
      <c r="B33" s="189" t="str">
        <f>+CONCATENATE("Vigencia ",INSTRUCCIONES!$F$3)</f>
        <v>Vigencia 2014</v>
      </c>
      <c r="C33" s="456">
        <f>+ENERO!C33</f>
        <v>0</v>
      </c>
      <c r="D33" s="456">
        <f>SEPTIEMBRE!D33+OCTUBRE!P33</f>
        <v>0</v>
      </c>
      <c r="E33" s="456">
        <f>SEPTIEMBRE!E33+OCTUBRE!Q33</f>
        <v>0</v>
      </c>
      <c r="F33" s="170">
        <f>SUM(C33:E33)</f>
        <v>0</v>
      </c>
      <c r="G33" s="283">
        <f>SEPTIEMBRE!I33</f>
        <v>0</v>
      </c>
      <c r="H33" s="457">
        <v>0</v>
      </c>
      <c r="I33" s="170">
        <f>SUM(G33:H33)</f>
        <v>0</v>
      </c>
      <c r="J33" s="283">
        <f>SEPTIEMBRE!L33</f>
        <v>0</v>
      </c>
      <c r="K33" s="457">
        <v>0</v>
      </c>
      <c r="L33" s="170">
        <f>SUM(J33:K33)</f>
        <v>0</v>
      </c>
      <c r="M33" s="283">
        <f>F33-I33</f>
        <v>0</v>
      </c>
      <c r="N33" s="170">
        <f>F33-L33</f>
        <v>0</v>
      </c>
      <c r="O33" s="10"/>
      <c r="P33" s="455">
        <v>0</v>
      </c>
      <c r="Q33" s="458">
        <v>0</v>
      </c>
      <c r="R33" s="10"/>
      <c r="S33" s="155">
        <f>+IF(SEPTIEMBRE!S33=0,"",SEPTIEMBRE!S33)</f>
        <v>1010199</v>
      </c>
      <c r="T33" s="159" t="str">
        <f>+IF(SEPTIEMBRE!T33=0,"",SEPTIEMBRE!T33)</f>
        <v>Vigencias Anteriores</v>
      </c>
      <c r="U33" s="29">
        <f>+ENERO!U33</f>
        <v>4029851</v>
      </c>
      <c r="V33" s="17">
        <f>SEPTIEMBRE!V33+OCTUBRE!AL33</f>
        <v>-3476851</v>
      </c>
      <c r="W33" s="17">
        <f>SEPTIEMBRE!W33+OCTUBRE!AM33</f>
        <v>0</v>
      </c>
      <c r="X33" s="20">
        <f t="shared" si="17"/>
        <v>553000</v>
      </c>
      <c r="Y33" s="21">
        <f>SEPTIEMBRE!AA33</f>
        <v>553000</v>
      </c>
      <c r="Z33" s="457">
        <v>0</v>
      </c>
      <c r="AA33" s="20">
        <f t="shared" si="18"/>
        <v>553000</v>
      </c>
      <c r="AB33" s="21">
        <f>SEPTIEMBRE!AD33</f>
        <v>553000</v>
      </c>
      <c r="AC33" s="457">
        <v>0</v>
      </c>
      <c r="AD33" s="20">
        <f t="shared" si="19"/>
        <v>553000</v>
      </c>
      <c r="AE33" s="21">
        <f>SEPTIEMBRE!AG33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668576250</v>
      </c>
      <c r="BP33" s="131">
        <f>AD258</f>
        <v>196447445</v>
      </c>
      <c r="BQ33" s="132">
        <f>AF258</f>
        <v>732196325</v>
      </c>
      <c r="BR33" s="467"/>
    </row>
    <row r="34" spans="1:70" s="514" customFormat="1" ht="16.5" thickBot="1" x14ac:dyDescent="0.25">
      <c r="A34" s="188" t="str">
        <f>+IF(SEPTIEMBRE!A34=0,"",SEPTIEMBRE!A34)</f>
        <v>1130103-2-2</v>
      </c>
      <c r="B34" s="189" t="str">
        <f>+IF(SEPTIEMBRE!B34=0,"",SEPTIEMBRE!B34)</f>
        <v>Vigencias Anteriores</v>
      </c>
      <c r="C34" s="456">
        <f>+ENERO!C34</f>
        <v>0</v>
      </c>
      <c r="D34" s="456">
        <f>SEPTIEMBRE!D34+OCTUBRE!P34</f>
        <v>0</v>
      </c>
      <c r="E34" s="456">
        <f>SEPTIEMBRE!E34+OCTUBRE!Q34</f>
        <v>0</v>
      </c>
      <c r="F34" s="170">
        <f>SUM(C34:E34)</f>
        <v>0</v>
      </c>
      <c r="G34" s="283">
        <f>SEPTIEMBRE!I34</f>
        <v>0</v>
      </c>
      <c r="H34" s="457">
        <v>0</v>
      </c>
      <c r="I34" s="170">
        <f>SUM(G34:H34)</f>
        <v>0</v>
      </c>
      <c r="J34" s="283">
        <f>SEPTIEMBRE!L34</f>
        <v>0</v>
      </c>
      <c r="K34" s="457">
        <v>0</v>
      </c>
      <c r="L34" s="170">
        <f>SUM(J34:K34)</f>
        <v>0</v>
      </c>
      <c r="M34" s="283">
        <f>F34-I34</f>
        <v>0</v>
      </c>
      <c r="N34" s="170">
        <f>F34-L34</f>
        <v>0</v>
      </c>
      <c r="O34" s="467"/>
      <c r="P34" s="455">
        <v>0</v>
      </c>
      <c r="Q34" s="458">
        <v>0</v>
      </c>
      <c r="R34" s="10"/>
      <c r="S34" s="448" t="str">
        <f>+IF(SEPTIEMBRE!S34=0,"",SEPTIEMBRE!S34)</f>
        <v/>
      </c>
      <c r="T34" s="649" t="str">
        <f>+IF(SEPTIEMBRE!T34=0,"",SEPTIEMBRE!T34)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+IF(SEPTIEMBRE!A35=0,"",SEPTIEMBRE!A35)</f>
        <v>1130103-3</v>
      </c>
      <c r="B35" s="62" t="str">
        <f>+IF(SEPTIEMBRE!B35=0,"",SEPTIEMBRE!B35)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+IF(SEPTIEMBRE!S35=0,"",SEPTIEMBRE!S35)</f>
        <v>1010200</v>
      </c>
      <c r="T35" s="158" t="str">
        <f>+IF(SEPTIEMBRE!T35=0,"",SEPTIEMBRE!T35)</f>
        <v>Servicios Personales Indirectos</v>
      </c>
      <c r="U35" s="157">
        <f t="shared" ref="U35:AJ35" si="35">SUM(U36:U41)</f>
        <v>113755696</v>
      </c>
      <c r="V35" s="144">
        <f t="shared" si="35"/>
        <v>-2668000</v>
      </c>
      <c r="W35" s="144">
        <f t="shared" si="35"/>
        <v>24200000</v>
      </c>
      <c r="X35" s="152">
        <f t="shared" si="35"/>
        <v>135287696</v>
      </c>
      <c r="Y35" s="151">
        <f t="shared" si="35"/>
        <v>60369839</v>
      </c>
      <c r="Z35" s="144">
        <f t="shared" si="35"/>
        <v>4921669</v>
      </c>
      <c r="AA35" s="152">
        <f t="shared" si="35"/>
        <v>65291508</v>
      </c>
      <c r="AB35" s="151">
        <f t="shared" si="35"/>
        <v>60369839</v>
      </c>
      <c r="AC35" s="144">
        <f t="shared" si="35"/>
        <v>4921669</v>
      </c>
      <c r="AD35" s="152">
        <f t="shared" si="35"/>
        <v>65291508</v>
      </c>
      <c r="AE35" s="151">
        <f t="shared" si="35"/>
        <v>51370570</v>
      </c>
      <c r="AF35" s="144">
        <f t="shared" si="35"/>
        <v>8999269</v>
      </c>
      <c r="AG35" s="152">
        <f t="shared" si="35"/>
        <v>60369839</v>
      </c>
      <c r="AH35" s="151">
        <f t="shared" si="35"/>
        <v>69996188</v>
      </c>
      <c r="AI35" s="144">
        <f t="shared" si="35"/>
        <v>69996188</v>
      </c>
      <c r="AJ35" s="153">
        <f t="shared" si="35"/>
        <v>74917857</v>
      </c>
      <c r="AK35" s="10"/>
      <c r="AL35" s="151">
        <f>SUM(AL36:AL41)</f>
        <v>0</v>
      </c>
      <c r="AM35" s="153">
        <f>SUM(AM36:AM41)</f>
        <v>23000000</v>
      </c>
      <c r="AN35" s="10"/>
      <c r="AO35" s="428"/>
      <c r="AP35" s="547"/>
      <c r="AQ35" s="363"/>
      <c r="AR35" s="548"/>
      <c r="AS35" s="548"/>
      <c r="AT35" s="548"/>
      <c r="AU35" s="549">
        <f>AR17-AR32</f>
        <v>261989483</v>
      </c>
      <c r="AV35" s="550">
        <f>AS17-AR32</f>
        <v>-210437868</v>
      </c>
      <c r="AW35" s="550" t="s">
        <v>158</v>
      </c>
      <c r="AX35" s="551"/>
      <c r="AY35" s="550">
        <f>AY17+AY32</f>
        <v>-402849810.45000023</v>
      </c>
      <c r="AZ35" s="552">
        <f>AZ17+AY32</f>
        <v>-974645460.04999995</v>
      </c>
      <c r="BB35" s="514"/>
      <c r="BC35" s="514"/>
      <c r="BD35" s="514"/>
      <c r="BE35" s="514"/>
      <c r="BF35" s="514"/>
    </row>
    <row r="36" spans="1:70" s="467" customFormat="1" ht="15.75" thickBot="1" x14ac:dyDescent="0.25">
      <c r="A36" s="188" t="str">
        <f>+IF(SEPTIEMBRE!A36=0,"",SEPTIEMBRE!A36)</f>
        <v>1130103-3-1</v>
      </c>
      <c r="B36" s="189" t="str">
        <f>+CONCATENATE("Vigencia ",INSTRUCCIONES!$F$3)</f>
        <v>Vigencia 2014</v>
      </c>
      <c r="C36" s="456">
        <f>+ENERO!C36</f>
        <v>0</v>
      </c>
      <c r="D36" s="456">
        <f>SEPTIEMBRE!D36+OCTUBRE!P36</f>
        <v>0</v>
      </c>
      <c r="E36" s="456">
        <f>SEPTIEMBRE!E36+OCTUBRE!Q36</f>
        <v>0</v>
      </c>
      <c r="F36" s="170">
        <f>SUM(C36:E36)</f>
        <v>0</v>
      </c>
      <c r="G36" s="283">
        <f>SEPTIEMBRE!I36</f>
        <v>0</v>
      </c>
      <c r="H36" s="457">
        <v>0</v>
      </c>
      <c r="I36" s="170">
        <f>SUM(G36:H36)</f>
        <v>0</v>
      </c>
      <c r="J36" s="283">
        <f>SEPTIEMBRE!L36</f>
        <v>0</v>
      </c>
      <c r="K36" s="457">
        <v>0</v>
      </c>
      <c r="L36" s="170">
        <f>SUM(J36:K36)</f>
        <v>0</v>
      </c>
      <c r="M36" s="283">
        <f>F36-I36</f>
        <v>0</v>
      </c>
      <c r="N36" s="170">
        <f>F36-L36</f>
        <v>0</v>
      </c>
      <c r="O36" s="10"/>
      <c r="P36" s="455">
        <v>0</v>
      </c>
      <c r="Q36" s="458">
        <v>0</v>
      </c>
      <c r="R36" s="10"/>
      <c r="S36" s="155" t="str">
        <f>+IF(SEPTIEMBRE!S36=0,"",SEPTIEMBRE!S36)</f>
        <v>1010200-1</v>
      </c>
      <c r="T36" s="159" t="str">
        <f>+IF(SEPTIEMBRE!T36=0,"",SEPTIEMBRE!T36)</f>
        <v>Remuneración y Honorarios por Servicios Técnicos y Profesionales</v>
      </c>
      <c r="U36" s="29">
        <f>+ENERO!U36</f>
        <v>16339906</v>
      </c>
      <c r="V36" s="17">
        <f>SEPTIEMBRE!V36+OCTUBRE!AL36</f>
        <v>0</v>
      </c>
      <c r="W36" s="17">
        <f>SEPTIEMBRE!W36+OCTUBRE!AM36</f>
        <v>12000000</v>
      </c>
      <c r="X36" s="20">
        <f t="shared" ref="X36:X41" si="36">SUM(U36:W36)</f>
        <v>28339906</v>
      </c>
      <c r="Y36" s="21">
        <f>SEPTIEMBRE!AA36</f>
        <v>9614984</v>
      </c>
      <c r="Z36" s="457">
        <v>1201873</v>
      </c>
      <c r="AA36" s="20">
        <f t="shared" ref="AA36:AA41" si="37">SUM(Y36:Z36)</f>
        <v>10816857</v>
      </c>
      <c r="AB36" s="21">
        <f>SEPTIEMBRE!AD36</f>
        <v>9614984</v>
      </c>
      <c r="AC36" s="457">
        <v>1201873</v>
      </c>
      <c r="AD36" s="20">
        <f t="shared" ref="AD36:AD41" si="38">SUM(AB36:AC36)</f>
        <v>10816857</v>
      </c>
      <c r="AE36" s="21">
        <f>SEPTIEMBRE!AG36</f>
        <v>8413111</v>
      </c>
      <c r="AF36" s="457">
        <v>1201873</v>
      </c>
      <c r="AG36" s="20">
        <f t="shared" ref="AG36:AG41" si="39">SUM(AE36:AF36)</f>
        <v>9614984</v>
      </c>
      <c r="AH36" s="21">
        <f t="shared" ref="AH36:AH41" si="40">X36-AA36</f>
        <v>17523049</v>
      </c>
      <c r="AI36" s="17">
        <f t="shared" ref="AI36:AI41" si="41">X36-AD36</f>
        <v>17523049</v>
      </c>
      <c r="AJ36" s="18">
        <f t="shared" ref="AJ36:AJ41" si="42">X36-AG36</f>
        <v>18724922</v>
      </c>
      <c r="AK36" s="10"/>
      <c r="AL36" s="455">
        <v>0</v>
      </c>
      <c r="AM36" s="458">
        <v>12000000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+IF(SEPTIEMBRE!A37=0,"",SEPTIEMBRE!A37)</f>
        <v>1130103-3-2</v>
      </c>
      <c r="B37" s="189" t="str">
        <f>+IF(SEPTIEMBRE!B37=0,"",SEPTIEMBRE!B37)</f>
        <v>Vigencias Anteriores</v>
      </c>
      <c r="C37" s="456">
        <f>+ENERO!C37</f>
        <v>0</v>
      </c>
      <c r="D37" s="456">
        <f>SEPTIEMBRE!D37+OCTUBRE!P37</f>
        <v>0</v>
      </c>
      <c r="E37" s="456">
        <f>SEPTIEMBRE!E37+OCTUBRE!Q37</f>
        <v>0</v>
      </c>
      <c r="F37" s="170">
        <f>SUM(C37:E37)</f>
        <v>0</v>
      </c>
      <c r="G37" s="283">
        <f>SEPTIEMBRE!I37</f>
        <v>0</v>
      </c>
      <c r="H37" s="457">
        <v>0</v>
      </c>
      <c r="I37" s="170">
        <f>SUM(G37:H37)</f>
        <v>0</v>
      </c>
      <c r="J37" s="283">
        <f>SEPTIEMBRE!L37</f>
        <v>0</v>
      </c>
      <c r="K37" s="457">
        <v>0</v>
      </c>
      <c r="L37" s="170">
        <f>SUM(J37:K37)</f>
        <v>0</v>
      </c>
      <c r="M37" s="283">
        <f>F37-I37</f>
        <v>0</v>
      </c>
      <c r="N37" s="170">
        <f>F37-L37</f>
        <v>0</v>
      </c>
      <c r="P37" s="455">
        <v>0</v>
      </c>
      <c r="Q37" s="458">
        <v>0</v>
      </c>
      <c r="R37" s="10"/>
      <c r="S37" s="155" t="str">
        <f>+IF(SEPTIEMBRE!S37=0,"",SEPTIEMBRE!S37)</f>
        <v>1010200-2</v>
      </c>
      <c r="T37" s="159" t="str">
        <f>+IF(SEPTIEMBRE!T37=0,"",SEPTIEMBRE!T37)</f>
        <v>Personal Supernumerario</v>
      </c>
      <c r="U37" s="29">
        <f>+ENERO!U37</f>
        <v>10000000</v>
      </c>
      <c r="V37" s="17">
        <f>SEPTIEMBRE!V37+OCTUBRE!AL37</f>
        <v>0</v>
      </c>
      <c r="W37" s="17">
        <f>SEPTIEMBRE!W37+OCTUBRE!AM37</f>
        <v>0</v>
      </c>
      <c r="X37" s="20">
        <f t="shared" si="36"/>
        <v>10000000</v>
      </c>
      <c r="Y37" s="21">
        <f>SEPTIEMBRE!AA37</f>
        <v>0</v>
      </c>
      <c r="Z37" s="457">
        <v>0</v>
      </c>
      <c r="AA37" s="20">
        <f t="shared" si="37"/>
        <v>0</v>
      </c>
      <c r="AB37" s="21">
        <f>SEPTIEMBRE!AD37</f>
        <v>0</v>
      </c>
      <c r="AC37" s="457">
        <v>0</v>
      </c>
      <c r="AD37" s="20">
        <f t="shared" si="38"/>
        <v>0</v>
      </c>
      <c r="AE37" s="21">
        <f>SEPTIEMBRE!AG37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+IF(SEPTIEMBRE!S38=0,"",SEPTIEMBRE!S38)</f>
        <v>1010200-3</v>
      </c>
      <c r="T38" s="159" t="str">
        <f>+IF(SEPTIEMBRE!T38=0,"",SEPTIEMBRE!T38)</f>
        <v>Honorarios de la Junta Directiva</v>
      </c>
      <c r="U38" s="29">
        <f>+ENERO!U38</f>
        <v>1098240</v>
      </c>
      <c r="V38" s="17">
        <f>SEPTIEMBRE!V38+OCTUBRE!AL38</f>
        <v>0</v>
      </c>
      <c r="W38" s="17">
        <f>SEPTIEMBRE!W38+OCTUBRE!AM38</f>
        <v>2200000</v>
      </c>
      <c r="X38" s="20">
        <f t="shared" si="36"/>
        <v>3298240</v>
      </c>
      <c r="Y38" s="21">
        <f>SEPTIEMBRE!AA38</f>
        <v>1639350</v>
      </c>
      <c r="Z38" s="457">
        <v>0</v>
      </c>
      <c r="AA38" s="20">
        <f t="shared" si="37"/>
        <v>1639350</v>
      </c>
      <c r="AB38" s="21">
        <f>SEPTIEMBRE!AD38</f>
        <v>1639350</v>
      </c>
      <c r="AC38" s="457">
        <v>0</v>
      </c>
      <c r="AD38" s="20">
        <f t="shared" si="38"/>
        <v>1639350</v>
      </c>
      <c r="AE38" s="21">
        <f>SEPTIEMBRE!AG38</f>
        <v>1639350</v>
      </c>
      <c r="AF38" s="457">
        <v>0</v>
      </c>
      <c r="AG38" s="20">
        <f t="shared" si="39"/>
        <v>1639350</v>
      </c>
      <c r="AH38" s="21">
        <f t="shared" si="40"/>
        <v>1658890</v>
      </c>
      <c r="AI38" s="17">
        <f t="shared" si="41"/>
        <v>1658890</v>
      </c>
      <c r="AJ38" s="18">
        <f t="shared" si="42"/>
        <v>1658890</v>
      </c>
      <c r="AK38" s="10"/>
      <c r="AL38" s="455">
        <v>0</v>
      </c>
      <c r="AM38" s="458">
        <v>1000000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+IF(SEPTIEMBRE!S39=0,"",SEPTIEMBRE!S39)</f>
        <v>1010200-4</v>
      </c>
      <c r="T39" s="159" t="str">
        <f>+IF(SEPTIEMBRE!T39=0,"",SEPTIEMBRE!T39)</f>
        <v>Otros Honorarios (Servicios de Cooperativa)</v>
      </c>
      <c r="U39" s="29">
        <f>+ENERO!U39</f>
        <v>80796809</v>
      </c>
      <c r="V39" s="17">
        <f>SEPTIEMBRE!V39+OCTUBRE!AL39</f>
        <v>0</v>
      </c>
      <c r="W39" s="17">
        <f>SEPTIEMBRE!W39+OCTUBRE!AM39</f>
        <v>10000000</v>
      </c>
      <c r="X39" s="20">
        <f t="shared" si="36"/>
        <v>90796809</v>
      </c>
      <c r="Y39" s="21">
        <f>SEPTIEMBRE!AA39</f>
        <v>46262764</v>
      </c>
      <c r="Z39" s="457">
        <v>3719796</v>
      </c>
      <c r="AA39" s="20">
        <f t="shared" si="37"/>
        <v>49982560</v>
      </c>
      <c r="AB39" s="21">
        <f>SEPTIEMBRE!AD39</f>
        <v>46262764</v>
      </c>
      <c r="AC39" s="457">
        <v>3719796</v>
      </c>
      <c r="AD39" s="20">
        <f t="shared" si="38"/>
        <v>49982560</v>
      </c>
      <c r="AE39" s="21">
        <f>SEPTIEMBRE!AG39</f>
        <v>38465368</v>
      </c>
      <c r="AF39" s="457">
        <v>7797396</v>
      </c>
      <c r="AG39" s="20">
        <f t="shared" si="39"/>
        <v>46262764</v>
      </c>
      <c r="AH39" s="21">
        <f t="shared" si="40"/>
        <v>40814249</v>
      </c>
      <c r="AI39" s="17">
        <f t="shared" si="41"/>
        <v>40814249</v>
      </c>
      <c r="AJ39" s="18">
        <f t="shared" si="42"/>
        <v>44534045</v>
      </c>
      <c r="AK39" s="10"/>
      <c r="AL39" s="455">
        <v>0</v>
      </c>
      <c r="AM39" s="458">
        <v>10000000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+IF(SEPTIEMBRE!S40=0,"",SEPTIEMBRE!S40)</f>
        <v>1010200-6</v>
      </c>
      <c r="T40" s="159" t="str">
        <f>+IF(SEPTIEMBRE!T40=0,"",SEPTIEMBRE!T40)</f>
        <v>Certificación, Habilitación y Acreditación</v>
      </c>
      <c r="U40" s="29">
        <f>+ENERO!U40</f>
        <v>0</v>
      </c>
      <c r="V40" s="17">
        <f>SEPTIEMBRE!V40+OCTUBRE!AL40</f>
        <v>0</v>
      </c>
      <c r="W40" s="17">
        <f>SEPTIEMBRE!W40+OCTUBRE!AM40</f>
        <v>0</v>
      </c>
      <c r="X40" s="20">
        <f t="shared" si="36"/>
        <v>0</v>
      </c>
      <c r="Y40" s="21">
        <f>SEPTIEMBRE!AA40</f>
        <v>0</v>
      </c>
      <c r="Z40" s="457">
        <v>0</v>
      </c>
      <c r="AA40" s="20">
        <f t="shared" si="37"/>
        <v>0</v>
      </c>
      <c r="AB40" s="21">
        <f>SEPTIEMBRE!AD40</f>
        <v>0</v>
      </c>
      <c r="AC40" s="457">
        <v>0</v>
      </c>
      <c r="AD40" s="20">
        <f t="shared" si="38"/>
        <v>0</v>
      </c>
      <c r="AE40" s="21">
        <f>SEPTIEMBRE!AG40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+IF(SEPTIEMBRE!S41=0,"",SEPTIEMBRE!S41)</f>
        <v>1010299</v>
      </c>
      <c r="T41" s="159" t="str">
        <f>+IF(SEPTIEMBRE!T41=0,"",SEPTIEMBRE!T41)</f>
        <v>Vigencias Anteriores</v>
      </c>
      <c r="U41" s="29">
        <f>+ENERO!U41</f>
        <v>5520741</v>
      </c>
      <c r="V41" s="17">
        <f>SEPTIEMBRE!V41+OCTUBRE!AL41</f>
        <v>-2668000</v>
      </c>
      <c r="W41" s="17">
        <f>SEPTIEMBRE!W41+OCTUBRE!AM41</f>
        <v>0</v>
      </c>
      <c r="X41" s="20">
        <f t="shared" si="36"/>
        <v>2852741</v>
      </c>
      <c r="Y41" s="21">
        <f>SEPTIEMBRE!AA41</f>
        <v>2852741</v>
      </c>
      <c r="Z41" s="457">
        <v>0</v>
      </c>
      <c r="AA41" s="20">
        <f t="shared" si="37"/>
        <v>2852741</v>
      </c>
      <c r="AB41" s="21">
        <f>SEPTIEMBRE!AD41</f>
        <v>2852741</v>
      </c>
      <c r="AC41" s="457">
        <v>0</v>
      </c>
      <c r="AD41" s="20">
        <f t="shared" si="38"/>
        <v>2852741</v>
      </c>
      <c r="AE41" s="21">
        <f>SEPTIEMBRE!AG41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+IF(SEPTIEMBRE!A42=0,"",SEPTIEMBRE!A42)</f>
        <v>1130106</v>
      </c>
      <c r="B42" s="45" t="str">
        <f>+IF(SEPTIEMBRE!B42=0,"",SEPTIEMBRE!B42)</f>
        <v>SALUD PUBLICA - PLAN DE INTERVENCIONES COLECTIVAS</v>
      </c>
      <c r="C42" s="53">
        <f t="shared" ref="C42:N42" si="43">SUM(C43:C44)</f>
        <v>125397398</v>
      </c>
      <c r="D42" s="53">
        <f t="shared" si="43"/>
        <v>0</v>
      </c>
      <c r="E42" s="53">
        <f t="shared" si="43"/>
        <v>50000000</v>
      </c>
      <c r="F42" s="54">
        <f t="shared" si="43"/>
        <v>175397398</v>
      </c>
      <c r="G42" s="52">
        <f t="shared" si="43"/>
        <v>81143316</v>
      </c>
      <c r="H42" s="53">
        <f t="shared" si="43"/>
        <v>30187153</v>
      </c>
      <c r="I42" s="54">
        <f t="shared" si="43"/>
        <v>111330469</v>
      </c>
      <c r="J42" s="52">
        <f t="shared" si="43"/>
        <v>53022786</v>
      </c>
      <c r="K42" s="53">
        <f t="shared" si="43"/>
        <v>10919003</v>
      </c>
      <c r="L42" s="54">
        <f t="shared" si="43"/>
        <v>63941789</v>
      </c>
      <c r="M42" s="52">
        <f t="shared" si="43"/>
        <v>64066929</v>
      </c>
      <c r="N42" s="54">
        <f t="shared" si="43"/>
        <v>111455609</v>
      </c>
      <c r="P42" s="52">
        <f>SUM(P43:P44)</f>
        <v>0</v>
      </c>
      <c r="Q42" s="54">
        <f>SUM(Q43:Q44)</f>
        <v>50000000</v>
      </c>
      <c r="R42" s="10"/>
      <c r="S42" s="448" t="str">
        <f>+IF(SEPTIEMBRE!S42=0,"",SEPTIEMBRE!S42)</f>
        <v/>
      </c>
      <c r="T42" s="649" t="str">
        <f>+IF(SEPTIEMBRE!T42=0,"",SEPTIEMBRE!T42)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+IF(SEPTIEMBRE!A43=0,"",SEPTIEMBRE!A43)</f>
        <v>1130106-1</v>
      </c>
      <c r="B43" s="189" t="str">
        <f>+CONCATENATE("Vigencia ",INSTRUCCIONES!$F$3)</f>
        <v>Vigencia 2014</v>
      </c>
      <c r="C43" s="456">
        <f>+ENERO!C43</f>
        <v>125397398</v>
      </c>
      <c r="D43" s="456">
        <f>SEPTIEMBRE!D43+OCTUBRE!P43</f>
        <v>0</v>
      </c>
      <c r="E43" s="456">
        <f>SEPTIEMBRE!E43+OCTUBRE!Q43</f>
        <v>50000000</v>
      </c>
      <c r="F43" s="170">
        <f>SUM(C43:E43)</f>
        <v>175397398</v>
      </c>
      <c r="G43" s="283">
        <f>SEPTIEMBRE!I43</f>
        <v>81143316</v>
      </c>
      <c r="H43" s="457">
        <v>30187153</v>
      </c>
      <c r="I43" s="170">
        <f>SUM(G43:H43)</f>
        <v>111330469</v>
      </c>
      <c r="J43" s="283">
        <f>SEPTIEMBRE!L43</f>
        <v>53022786</v>
      </c>
      <c r="K43" s="457">
        <v>10919003</v>
      </c>
      <c r="L43" s="170">
        <f>SUM(J43:K43)</f>
        <v>63941789</v>
      </c>
      <c r="M43" s="283">
        <f>F43-I43</f>
        <v>64066929</v>
      </c>
      <c r="N43" s="170">
        <f>F43-L43</f>
        <v>111455609</v>
      </c>
      <c r="O43" s="467"/>
      <c r="P43" s="455">
        <v>0</v>
      </c>
      <c r="Q43" s="458">
        <v>50000000</v>
      </c>
      <c r="R43" s="10"/>
      <c r="S43" s="34">
        <f>+IF(SEPTIEMBRE!S43=0,"",SEPTIEMBRE!S43)</f>
        <v>1010300</v>
      </c>
      <c r="T43" s="158" t="str">
        <f>+IF(SEPTIEMBRE!T43=0,"",SEPTIEMBRE!T43)</f>
        <v>Contribuciones Inherentes nómina al Sector Privado</v>
      </c>
      <c r="U43" s="157">
        <f t="shared" ref="U43:AJ43" si="44">U44+U49+U55</f>
        <v>119647956</v>
      </c>
      <c r="V43" s="144">
        <f t="shared" si="44"/>
        <v>487148</v>
      </c>
      <c r="W43" s="144">
        <f t="shared" si="44"/>
        <v>0</v>
      </c>
      <c r="X43" s="152">
        <f t="shared" si="44"/>
        <v>120135104</v>
      </c>
      <c r="Y43" s="151">
        <f t="shared" si="44"/>
        <v>80531081</v>
      </c>
      <c r="Z43" s="144">
        <f t="shared" si="44"/>
        <v>8416920</v>
      </c>
      <c r="AA43" s="152">
        <f t="shared" si="44"/>
        <v>88948001</v>
      </c>
      <c r="AB43" s="151">
        <f t="shared" si="44"/>
        <v>80531081</v>
      </c>
      <c r="AC43" s="144">
        <f t="shared" si="44"/>
        <v>8416920</v>
      </c>
      <c r="AD43" s="152">
        <f t="shared" si="44"/>
        <v>88948001</v>
      </c>
      <c r="AE43" s="151">
        <f t="shared" si="44"/>
        <v>77494014</v>
      </c>
      <c r="AF43" s="144">
        <f t="shared" si="44"/>
        <v>7165867</v>
      </c>
      <c r="AG43" s="152">
        <f t="shared" si="44"/>
        <v>84659881</v>
      </c>
      <c r="AH43" s="151">
        <f t="shared" si="44"/>
        <v>31187103</v>
      </c>
      <c r="AI43" s="144">
        <f t="shared" si="44"/>
        <v>31187103</v>
      </c>
      <c r="AJ43" s="153">
        <f t="shared" si="44"/>
        <v>35475223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+IF(SEPTIEMBRE!A44=0,"",SEPTIEMBRE!A44)</f>
        <v>1130106-2</v>
      </c>
      <c r="B44" s="189" t="str">
        <f>+IF(SEPTIEMBRE!B44=0,"",SEPTIEMBRE!B44)</f>
        <v>Vigencias Anteriores</v>
      </c>
      <c r="C44" s="456">
        <f>+ENERO!C44</f>
        <v>0</v>
      </c>
      <c r="D44" s="456">
        <f>SEPTIEMBRE!D44+OCTUBRE!P44</f>
        <v>0</v>
      </c>
      <c r="E44" s="456">
        <f>SEPTIEMBRE!E44+OCTUBRE!Q44</f>
        <v>0</v>
      </c>
      <c r="F44" s="170">
        <f>SUM(C44:E44)</f>
        <v>0</v>
      </c>
      <c r="G44" s="283">
        <f>SEPTIEMBRE!I44</f>
        <v>0</v>
      </c>
      <c r="H44" s="457">
        <v>0</v>
      </c>
      <c r="I44" s="170">
        <f>SUM(G44:H44)</f>
        <v>0</v>
      </c>
      <c r="J44" s="283">
        <f>SEPTIEMBRE!L44</f>
        <v>0</v>
      </c>
      <c r="K44" s="457">
        <v>0</v>
      </c>
      <c r="L44" s="170">
        <f>SUM(J44:K44)</f>
        <v>0</v>
      </c>
      <c r="M44" s="283">
        <f>F44-I44</f>
        <v>0</v>
      </c>
      <c r="N44" s="170">
        <f>F44-L44</f>
        <v>0</v>
      </c>
      <c r="O44" s="467"/>
      <c r="P44" s="455">
        <v>0</v>
      </c>
      <c r="Q44" s="458">
        <v>0</v>
      </c>
      <c r="R44" s="10"/>
      <c r="S44" s="155">
        <f>+IF(SEPTIEMBRE!S44=0,"",SEPTIEMBRE!S44)</f>
        <v>1010301</v>
      </c>
      <c r="T44" s="159" t="str">
        <f>+IF(SEPTIEMBRE!T44=0,"",SEPTIEMBRE!T44)</f>
        <v>Contribuciones - Sin Situación de Fondos</v>
      </c>
      <c r="U44" s="29">
        <f t="shared" ref="U44:AJ44" si="45">SUM(U45:U48)</f>
        <v>56401928</v>
      </c>
      <c r="V44" s="17">
        <f t="shared" si="45"/>
        <v>0</v>
      </c>
      <c r="W44" s="17">
        <f t="shared" si="45"/>
        <v>0</v>
      </c>
      <c r="X44" s="20">
        <f t="shared" si="45"/>
        <v>56401928</v>
      </c>
      <c r="Y44" s="21">
        <f t="shared" si="45"/>
        <v>21696963</v>
      </c>
      <c r="Z44" s="169">
        <f t="shared" si="45"/>
        <v>7289920</v>
      </c>
      <c r="AA44" s="20">
        <f t="shared" si="45"/>
        <v>28986883</v>
      </c>
      <c r="AB44" s="21">
        <f t="shared" si="45"/>
        <v>21696963</v>
      </c>
      <c r="AC44" s="169">
        <f t="shared" si="45"/>
        <v>7289920</v>
      </c>
      <c r="AD44" s="20">
        <f t="shared" si="45"/>
        <v>28986883</v>
      </c>
      <c r="AE44" s="21">
        <f t="shared" si="45"/>
        <v>21696963</v>
      </c>
      <c r="AF44" s="169">
        <f t="shared" si="45"/>
        <v>4128800</v>
      </c>
      <c r="AG44" s="20">
        <f t="shared" si="45"/>
        <v>25825763</v>
      </c>
      <c r="AH44" s="21">
        <f t="shared" si="45"/>
        <v>27415045</v>
      </c>
      <c r="AI44" s="17">
        <f t="shared" si="45"/>
        <v>27415045</v>
      </c>
      <c r="AJ44" s="18">
        <f t="shared" si="45"/>
        <v>30576165</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+IF(SEPTIEMBRE!A45=0,"",SEPTIEMBRE!A45)</f>
        <v>1130107</v>
      </c>
      <c r="B45" s="45" t="str">
        <f>+IF(SEPTIEMBRE!B45=0,"",SEPTIEMBRE!B45)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+IF(SEPTIEMBRE!S45=0,"",SEPTIEMBRE!S45)</f>
        <v>1010301-1</v>
      </c>
      <c r="T45" s="55" t="str">
        <f>+IF(SEPTIEMBRE!T45=0,"",SEPTIEMBRE!T45)</f>
        <v>Aportes a E.P.S.- Sin sit. Fondos</v>
      </c>
      <c r="U45" s="29">
        <f>+ENERO!U45</f>
        <v>24712429</v>
      </c>
      <c r="V45" s="17">
        <f>SEPTIEMBRE!V45+OCTUBRE!AL45</f>
        <v>0</v>
      </c>
      <c r="W45" s="17">
        <f>SEPTIEMBRE!W45+OCTUBRE!AM45</f>
        <v>0</v>
      </c>
      <c r="X45" s="20">
        <f>SUM(U45:W45)</f>
        <v>24712429</v>
      </c>
      <c r="Y45" s="21">
        <f>SEPTIEMBRE!AA45</f>
        <v>12453163</v>
      </c>
      <c r="Z45" s="457">
        <v>2466000</v>
      </c>
      <c r="AA45" s="20">
        <f>SUM(Y45:Z45)</f>
        <v>14919163</v>
      </c>
      <c r="AB45" s="21">
        <f>SEPTIEMBRE!AD45</f>
        <v>12453163</v>
      </c>
      <c r="AC45" s="457">
        <v>2466000</v>
      </c>
      <c r="AD45" s="20">
        <f>SUM(AB45:AC45)</f>
        <v>14919163</v>
      </c>
      <c r="AE45" s="21">
        <f>SEPTIEMBRE!AG45</f>
        <v>12453163</v>
      </c>
      <c r="AF45" s="457">
        <v>1155400</v>
      </c>
      <c r="AG45" s="20">
        <f>SUM(AE45:AF45)</f>
        <v>13608563</v>
      </c>
      <c r="AH45" s="21">
        <f>X45-AA45</f>
        <v>9793266</v>
      </c>
      <c r="AI45" s="17">
        <f>X45-AD45</f>
        <v>9793266</v>
      </c>
      <c r="AJ45" s="18">
        <f>X45-AG45</f>
        <v>11103866</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+IF(SEPTIEMBRE!A46=0,"",SEPTIEMBRE!A46)</f>
        <v>1130107-1</v>
      </c>
      <c r="B46" s="189" t="str">
        <f>+CONCATENATE("Vigencia ",INSTRUCCIONES!$F$3)</f>
        <v>Vigencia 2014</v>
      </c>
      <c r="C46" s="456">
        <f>+ENERO!C46</f>
        <v>0</v>
      </c>
      <c r="D46" s="456">
        <f>SEPTIEMBRE!D46+OCTUBRE!P46</f>
        <v>0</v>
      </c>
      <c r="E46" s="456">
        <f>SEPTIEMBRE!E46+OCTUBRE!Q46</f>
        <v>0</v>
      </c>
      <c r="F46" s="170">
        <f>SUM(C46:E46)</f>
        <v>0</v>
      </c>
      <c r="G46" s="283">
        <f>SEPTIEMBRE!I46</f>
        <v>0</v>
      </c>
      <c r="H46" s="457">
        <v>0</v>
      </c>
      <c r="I46" s="170">
        <f>SUM(G46:H46)</f>
        <v>0</v>
      </c>
      <c r="J46" s="283">
        <f>SEPTIEMBRE!L46</f>
        <v>0</v>
      </c>
      <c r="K46" s="457">
        <v>0</v>
      </c>
      <c r="L46" s="170">
        <f>SUM(J46:K46)</f>
        <v>0</v>
      </c>
      <c r="M46" s="283">
        <f>F46-I46</f>
        <v>0</v>
      </c>
      <c r="N46" s="170">
        <f>F46-L46</f>
        <v>0</v>
      </c>
      <c r="O46" s="467"/>
      <c r="P46" s="455">
        <v>0</v>
      </c>
      <c r="Q46" s="458">
        <v>0</v>
      </c>
      <c r="R46" s="10"/>
      <c r="S46" s="156" t="str">
        <f>+IF(SEPTIEMBRE!S46=0,"",SEPTIEMBRE!S46)</f>
        <v>1010301-2</v>
      </c>
      <c r="T46" s="55" t="str">
        <f>+IF(SEPTIEMBRE!T46=0,"",SEPTIEMBRE!T46)</f>
        <v>Aportes Fondos Pensionales - Sin Sit. Fondos</v>
      </c>
      <c r="U46" s="29">
        <f>+ENERO!U46</f>
        <v>26693987</v>
      </c>
      <c r="V46" s="17">
        <f>SEPTIEMBRE!V46+OCTUBRE!AL46</f>
        <v>0</v>
      </c>
      <c r="W46" s="17">
        <f>SEPTIEMBRE!W46+OCTUBRE!AM46</f>
        <v>0</v>
      </c>
      <c r="X46" s="20">
        <f>SUM(U46:W46)</f>
        <v>26693987</v>
      </c>
      <c r="Y46" s="21">
        <f>SEPTIEMBRE!AA46</f>
        <v>9243800</v>
      </c>
      <c r="Z46" s="457">
        <v>4823920</v>
      </c>
      <c r="AA46" s="20">
        <f>SUM(Y46:Z46)</f>
        <v>14067720</v>
      </c>
      <c r="AB46" s="21">
        <f>SEPTIEMBRE!AD46</f>
        <v>9243800</v>
      </c>
      <c r="AC46" s="457">
        <v>4823920</v>
      </c>
      <c r="AD46" s="20">
        <f>SUM(AB46:AC46)</f>
        <v>14067720</v>
      </c>
      <c r="AE46" s="21">
        <f>SEPTIEMBRE!AG46</f>
        <v>9243800</v>
      </c>
      <c r="AF46" s="457">
        <v>2973400</v>
      </c>
      <c r="AG46" s="20">
        <f>SUM(AE46:AF46)</f>
        <v>12217200</v>
      </c>
      <c r="AH46" s="21">
        <f>X46-AA46</f>
        <v>12626267</v>
      </c>
      <c r="AI46" s="17">
        <f>X46-AD46</f>
        <v>12626267</v>
      </c>
      <c r="AJ46" s="18">
        <f>X46-AG46</f>
        <v>14476787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+IF(SEPTIEMBRE!A47=0,"",SEPTIEMBRE!A47)</f>
        <v>1130107-2</v>
      </c>
      <c r="B47" s="189" t="str">
        <f>+IF(SEPTIEMBRE!B47=0,"",SEPTIEMBRE!B47)</f>
        <v>Vigencias Anteriores</v>
      </c>
      <c r="C47" s="456">
        <f>+ENERO!C47</f>
        <v>0</v>
      </c>
      <c r="D47" s="456">
        <f>SEPTIEMBRE!D47+OCTUBRE!P47</f>
        <v>0</v>
      </c>
      <c r="E47" s="456">
        <f>SEPTIEMBRE!E47+OCTUBRE!Q47</f>
        <v>0</v>
      </c>
      <c r="F47" s="170">
        <f>SUM(C47:E47)</f>
        <v>0</v>
      </c>
      <c r="G47" s="283">
        <f>SEPTIEMBRE!I47</f>
        <v>0</v>
      </c>
      <c r="H47" s="457">
        <v>0</v>
      </c>
      <c r="I47" s="170">
        <f>SUM(G47:H47)</f>
        <v>0</v>
      </c>
      <c r="J47" s="283">
        <f>SEPTIEMBRE!L47</f>
        <v>0</v>
      </c>
      <c r="K47" s="457">
        <v>0</v>
      </c>
      <c r="L47" s="170">
        <f>SUM(J47:K47)</f>
        <v>0</v>
      </c>
      <c r="M47" s="283">
        <f>F47-I47</f>
        <v>0</v>
      </c>
      <c r="N47" s="170">
        <f>F47-L47</f>
        <v>0</v>
      </c>
      <c r="O47" s="467"/>
      <c r="P47" s="455">
        <v>0</v>
      </c>
      <c r="Q47" s="458">
        <v>0</v>
      </c>
      <c r="R47" s="10"/>
      <c r="S47" s="156" t="str">
        <f>+IF(SEPTIEMBRE!S47=0,"",SEPTIEMBRE!S47)</f>
        <v>1010301-3</v>
      </c>
      <c r="T47" s="55" t="str">
        <f>+IF(SEPTIEMBRE!T47=0,"",SEPTIEMBRE!T47)</f>
        <v xml:space="preserve">Aportes a Fondos de Cesantia - Sin Sit. de Fondos </v>
      </c>
      <c r="U47" s="29">
        <f>+ENERO!U47</f>
        <v>4995512</v>
      </c>
      <c r="V47" s="17">
        <f>SEPTIEMBRE!V47+OCTUBRE!AL47</f>
        <v>0</v>
      </c>
      <c r="W47" s="17">
        <f>SEPTIEMBRE!W47+OCTUBRE!AM47</f>
        <v>0</v>
      </c>
      <c r="X47" s="20">
        <f>SUM(U47:W47)</f>
        <v>4995512</v>
      </c>
      <c r="Y47" s="21">
        <f>SEPTIEMBRE!AA47</f>
        <v>0</v>
      </c>
      <c r="Z47" s="457">
        <v>0</v>
      </c>
      <c r="AA47" s="20">
        <f>SUM(Y47:Z47)</f>
        <v>0</v>
      </c>
      <c r="AB47" s="21">
        <f>SEPTIEMBRE!AD47</f>
        <v>0</v>
      </c>
      <c r="AC47" s="457">
        <v>0</v>
      </c>
      <c r="AD47" s="20">
        <f>SUM(AB47:AC47)</f>
        <v>0</v>
      </c>
      <c r="AE47" s="21">
        <f>SEPTIEMBRE!AG47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+IF(SEPTIEMBRE!A48=0,"",SEPTIEMBRE!A48)</f>
        <v>1130108</v>
      </c>
      <c r="B48" s="45" t="str">
        <f>+IF(SEPTIEMBRE!B48=0,"",SEPTIEMBRE!B48)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+IF(SEPTIEMBRE!S48=0,"",SEPTIEMBRE!S48)</f>
        <v>1010301-4</v>
      </c>
      <c r="T48" s="55" t="str">
        <f>+IF(SEPTIEMBRE!T48=0,"",SEPTIEMBRE!T48)</f>
        <v xml:space="preserve">Aporte a ARL. - Sin Sit. de Fondos </v>
      </c>
      <c r="U48" s="29">
        <f>+ENERO!U48</f>
        <v>0</v>
      </c>
      <c r="V48" s="17">
        <f>SEPTIEMBRE!V48+OCTUBRE!AL48</f>
        <v>0</v>
      </c>
      <c r="W48" s="17">
        <f>SEPTIEMBRE!W48+OCTUBRE!AM48</f>
        <v>0</v>
      </c>
      <c r="X48" s="20">
        <f>SUM(U48:W48)</f>
        <v>0</v>
      </c>
      <c r="Y48" s="21">
        <f>SEPTIEMBRE!AA48</f>
        <v>0</v>
      </c>
      <c r="Z48" s="457">
        <v>0</v>
      </c>
      <c r="AA48" s="20">
        <f>SUM(Y48:Z48)</f>
        <v>0</v>
      </c>
      <c r="AB48" s="21">
        <f>SEPTIEMBRE!AD48</f>
        <v>0</v>
      </c>
      <c r="AC48" s="457">
        <v>0</v>
      </c>
      <c r="AD48" s="20">
        <f>SUM(AB48:AC48)</f>
        <v>0</v>
      </c>
      <c r="AE48" s="21">
        <f>SEPTIEMBRE!AG48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+IF(SEPTIEMBRE!A49=0,"",SEPTIEMBRE!A49)</f>
        <v>1130108-1</v>
      </c>
      <c r="B49" s="189" t="str">
        <f>+CONCATENATE("Vigencia ",INSTRUCCIONES!$F$3)</f>
        <v>Vigencia 2014</v>
      </c>
      <c r="C49" s="456">
        <f>+ENERO!C49</f>
        <v>0</v>
      </c>
      <c r="D49" s="456">
        <f>SEPTIEMBRE!D49+OCTUBRE!P49</f>
        <v>0</v>
      </c>
      <c r="E49" s="456">
        <f>SEPTIEMBRE!E49+OCTUBRE!Q49</f>
        <v>0</v>
      </c>
      <c r="F49" s="170">
        <f>SUM(C49:E49)</f>
        <v>0</v>
      </c>
      <c r="G49" s="283">
        <f>SEPTIEMBRE!I49</f>
        <v>0</v>
      </c>
      <c r="H49" s="457">
        <v>0</v>
      </c>
      <c r="I49" s="170">
        <f>SUM(G49:H49)</f>
        <v>0</v>
      </c>
      <c r="J49" s="283">
        <f>SEPTIEMBRE!L49</f>
        <v>0</v>
      </c>
      <c r="K49" s="457">
        <v>0</v>
      </c>
      <c r="L49" s="170">
        <f>SUM(J49:K49)</f>
        <v>0</v>
      </c>
      <c r="M49" s="283">
        <f>F49-I49</f>
        <v>0</v>
      </c>
      <c r="N49" s="170">
        <f>F49-L49</f>
        <v>0</v>
      </c>
      <c r="O49" s="467"/>
      <c r="P49" s="455">
        <v>0</v>
      </c>
      <c r="Q49" s="458">
        <v>0</v>
      </c>
      <c r="R49" s="10"/>
      <c r="S49" s="155">
        <f>+IF(SEPTIEMBRE!S49=0,"",SEPTIEMBRE!S49)</f>
        <v>1010302</v>
      </c>
      <c r="T49" s="159" t="str">
        <f>+IF(SEPTIEMBRE!T49=0,"",SEPTIEMBRE!T49)</f>
        <v>Contribuciones - Otros</v>
      </c>
      <c r="U49" s="29">
        <f t="shared" ref="U49:AJ49" si="48">SUM(U50:U54)</f>
        <v>63246028</v>
      </c>
      <c r="V49" s="17">
        <f t="shared" si="48"/>
        <v>0</v>
      </c>
      <c r="W49" s="17">
        <f t="shared" si="48"/>
        <v>0</v>
      </c>
      <c r="X49" s="20">
        <f t="shared" si="48"/>
        <v>63246028</v>
      </c>
      <c r="Y49" s="21">
        <f t="shared" si="48"/>
        <v>58346970</v>
      </c>
      <c r="Z49" s="169">
        <f t="shared" si="48"/>
        <v>1127000</v>
      </c>
      <c r="AA49" s="20">
        <f t="shared" si="48"/>
        <v>59473970</v>
      </c>
      <c r="AB49" s="21">
        <f t="shared" si="48"/>
        <v>58346970</v>
      </c>
      <c r="AC49" s="169">
        <f t="shared" si="48"/>
        <v>1127000</v>
      </c>
      <c r="AD49" s="20">
        <f t="shared" si="48"/>
        <v>59473970</v>
      </c>
      <c r="AE49" s="21">
        <f t="shared" si="48"/>
        <v>55309903</v>
      </c>
      <c r="AF49" s="169">
        <f t="shared" si="48"/>
        <v>3037067</v>
      </c>
      <c r="AG49" s="20">
        <f t="shared" si="48"/>
        <v>58346970</v>
      </c>
      <c r="AH49" s="21">
        <f t="shared" si="48"/>
        <v>3772058</v>
      </c>
      <c r="AI49" s="17">
        <f t="shared" si="48"/>
        <v>3772058</v>
      </c>
      <c r="AJ49" s="18">
        <f t="shared" si="48"/>
        <v>4899058</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+IF(SEPTIEMBRE!A50=0,"",SEPTIEMBRE!A50)</f>
        <v>1130108-2</v>
      </c>
      <c r="B50" s="189" t="str">
        <f>+IF(SEPTIEMBRE!B50=0,"",SEPTIEMBRE!B50)</f>
        <v>Vigencias Anteriores</v>
      </c>
      <c r="C50" s="456">
        <f>+ENERO!C50</f>
        <v>0</v>
      </c>
      <c r="D50" s="456">
        <f>SEPTIEMBRE!D50+OCTUBRE!P50</f>
        <v>0</v>
      </c>
      <c r="E50" s="456">
        <f>SEPTIEMBRE!E50+OCTUBRE!Q50</f>
        <v>0</v>
      </c>
      <c r="F50" s="170">
        <f>SUM(C50:E50)</f>
        <v>0</v>
      </c>
      <c r="G50" s="283">
        <f>SEPTIEMBRE!I50</f>
        <v>0</v>
      </c>
      <c r="H50" s="457">
        <v>0</v>
      </c>
      <c r="I50" s="170">
        <f>SUM(G50:H50)</f>
        <v>0</v>
      </c>
      <c r="J50" s="283">
        <f>SEPTIEMBRE!L50</f>
        <v>0</v>
      </c>
      <c r="K50" s="457">
        <v>0</v>
      </c>
      <c r="L50" s="170">
        <f>SUM(J50:K50)</f>
        <v>0</v>
      </c>
      <c r="M50" s="283">
        <f>F50-I50</f>
        <v>0</v>
      </c>
      <c r="N50" s="170">
        <f>F50-L50</f>
        <v>0</v>
      </c>
      <c r="O50" s="467"/>
      <c r="P50" s="455">
        <v>0</v>
      </c>
      <c r="Q50" s="458">
        <v>0</v>
      </c>
      <c r="R50" s="10"/>
      <c r="S50" s="156" t="str">
        <f>+IF(SEPTIEMBRE!S50=0,"",SEPTIEMBRE!S50)</f>
        <v>1010302-1</v>
      </c>
      <c r="T50" s="55" t="str">
        <f>+IF(SEPTIEMBRE!T50=0,"",SEPTIEMBRE!T50)</f>
        <v>Aportes a E.P.S.- Con sit. Fondos</v>
      </c>
      <c r="U50" s="29">
        <f>+ENERO!U50</f>
        <v>4719263</v>
      </c>
      <c r="V50" s="17">
        <f>SEPTIEMBRE!V50+OCTUBRE!AL50</f>
        <v>0</v>
      </c>
      <c r="W50" s="17">
        <f>SEPTIEMBRE!W50+OCTUBRE!AM50</f>
        <v>0</v>
      </c>
      <c r="X50" s="20">
        <f t="shared" ref="X50:X55" si="49">SUM(U50:W50)</f>
        <v>4719263</v>
      </c>
      <c r="Y50" s="21">
        <f>SEPTIEMBRE!AA50</f>
        <v>4318160</v>
      </c>
      <c r="Z50" s="457">
        <v>0</v>
      </c>
      <c r="AA50" s="20">
        <f t="shared" ref="AA50:AA55" si="50">SUM(Y50:Z50)</f>
        <v>4318160</v>
      </c>
      <c r="AB50" s="21">
        <f>SEPTIEMBRE!AD50</f>
        <v>4318160</v>
      </c>
      <c r="AC50" s="457">
        <v>0</v>
      </c>
      <c r="AD50" s="20">
        <f t="shared" ref="AD50:AD55" si="51">SUM(AB50:AC50)</f>
        <v>4318160</v>
      </c>
      <c r="AE50" s="21">
        <f>SEPTIEMBRE!AG50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+IF(SEPTIEMBRE!A51=0,"",SEPTIEMBRE!A51)</f>
        <v>1130109</v>
      </c>
      <c r="B51" s="45" t="str">
        <f>+IF(SEPTIEMBRE!B51=0,"",SEPTIEMBRE!B51)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+IF(SEPTIEMBRE!S51=0,"",SEPTIEMBRE!S51)</f>
        <v>1010302-2</v>
      </c>
      <c r="T51" s="55" t="str">
        <f>+IF(SEPTIEMBRE!T51=0,"",SEPTIEMBRE!T51)</f>
        <v>Aportes Fondos Pensionales - Con Sit. Fondos</v>
      </c>
      <c r="U51" s="29">
        <f>+ENERO!U51</f>
        <v>14856625</v>
      </c>
      <c r="V51" s="17">
        <f>SEPTIEMBRE!V51+OCTUBRE!AL51</f>
        <v>0</v>
      </c>
      <c r="W51" s="17">
        <f>SEPTIEMBRE!W51+OCTUBRE!AM51</f>
        <v>0</v>
      </c>
      <c r="X51" s="20">
        <f t="shared" si="49"/>
        <v>14856625</v>
      </c>
      <c r="Y51" s="21">
        <f>SEPTIEMBRE!AA51</f>
        <v>14765076</v>
      </c>
      <c r="Z51" s="457">
        <v>0</v>
      </c>
      <c r="AA51" s="20">
        <f t="shared" si="50"/>
        <v>14765076</v>
      </c>
      <c r="AB51" s="21">
        <f>SEPTIEMBRE!AD51</f>
        <v>14765076</v>
      </c>
      <c r="AC51" s="457">
        <v>0</v>
      </c>
      <c r="AD51" s="20">
        <f t="shared" si="51"/>
        <v>14765076</v>
      </c>
      <c r="AE51" s="21">
        <f>SEPTIEMBRE!AG51</f>
        <v>13149707</v>
      </c>
      <c r="AF51" s="457">
        <v>1615369</v>
      </c>
      <c r="AG51" s="20">
        <f t="shared" si="52"/>
        <v>14765076</v>
      </c>
      <c r="AH51" s="21">
        <f t="shared" si="53"/>
        <v>91549</v>
      </c>
      <c r="AI51" s="17">
        <f t="shared" si="54"/>
        <v>91549</v>
      </c>
      <c r="AJ51" s="18">
        <f t="shared" si="55"/>
        <v>91549</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+IF(SEPTIEMBRE!A52=0,"",SEPTIEMBRE!A52)</f>
        <v>1130109-1</v>
      </c>
      <c r="B52" s="189" t="str">
        <f>+CONCATENATE("Vigencia ",INSTRUCCIONES!$F$3)</f>
        <v>Vigencia 2014</v>
      </c>
      <c r="C52" s="456">
        <f>+ENERO!C52</f>
        <v>0</v>
      </c>
      <c r="D52" s="456">
        <f>SEPTIEMBRE!D52+OCTUBRE!P52</f>
        <v>0</v>
      </c>
      <c r="E52" s="456">
        <f>SEPTIEMBRE!E52+OCTUBRE!Q52</f>
        <v>0</v>
      </c>
      <c r="F52" s="170">
        <f>SUM(C52:E52)</f>
        <v>0</v>
      </c>
      <c r="G52" s="283">
        <f>SEPTIEMBRE!I52</f>
        <v>0</v>
      </c>
      <c r="H52" s="457">
        <v>0</v>
      </c>
      <c r="I52" s="170">
        <f>SUM(G52:H52)</f>
        <v>0</v>
      </c>
      <c r="J52" s="283">
        <f>SEPTIEMBRE!L52</f>
        <v>0</v>
      </c>
      <c r="K52" s="457">
        <v>0</v>
      </c>
      <c r="L52" s="170">
        <f>SUM(J52:K52)</f>
        <v>0</v>
      </c>
      <c r="M52" s="283">
        <f>F52-I52</f>
        <v>0</v>
      </c>
      <c r="N52" s="170">
        <f>F52-L52</f>
        <v>0</v>
      </c>
      <c r="O52" s="467"/>
      <c r="P52" s="455">
        <v>0</v>
      </c>
      <c r="Q52" s="458">
        <v>0</v>
      </c>
      <c r="R52" s="10"/>
      <c r="S52" s="156" t="str">
        <f>+IF(SEPTIEMBRE!S52=0,"",SEPTIEMBRE!S52)</f>
        <v>1010302-3</v>
      </c>
      <c r="T52" s="55" t="str">
        <f>+IF(SEPTIEMBRE!T52=0,"",SEPTIEMBRE!T52)</f>
        <v xml:space="preserve">Aportes a Fondos de Cesantia - Con Sit. de Fondos </v>
      </c>
      <c r="U52" s="29">
        <f>+ENERO!U52</f>
        <v>26296821</v>
      </c>
      <c r="V52" s="17">
        <f>SEPTIEMBRE!V52+OCTUBRE!AL52</f>
        <v>0</v>
      </c>
      <c r="W52" s="17">
        <f>SEPTIEMBRE!W52+OCTUBRE!AM52</f>
        <v>0</v>
      </c>
      <c r="X52" s="20">
        <f t="shared" si="49"/>
        <v>26296821</v>
      </c>
      <c r="Y52" s="21">
        <f>SEPTIEMBRE!AA52</f>
        <v>25977938</v>
      </c>
      <c r="Z52" s="457">
        <v>0</v>
      </c>
      <c r="AA52" s="20">
        <f t="shared" si="50"/>
        <v>25977938</v>
      </c>
      <c r="AB52" s="21">
        <f>SEPTIEMBRE!AD52</f>
        <v>25977938</v>
      </c>
      <c r="AC52" s="457">
        <v>0</v>
      </c>
      <c r="AD52" s="20">
        <f t="shared" si="51"/>
        <v>25977938</v>
      </c>
      <c r="AE52" s="21">
        <f>SEPTIEMBRE!AG52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+IF(SEPTIEMBRE!A53=0,"",SEPTIEMBRE!A53)</f>
        <v>1130109-2</v>
      </c>
      <c r="B53" s="189" t="str">
        <f>+IF(SEPTIEMBRE!B53=0,"",SEPTIEMBRE!B53)</f>
        <v>Vigencias Anteriores</v>
      </c>
      <c r="C53" s="456">
        <f>+ENERO!C53</f>
        <v>0</v>
      </c>
      <c r="D53" s="456">
        <f>SEPTIEMBRE!D53+OCTUBRE!P53</f>
        <v>0</v>
      </c>
      <c r="E53" s="456">
        <f>SEPTIEMBRE!E53+OCTUBRE!Q53</f>
        <v>0</v>
      </c>
      <c r="F53" s="170">
        <f>SUM(C53:E53)</f>
        <v>0</v>
      </c>
      <c r="G53" s="283">
        <f>SEPTIEMBRE!I53</f>
        <v>0</v>
      </c>
      <c r="H53" s="457">
        <v>0</v>
      </c>
      <c r="I53" s="170">
        <f>SUM(G53:H53)</f>
        <v>0</v>
      </c>
      <c r="J53" s="283">
        <f>SEPTIEMBRE!L53</f>
        <v>0</v>
      </c>
      <c r="K53" s="457">
        <v>0</v>
      </c>
      <c r="L53" s="170">
        <f>SUM(J53:K53)</f>
        <v>0</v>
      </c>
      <c r="M53" s="283">
        <f>F53-I53</f>
        <v>0</v>
      </c>
      <c r="N53" s="170">
        <f>F53-L53</f>
        <v>0</v>
      </c>
      <c r="O53" s="467"/>
      <c r="P53" s="455">
        <v>0</v>
      </c>
      <c r="Q53" s="458">
        <v>0</v>
      </c>
      <c r="R53" s="10"/>
      <c r="S53" s="156" t="str">
        <f>+IF(SEPTIEMBRE!S53=0,"",SEPTIEMBRE!S53)</f>
        <v>1010302-4</v>
      </c>
      <c r="T53" s="55" t="str">
        <f>+IF(SEPTIEMBRE!T53=0,"",SEPTIEMBRE!T53)</f>
        <v>Aporte a ARL. - Con Sit. de Fondos</v>
      </c>
      <c r="U53" s="29">
        <f>+ENERO!U53</f>
        <v>1807452</v>
      </c>
      <c r="V53" s="17">
        <f>SEPTIEMBRE!V53+OCTUBRE!AL53</f>
        <v>0</v>
      </c>
      <c r="W53" s="17">
        <f>SEPTIEMBRE!W53+OCTUBRE!AM53</f>
        <v>0</v>
      </c>
      <c r="X53" s="20">
        <f t="shared" si="49"/>
        <v>1807452</v>
      </c>
      <c r="Y53" s="21">
        <f>SEPTIEMBRE!AA53</f>
        <v>1788400</v>
      </c>
      <c r="Z53" s="457">
        <v>0</v>
      </c>
      <c r="AA53" s="20">
        <f t="shared" si="50"/>
        <v>1788400</v>
      </c>
      <c r="AB53" s="21">
        <f>SEPTIEMBRE!AD53</f>
        <v>1788400</v>
      </c>
      <c r="AC53" s="457">
        <v>0</v>
      </c>
      <c r="AD53" s="20">
        <f t="shared" si="51"/>
        <v>1788400</v>
      </c>
      <c r="AE53" s="21">
        <f>SEPTIEMBRE!AG53</f>
        <v>1788400</v>
      </c>
      <c r="AF53" s="457">
        <v>0</v>
      </c>
      <c r="AG53" s="20">
        <f t="shared" si="52"/>
        <v>1788400</v>
      </c>
      <c r="AH53" s="21">
        <f t="shared" si="53"/>
        <v>19052</v>
      </c>
      <c r="AI53" s="17">
        <f t="shared" si="54"/>
        <v>19052</v>
      </c>
      <c r="AJ53" s="18">
        <f t="shared" si="55"/>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+IF(SEPTIEMBRE!A54=0,"",SEPTIEMBRE!A54)</f>
        <v>1130110</v>
      </c>
      <c r="B54" s="45" t="str">
        <f>+IF(SEPTIEMBRE!B54=0,"",SEPTIEMBRE!B54)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+IF(SEPTIEMBRE!S54=0,"",SEPTIEMBRE!S54)</f>
        <v>1010302-5</v>
      </c>
      <c r="T54" s="55" t="str">
        <f>+IF(SEPTIEMBRE!T54=0,"",SEPTIEMBRE!T54)</f>
        <v>Aporte a Caja Compensación Familiar</v>
      </c>
      <c r="U54" s="29">
        <f>+ENERO!U54</f>
        <v>15565867</v>
      </c>
      <c r="V54" s="17">
        <f>SEPTIEMBRE!V54+OCTUBRE!AL54</f>
        <v>0</v>
      </c>
      <c r="W54" s="17">
        <f>SEPTIEMBRE!W54+OCTUBRE!AM54</f>
        <v>0</v>
      </c>
      <c r="X54" s="20">
        <f t="shared" si="49"/>
        <v>15565867</v>
      </c>
      <c r="Y54" s="21">
        <f>SEPTIEMBRE!AA54</f>
        <v>11497396</v>
      </c>
      <c r="Z54" s="457">
        <v>1127000</v>
      </c>
      <c r="AA54" s="20">
        <f t="shared" si="50"/>
        <v>12624396</v>
      </c>
      <c r="AB54" s="21">
        <f>SEPTIEMBRE!AD54</f>
        <v>11497396</v>
      </c>
      <c r="AC54" s="457">
        <v>1127000</v>
      </c>
      <c r="AD54" s="20">
        <f t="shared" si="51"/>
        <v>12624396</v>
      </c>
      <c r="AE54" s="21">
        <f>SEPTIEMBRE!AG54</f>
        <v>10075698</v>
      </c>
      <c r="AF54" s="457">
        <v>1421698</v>
      </c>
      <c r="AG54" s="20">
        <f t="shared" si="52"/>
        <v>11497396</v>
      </c>
      <c r="AH54" s="21">
        <f t="shared" si="53"/>
        <v>2941471</v>
      </c>
      <c r="AI54" s="17">
        <f t="shared" si="54"/>
        <v>2941471</v>
      </c>
      <c r="AJ54" s="18">
        <f t="shared" si="55"/>
        <v>4068471</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+IF(SEPTIEMBRE!A55=0,"",SEPTIEMBRE!A55)</f>
        <v>1130110-1</v>
      </c>
      <c r="B55" s="189" t="str">
        <f>+CONCATENATE("Vigencia ",INSTRUCCIONES!$F$3)</f>
        <v>Vigencia 2014</v>
      </c>
      <c r="C55" s="456">
        <f>+ENERO!C55</f>
        <v>0</v>
      </c>
      <c r="D55" s="456">
        <f>SEPTIEMBRE!D55+OCTUBRE!P55</f>
        <v>0</v>
      </c>
      <c r="E55" s="456">
        <f>SEPTIEMBRE!E55+OCTUBRE!Q55</f>
        <v>0</v>
      </c>
      <c r="F55" s="170">
        <f>SUM(C55:E55)</f>
        <v>0</v>
      </c>
      <c r="G55" s="283">
        <f>SEPTIEMBRE!I55</f>
        <v>0</v>
      </c>
      <c r="H55" s="457">
        <v>0</v>
      </c>
      <c r="I55" s="170">
        <f>SUM(G55:H55)</f>
        <v>0</v>
      </c>
      <c r="J55" s="283">
        <f>SEPTIEMBRE!L55</f>
        <v>0</v>
      </c>
      <c r="K55" s="457">
        <v>0</v>
      </c>
      <c r="L55" s="170">
        <f>SUM(J55:K55)</f>
        <v>0</v>
      </c>
      <c r="M55" s="283">
        <f>F55-I55</f>
        <v>0</v>
      </c>
      <c r="N55" s="170">
        <f>F55-L55</f>
        <v>0</v>
      </c>
      <c r="O55" s="467"/>
      <c r="P55" s="455">
        <v>0</v>
      </c>
      <c r="Q55" s="458">
        <v>0</v>
      </c>
      <c r="R55" s="10"/>
      <c r="S55" s="155">
        <f>+IF(SEPTIEMBRE!S55=0,"",SEPTIEMBRE!S55)</f>
        <v>1010399</v>
      </c>
      <c r="T55" s="159" t="str">
        <f>+IF(SEPTIEMBRE!T55=0,"",SEPTIEMBRE!T55)</f>
        <v>Vigencias Anteriores</v>
      </c>
      <c r="U55" s="29">
        <f>+ENERO!U55</f>
        <v>0</v>
      </c>
      <c r="V55" s="17">
        <f>SEPTIEMBRE!V55+OCTUBRE!AL55</f>
        <v>487148</v>
      </c>
      <c r="W55" s="17">
        <f>SEPTIEMBRE!W55+OCTUBRE!AM55</f>
        <v>0</v>
      </c>
      <c r="X55" s="20">
        <f t="shared" si="49"/>
        <v>487148</v>
      </c>
      <c r="Y55" s="21">
        <f>SEPTIEMBRE!AA55</f>
        <v>487148</v>
      </c>
      <c r="Z55" s="457">
        <v>0</v>
      </c>
      <c r="AA55" s="20">
        <f t="shared" si="50"/>
        <v>487148</v>
      </c>
      <c r="AB55" s="21">
        <f>SEPTIEMBRE!AD55</f>
        <v>487148</v>
      </c>
      <c r="AC55" s="457">
        <v>0</v>
      </c>
      <c r="AD55" s="20">
        <f t="shared" si="51"/>
        <v>487148</v>
      </c>
      <c r="AE55" s="21">
        <f>SEPTIEMBRE!AG55</f>
        <v>487148</v>
      </c>
      <c r="AF55" s="457">
        <v>0</v>
      </c>
      <c r="AG55" s="20">
        <f t="shared" si="52"/>
        <v>487148</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+IF(SEPTIEMBRE!A56=0,"",SEPTIEMBRE!A56)</f>
        <v>1130110-2</v>
      </c>
      <c r="B56" s="189" t="str">
        <f>+IF(SEPTIEMBRE!B56=0,"",SEPTIEMBRE!B56)</f>
        <v>Vigencias Anteriores</v>
      </c>
      <c r="C56" s="456">
        <f>+ENERO!C56</f>
        <v>0</v>
      </c>
      <c r="D56" s="456">
        <f>SEPTIEMBRE!D56+OCTUBRE!P56</f>
        <v>0</v>
      </c>
      <c r="E56" s="456">
        <f>SEPTIEMBRE!E56+OCTUBRE!Q56</f>
        <v>0</v>
      </c>
      <c r="F56" s="170">
        <f>SUM(C56:E56)</f>
        <v>0</v>
      </c>
      <c r="G56" s="283">
        <f>SEPTIEMBRE!I56</f>
        <v>0</v>
      </c>
      <c r="H56" s="457">
        <v>0</v>
      </c>
      <c r="I56" s="170">
        <f>SUM(G56:H56)</f>
        <v>0</v>
      </c>
      <c r="J56" s="283">
        <f>SEPTIEMBRE!L56</f>
        <v>0</v>
      </c>
      <c r="K56" s="457">
        <v>0</v>
      </c>
      <c r="L56" s="170">
        <f>SUM(J56:K56)</f>
        <v>0</v>
      </c>
      <c r="M56" s="283">
        <f>F56-I56</f>
        <v>0</v>
      </c>
      <c r="N56" s="170">
        <f>F56-L56</f>
        <v>0</v>
      </c>
      <c r="O56" s="467"/>
      <c r="P56" s="455">
        <v>0</v>
      </c>
      <c r="Q56" s="458">
        <v>0</v>
      </c>
      <c r="R56" s="10"/>
      <c r="S56" s="448" t="str">
        <f>+IF(SEPTIEMBRE!S56=0,"",SEPTIEMBRE!S56)</f>
        <v/>
      </c>
      <c r="T56" s="649" t="str">
        <f>+IF(SEPTIEMBRE!T56=0,"",SEPTIEMBRE!T56)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+IF(SEPTIEMBRE!A57=0,"",SEPTIEMBRE!A57)</f>
        <v>1130111</v>
      </c>
      <c r="B57" s="45" t="str">
        <f>+IF(SEPTIEMBRE!B57=0,"",SEPTIEMBRE!B57)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+IF(SEPTIEMBRE!S57=0,"",SEPTIEMBRE!S57)</f>
        <v>1010400</v>
      </c>
      <c r="T57" s="158" t="str">
        <f>+IF(SEPTIEMBRE!T57=0,"",SEPTIEMBRE!T57)</f>
        <v>Contribuciones Inherentes nómina del Sector Publico</v>
      </c>
      <c r="U57" s="157">
        <f t="shared" ref="U57:AJ57" si="59">U58+U61</f>
        <v>19457334</v>
      </c>
      <c r="V57" s="144">
        <f t="shared" si="59"/>
        <v>0</v>
      </c>
      <c r="W57" s="144">
        <f t="shared" si="59"/>
        <v>0</v>
      </c>
      <c r="X57" s="152">
        <f t="shared" si="59"/>
        <v>19457334</v>
      </c>
      <c r="Y57" s="151">
        <f t="shared" si="59"/>
        <v>13639272</v>
      </c>
      <c r="Z57" s="144">
        <f t="shared" si="59"/>
        <v>1407700</v>
      </c>
      <c r="AA57" s="152">
        <f t="shared" si="59"/>
        <v>15046972</v>
      </c>
      <c r="AB57" s="151">
        <f t="shared" si="59"/>
        <v>13639272</v>
      </c>
      <c r="AC57" s="144">
        <f t="shared" si="59"/>
        <v>1407700</v>
      </c>
      <c r="AD57" s="152">
        <f t="shared" si="59"/>
        <v>15046972</v>
      </c>
      <c r="AE57" s="151">
        <f t="shared" si="59"/>
        <v>12062686</v>
      </c>
      <c r="AF57" s="144">
        <f t="shared" si="59"/>
        <v>1576586</v>
      </c>
      <c r="AG57" s="152">
        <f t="shared" si="59"/>
        <v>13639272</v>
      </c>
      <c r="AH57" s="151">
        <f t="shared" si="59"/>
        <v>4410362</v>
      </c>
      <c r="AI57" s="144">
        <f t="shared" si="59"/>
        <v>4410362</v>
      </c>
      <c r="AJ57" s="153">
        <f t="shared" si="59"/>
        <v>5818062</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+IF(SEPTIEMBRE!A58=0,"",SEPTIEMBRE!A58)</f>
        <v>1130111-1</v>
      </c>
      <c r="B58" s="189" t="str">
        <f>+CONCATENATE("Vigencia ",INSTRUCCIONES!$F$3)</f>
        <v>Vigencia 2014</v>
      </c>
      <c r="C58" s="456">
        <f>+ENERO!C58</f>
        <v>0</v>
      </c>
      <c r="D58" s="456">
        <f>SEPTIEMBRE!D58+OCTUBRE!P58</f>
        <v>0</v>
      </c>
      <c r="E58" s="456">
        <f>SEPTIEMBRE!E58+OCTUBRE!Q58</f>
        <v>0</v>
      </c>
      <c r="F58" s="170">
        <f>SUM(C58:E58)</f>
        <v>0</v>
      </c>
      <c r="G58" s="283">
        <f>SEPTIEMBRE!I58</f>
        <v>0</v>
      </c>
      <c r="H58" s="457">
        <v>0</v>
      </c>
      <c r="I58" s="170">
        <f>SUM(G58:H58)</f>
        <v>0</v>
      </c>
      <c r="J58" s="283">
        <f>SEPTIEMBRE!L58</f>
        <v>0</v>
      </c>
      <c r="K58" s="457">
        <v>0</v>
      </c>
      <c r="L58" s="170">
        <f>SUM(J58:K58)</f>
        <v>0</v>
      </c>
      <c r="M58" s="283">
        <f>F58-I58</f>
        <v>0</v>
      </c>
      <c r="N58" s="170">
        <f>F58-L58</f>
        <v>0</v>
      </c>
      <c r="O58" s="467"/>
      <c r="P58" s="455">
        <v>0</v>
      </c>
      <c r="Q58" s="458">
        <v>0</v>
      </c>
      <c r="R58" s="10"/>
      <c r="S58" s="155">
        <f>+IF(SEPTIEMBRE!S58=0,"",SEPTIEMBRE!S58)</f>
        <v>1010402</v>
      </c>
      <c r="T58" s="159" t="str">
        <f>+IF(SEPTIEMBRE!T58=0,"",SEPTIEMBRE!T58)</f>
        <v>Contribuciones - Otros</v>
      </c>
      <c r="U58" s="29">
        <f t="shared" ref="U58:AJ58" si="60">SUM(U59:U60)</f>
        <v>19457334</v>
      </c>
      <c r="V58" s="17">
        <f t="shared" si="60"/>
        <v>0</v>
      </c>
      <c r="W58" s="17">
        <f t="shared" si="60"/>
        <v>0</v>
      </c>
      <c r="X58" s="20">
        <f t="shared" si="60"/>
        <v>19457334</v>
      </c>
      <c r="Y58" s="21">
        <f t="shared" si="60"/>
        <v>13639272</v>
      </c>
      <c r="Z58" s="169">
        <f t="shared" si="60"/>
        <v>1407700</v>
      </c>
      <c r="AA58" s="20">
        <f t="shared" si="60"/>
        <v>15046972</v>
      </c>
      <c r="AB58" s="21">
        <f t="shared" si="60"/>
        <v>13639272</v>
      </c>
      <c r="AC58" s="169">
        <f t="shared" si="60"/>
        <v>1407700</v>
      </c>
      <c r="AD58" s="20">
        <f t="shared" si="60"/>
        <v>15046972</v>
      </c>
      <c r="AE58" s="21">
        <f t="shared" si="60"/>
        <v>12062686</v>
      </c>
      <c r="AF58" s="169">
        <f t="shared" si="60"/>
        <v>1576586</v>
      </c>
      <c r="AG58" s="20">
        <f t="shared" si="60"/>
        <v>13639272</v>
      </c>
      <c r="AH58" s="21">
        <f t="shared" si="60"/>
        <v>4410362</v>
      </c>
      <c r="AI58" s="17">
        <f t="shared" si="60"/>
        <v>4410362</v>
      </c>
      <c r="AJ58" s="18">
        <f t="shared" si="60"/>
        <v>5818062</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+IF(SEPTIEMBRE!A59=0,"",SEPTIEMBRE!A59)</f>
        <v>1130111-2</v>
      </c>
      <c r="B59" s="189" t="str">
        <f>+IF(SEPTIEMBRE!B59=0,"",SEPTIEMBRE!B59)</f>
        <v>Vigencias Anteriores</v>
      </c>
      <c r="C59" s="456">
        <f>+ENERO!C59</f>
        <v>0</v>
      </c>
      <c r="D59" s="456">
        <f>SEPTIEMBRE!D59+OCTUBRE!P59</f>
        <v>0</v>
      </c>
      <c r="E59" s="456">
        <f>SEPTIEMBRE!E59+OCTUBRE!Q59</f>
        <v>0</v>
      </c>
      <c r="F59" s="170">
        <f>SUM(C59:E59)</f>
        <v>0</v>
      </c>
      <c r="G59" s="283">
        <f>SEPTIEMBRE!I59</f>
        <v>0</v>
      </c>
      <c r="H59" s="457">
        <v>0</v>
      </c>
      <c r="I59" s="170">
        <f>SUM(G59:H59)</f>
        <v>0</v>
      </c>
      <c r="J59" s="283">
        <f>SEPTIEMBRE!L59</f>
        <v>0</v>
      </c>
      <c r="K59" s="457">
        <v>0</v>
      </c>
      <c r="L59" s="170">
        <f>SUM(J59:K59)</f>
        <v>0</v>
      </c>
      <c r="M59" s="283">
        <f>F59-I59</f>
        <v>0</v>
      </c>
      <c r="N59" s="170">
        <f>F59-L59</f>
        <v>0</v>
      </c>
      <c r="O59" s="467"/>
      <c r="P59" s="455">
        <v>0</v>
      </c>
      <c r="Q59" s="458">
        <v>0</v>
      </c>
      <c r="R59" s="10"/>
      <c r="S59" s="156" t="str">
        <f>+IF(SEPTIEMBRE!S59=0,"",SEPTIEMBRE!S59)</f>
        <v>1010402-1</v>
      </c>
      <c r="T59" s="55" t="str">
        <f>+IF(SEPTIEMBRE!T59=0,"",SEPTIEMBRE!T59)</f>
        <v>S.E.N.A.</v>
      </c>
      <c r="U59" s="29">
        <f>+ENERO!U59</f>
        <v>7782934</v>
      </c>
      <c r="V59" s="17">
        <f>SEPTIEMBRE!V59+OCTUBRE!AL59</f>
        <v>0</v>
      </c>
      <c r="W59" s="17">
        <f>SEPTIEMBRE!W59+OCTUBRE!AM59</f>
        <v>0</v>
      </c>
      <c r="X59" s="20">
        <f>SUM(U59:W59)</f>
        <v>7782934</v>
      </c>
      <c r="Y59" s="21">
        <f>SEPTIEMBRE!AA59</f>
        <v>5303634</v>
      </c>
      <c r="Z59" s="457">
        <v>562900</v>
      </c>
      <c r="AA59" s="20">
        <f>SUM(Y59:Z59)</f>
        <v>5866534</v>
      </c>
      <c r="AB59" s="21">
        <f>SEPTIEMBRE!AD59</f>
        <v>5303634</v>
      </c>
      <c r="AC59" s="457">
        <v>562900</v>
      </c>
      <c r="AD59" s="20">
        <f>SUM(AB59:AC59)</f>
        <v>5866534</v>
      </c>
      <c r="AE59" s="21">
        <f>SEPTIEMBRE!AG59</f>
        <v>4709417</v>
      </c>
      <c r="AF59" s="457">
        <v>594217</v>
      </c>
      <c r="AG59" s="20">
        <f>SUM(AE59:AF59)</f>
        <v>5303634</v>
      </c>
      <c r="AH59" s="21">
        <f>X59-AA59</f>
        <v>1916400</v>
      </c>
      <c r="AI59" s="17">
        <f>X59-AD59</f>
        <v>1916400</v>
      </c>
      <c r="AJ59" s="18">
        <f>X59-AG59</f>
        <v>2479300</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+IF(SEPTIEMBRE!A60=0,"",SEPTIEMBRE!A60)</f>
        <v>1130112</v>
      </c>
      <c r="B60" s="45" t="str">
        <f>+IF(SEPTIEMBRE!B60=0,"",SEPTIEMBRE!B60)</f>
        <v>IPS PUBLICAS</v>
      </c>
      <c r="C60" s="53">
        <f t="shared" ref="C60:N60" si="61">SUM(C61:C62)</f>
        <v>8883897</v>
      </c>
      <c r="D60" s="53">
        <f t="shared" si="61"/>
        <v>0</v>
      </c>
      <c r="E60" s="53">
        <f t="shared" si="61"/>
        <v>0</v>
      </c>
      <c r="F60" s="54">
        <f t="shared" si="61"/>
        <v>8883897</v>
      </c>
      <c r="G60" s="52">
        <f t="shared" si="61"/>
        <v>4695574</v>
      </c>
      <c r="H60" s="53">
        <f t="shared" si="61"/>
        <v>44589</v>
      </c>
      <c r="I60" s="54">
        <f t="shared" si="61"/>
        <v>4740163</v>
      </c>
      <c r="J60" s="52">
        <f t="shared" si="61"/>
        <v>2752706</v>
      </c>
      <c r="K60" s="53">
        <f t="shared" si="61"/>
        <v>0</v>
      </c>
      <c r="L60" s="54">
        <f t="shared" si="61"/>
        <v>2752706</v>
      </c>
      <c r="M60" s="52">
        <f t="shared" si="61"/>
        <v>4143734</v>
      </c>
      <c r="N60" s="54">
        <f t="shared" si="61"/>
        <v>6131191</v>
      </c>
      <c r="P60" s="52">
        <f>SUM(P61:P62)</f>
        <v>0</v>
      </c>
      <c r="Q60" s="54">
        <f>SUM(Q61:Q62)</f>
        <v>0</v>
      </c>
      <c r="R60" s="10"/>
      <c r="S60" s="156" t="str">
        <f>+IF(SEPTIEMBRE!S60=0,"",SEPTIEMBRE!S60)</f>
        <v>1010402-2</v>
      </c>
      <c r="T60" s="55" t="str">
        <f>+IF(SEPTIEMBRE!T60=0,"",SEPTIEMBRE!T60)</f>
        <v>I.C.B.F.</v>
      </c>
      <c r="U60" s="29">
        <f>+ENERO!U60</f>
        <v>11674400</v>
      </c>
      <c r="V60" s="17">
        <f>SEPTIEMBRE!V60+OCTUBRE!AL60</f>
        <v>0</v>
      </c>
      <c r="W60" s="17">
        <f>SEPTIEMBRE!W60+OCTUBRE!AM60</f>
        <v>0</v>
      </c>
      <c r="X60" s="20">
        <f>SUM(U60:W60)</f>
        <v>11674400</v>
      </c>
      <c r="Y60" s="21">
        <f>SEPTIEMBRE!AA60</f>
        <v>8335638</v>
      </c>
      <c r="Z60" s="457">
        <v>844800</v>
      </c>
      <c r="AA60" s="20">
        <f>SUM(Y60:Z60)</f>
        <v>9180438</v>
      </c>
      <c r="AB60" s="21">
        <f>SEPTIEMBRE!AD60</f>
        <v>8335638</v>
      </c>
      <c r="AC60" s="457">
        <v>844800</v>
      </c>
      <c r="AD60" s="20">
        <f>SUM(AB60:AC60)</f>
        <v>9180438</v>
      </c>
      <c r="AE60" s="21">
        <f>SEPTIEMBRE!AG60</f>
        <v>7353269</v>
      </c>
      <c r="AF60" s="457">
        <v>982369</v>
      </c>
      <c r="AG60" s="20">
        <f>SUM(AE60:AF60)</f>
        <v>8335638</v>
      </c>
      <c r="AH60" s="21">
        <f>X60-AA60</f>
        <v>2493962</v>
      </c>
      <c r="AI60" s="17">
        <f>X60-AD60</f>
        <v>2493962</v>
      </c>
      <c r="AJ60" s="18">
        <f>X60-AG60</f>
        <v>3338762</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+IF(SEPTIEMBRE!A61=0,"",SEPTIEMBRE!A61)</f>
        <v>1130112-1</v>
      </c>
      <c r="B61" s="189" t="str">
        <f>+CONCATENATE("Vigencia ",INSTRUCCIONES!$F$3)</f>
        <v>Vigencia 2014</v>
      </c>
      <c r="C61" s="456">
        <f>+ENERO!C61</f>
        <v>5883897</v>
      </c>
      <c r="D61" s="456">
        <f>SEPTIEMBRE!D61+OCTUBRE!P61</f>
        <v>0</v>
      </c>
      <c r="E61" s="456">
        <f>SEPTIEMBRE!E61+OCTUBRE!Q61</f>
        <v>0</v>
      </c>
      <c r="F61" s="170">
        <f>SUM(C61:E61)</f>
        <v>5883897</v>
      </c>
      <c r="G61" s="283">
        <f>SEPTIEMBRE!I61</f>
        <v>2157440</v>
      </c>
      <c r="H61" s="457">
        <v>44589</v>
      </c>
      <c r="I61" s="170">
        <f>SUM(G61:H61)</f>
        <v>2202029</v>
      </c>
      <c r="J61" s="283">
        <f>SEPTIEMBRE!L61</f>
        <v>214572</v>
      </c>
      <c r="K61" s="457">
        <v>0</v>
      </c>
      <c r="L61" s="170">
        <f>SUM(J61:K61)</f>
        <v>214572</v>
      </c>
      <c r="M61" s="283">
        <f>F61-I61</f>
        <v>3681868</v>
      </c>
      <c r="N61" s="170">
        <f>F61-L61</f>
        <v>5669325</v>
      </c>
      <c r="O61" s="467"/>
      <c r="P61" s="455">
        <v>0</v>
      </c>
      <c r="Q61" s="458">
        <v>0</v>
      </c>
      <c r="R61" s="10"/>
      <c r="S61" s="155">
        <f>+IF(SEPTIEMBRE!S61=0,"",SEPTIEMBRE!S61)</f>
        <v>1010499</v>
      </c>
      <c r="T61" s="159" t="str">
        <f>+IF(SEPTIEMBRE!T61=0,"",SEPTIEMBRE!T61)</f>
        <v>Vigencias Anteriores</v>
      </c>
      <c r="U61" s="29">
        <f>+ENERO!U61</f>
        <v>0</v>
      </c>
      <c r="V61" s="17">
        <f>SEPTIEMBRE!V61+OCTUBRE!AL61</f>
        <v>0</v>
      </c>
      <c r="W61" s="17">
        <f>SEPTIEMBRE!W61+OCTUBRE!AM61</f>
        <v>0</v>
      </c>
      <c r="X61" s="20">
        <f>SUM(U61:W61)</f>
        <v>0</v>
      </c>
      <c r="Y61" s="21">
        <f>SEPTIEMBRE!AA61</f>
        <v>0</v>
      </c>
      <c r="Z61" s="457">
        <v>0</v>
      </c>
      <c r="AA61" s="20">
        <f>SUM(Y61:Z61)</f>
        <v>0</v>
      </c>
      <c r="AB61" s="21">
        <f>SEPTIEMBRE!AD61</f>
        <v>0</v>
      </c>
      <c r="AC61" s="457">
        <v>0</v>
      </c>
      <c r="AD61" s="20">
        <f>SUM(AB61:AC61)</f>
        <v>0</v>
      </c>
      <c r="AE61" s="21">
        <f>SEPTIEMBRE!AG61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+IF(SEPTIEMBRE!A62=0,"",SEPTIEMBRE!A62)</f>
        <v>1130112-2</v>
      </c>
      <c r="B62" s="189" t="str">
        <f>+IF(SEPTIEMBRE!B62=0,"",SEPTIEMBRE!B62)</f>
        <v>Vigencias Anteriores</v>
      </c>
      <c r="C62" s="456">
        <f>+ENERO!C62</f>
        <v>3000000</v>
      </c>
      <c r="D62" s="456">
        <f>SEPTIEMBRE!D62+OCTUBRE!P62</f>
        <v>0</v>
      </c>
      <c r="E62" s="456">
        <f>SEPTIEMBRE!E62+OCTUBRE!Q62</f>
        <v>0</v>
      </c>
      <c r="F62" s="170">
        <f>SUM(C62:E62)</f>
        <v>3000000</v>
      </c>
      <c r="G62" s="283">
        <f>SEPTIEMBRE!I62</f>
        <v>2538134</v>
      </c>
      <c r="H62" s="457">
        <v>0</v>
      </c>
      <c r="I62" s="170">
        <f>SUM(G62:H62)</f>
        <v>2538134</v>
      </c>
      <c r="J62" s="283">
        <f>SEPTIEMBRE!L62</f>
        <v>2538134</v>
      </c>
      <c r="K62" s="457">
        <v>0</v>
      </c>
      <c r="L62" s="170">
        <f>SUM(J62:K62)</f>
        <v>2538134</v>
      </c>
      <c r="M62" s="283">
        <f>F62-I62</f>
        <v>461866</v>
      </c>
      <c r="N62" s="170">
        <f>F62-L62</f>
        <v>461866</v>
      </c>
      <c r="O62" s="467"/>
      <c r="P62" s="455">
        <v>0</v>
      </c>
      <c r="Q62" s="458">
        <v>0</v>
      </c>
      <c r="R62" s="10"/>
      <c r="S62" s="448" t="str">
        <f>+IF(SEPTIEMBRE!S62=0,"",SEPTIEMBRE!S62)</f>
        <v/>
      </c>
      <c r="T62" s="649" t="str">
        <f>+IF(SEPTIEMBRE!T62=0,"",SEPTIEMBRE!T62)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+IF(SEPTIEMBRE!A63=0,"",SEPTIEMBRE!A63)</f>
        <v>1130113</v>
      </c>
      <c r="B63" s="45" t="str">
        <f>+IF(SEPTIEMBRE!B63=0,"",SEPTIEMBRE!B63)</f>
        <v>COMPAÑIAS DE SEGUROS  - ACCIDENTES DE TRANSITO (SOAT)</v>
      </c>
      <c r="C63" s="53">
        <f t="shared" ref="C63:N63" si="62">SUM(C64:C65)</f>
        <v>52973202</v>
      </c>
      <c r="D63" s="53">
        <f t="shared" si="62"/>
        <v>0</v>
      </c>
      <c r="E63" s="53">
        <f t="shared" si="62"/>
        <v>0</v>
      </c>
      <c r="F63" s="54">
        <f t="shared" si="62"/>
        <v>52973202</v>
      </c>
      <c r="G63" s="52">
        <f t="shared" si="62"/>
        <v>34130477</v>
      </c>
      <c r="H63" s="53">
        <f t="shared" si="62"/>
        <v>5001188</v>
      </c>
      <c r="I63" s="54">
        <f t="shared" si="62"/>
        <v>39131665</v>
      </c>
      <c r="J63" s="52">
        <f t="shared" si="62"/>
        <v>25950901</v>
      </c>
      <c r="K63" s="53">
        <f t="shared" si="62"/>
        <v>3385592</v>
      </c>
      <c r="L63" s="54">
        <f t="shared" si="62"/>
        <v>29336493</v>
      </c>
      <c r="M63" s="52">
        <f t="shared" si="62"/>
        <v>13841537</v>
      </c>
      <c r="N63" s="54">
        <f t="shared" si="62"/>
        <v>23636709</v>
      </c>
      <c r="P63" s="52">
        <f>SUM(P64:P65)</f>
        <v>0</v>
      </c>
      <c r="Q63" s="54">
        <f>SUM(Q64:Q65)</f>
        <v>0</v>
      </c>
      <c r="R63" s="10"/>
      <c r="S63" s="469">
        <f>+IF(SEPTIEMBRE!S63=0,"",SEPTIEMBRE!S63)</f>
        <v>1020010</v>
      </c>
      <c r="T63" s="470" t="str">
        <f>+IF(SEPTIEMBRE!T63=0,"",SEPTIEMBRE!T63)</f>
        <v>Gastos de Operación</v>
      </c>
      <c r="U63" s="157">
        <f t="shared" ref="U63:AJ63" si="63">U65+U83+U90+U104</f>
        <v>1656122409</v>
      </c>
      <c r="V63" s="144">
        <f t="shared" si="63"/>
        <v>5657703</v>
      </c>
      <c r="W63" s="144">
        <f t="shared" si="63"/>
        <v>48789110</v>
      </c>
      <c r="X63" s="152">
        <f t="shared" si="63"/>
        <v>1710569222</v>
      </c>
      <c r="Y63" s="151">
        <f t="shared" si="63"/>
        <v>1148796165</v>
      </c>
      <c r="Z63" s="144">
        <f t="shared" si="63"/>
        <v>108912382</v>
      </c>
      <c r="AA63" s="152">
        <f t="shared" si="63"/>
        <v>1257708547</v>
      </c>
      <c r="AB63" s="151">
        <f t="shared" si="63"/>
        <v>1148796165</v>
      </c>
      <c r="AC63" s="144">
        <f t="shared" si="63"/>
        <v>108912382</v>
      </c>
      <c r="AD63" s="152">
        <f t="shared" si="63"/>
        <v>1257708547</v>
      </c>
      <c r="AE63" s="151">
        <f t="shared" si="63"/>
        <v>1083711960</v>
      </c>
      <c r="AF63" s="144">
        <f t="shared" si="63"/>
        <v>119123971</v>
      </c>
      <c r="AG63" s="152">
        <f t="shared" si="63"/>
        <v>1202835931</v>
      </c>
      <c r="AH63" s="151">
        <f t="shared" si="63"/>
        <v>452860675</v>
      </c>
      <c r="AI63" s="144">
        <f t="shared" si="63"/>
        <v>452860675</v>
      </c>
      <c r="AJ63" s="153">
        <f t="shared" si="63"/>
        <v>507733291</v>
      </c>
      <c r="AK63" s="10"/>
      <c r="AL63" s="151">
        <f>AL65+AL83+AL90+AL104</f>
        <v>0</v>
      </c>
      <c r="AM63" s="153">
        <f>AM65+AM83+AM90+AM104</f>
        <v>30000000</v>
      </c>
      <c r="AN63" s="10"/>
      <c r="AO63" s="365"/>
      <c r="AP63" s="365"/>
      <c r="AQ63" s="365"/>
      <c r="AR63" s="365"/>
      <c r="AS63" s="365"/>
      <c r="AT63" s="365"/>
      <c r="AU63" s="365"/>
      <c r="AV63" s="365"/>
      <c r="AW63" s="365"/>
      <c r="AX63" s="365"/>
      <c r="AY63" s="365"/>
      <c r="AZ63" s="365"/>
    </row>
    <row r="64" spans="1:70" s="514" customFormat="1" ht="15.75" x14ac:dyDescent="0.2">
      <c r="A64" s="188" t="str">
        <f>+IF(SEPTIEMBRE!A64=0,"",SEPTIEMBRE!A64)</f>
        <v>1130113-1</v>
      </c>
      <c r="B64" s="189" t="str">
        <f>+CONCATENATE("Vigencia ",INSTRUCCIONES!$F$3)</f>
        <v>Vigencia 2014</v>
      </c>
      <c r="C64" s="456">
        <f>+ENERO!C64</f>
        <v>40103182</v>
      </c>
      <c r="D64" s="456">
        <f>SEPTIEMBRE!D64+OCTUBRE!P64</f>
        <v>0</v>
      </c>
      <c r="E64" s="456">
        <f>SEPTIEMBRE!E64+OCTUBRE!Q64</f>
        <v>0</v>
      </c>
      <c r="F64" s="170">
        <f>SUM(C64:E64)</f>
        <v>40103182</v>
      </c>
      <c r="G64" s="283">
        <f>SEPTIEMBRE!I64</f>
        <v>25980551</v>
      </c>
      <c r="H64" s="457">
        <v>5001188</v>
      </c>
      <c r="I64" s="170">
        <f>SUM(G64:H64)</f>
        <v>30981739</v>
      </c>
      <c r="J64" s="283">
        <f>SEPTIEMBRE!L64</f>
        <v>17800975</v>
      </c>
      <c r="K64" s="457">
        <v>3385592</v>
      </c>
      <c r="L64" s="170">
        <f>SUM(J64:K64)</f>
        <v>21186567</v>
      </c>
      <c r="M64" s="283">
        <f>F64-I64</f>
        <v>9121443</v>
      </c>
      <c r="N64" s="170">
        <f>F64-L64</f>
        <v>18916615</v>
      </c>
      <c r="O64" s="467"/>
      <c r="P64" s="455">
        <v>0</v>
      </c>
      <c r="Q64" s="458">
        <v>0</v>
      </c>
      <c r="R64" s="10"/>
      <c r="S64" s="448" t="str">
        <f>+IF(SEPTIEMBRE!S64=0,"",SEPTIEMBRE!S64)</f>
        <v/>
      </c>
      <c r="T64" s="649" t="str">
        <f>+IF(SEPTIEMBRE!T64=0,"",SEPTIEMBRE!T64)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+IF(SEPTIEMBRE!A65=0,"",SEPTIEMBRE!A65)</f>
        <v>1130113-2</v>
      </c>
      <c r="B65" s="189" t="str">
        <f>+IF(SEPTIEMBRE!B65=0,"",SEPTIEMBRE!B65)</f>
        <v>Vigencias Anteriores</v>
      </c>
      <c r="C65" s="456">
        <f>+ENERO!C65</f>
        <v>12870020</v>
      </c>
      <c r="D65" s="456">
        <f>SEPTIEMBRE!D65+OCTUBRE!P65</f>
        <v>0</v>
      </c>
      <c r="E65" s="456">
        <f>SEPTIEMBRE!E65+OCTUBRE!Q65</f>
        <v>0</v>
      </c>
      <c r="F65" s="170">
        <f>SUM(C65:E65)</f>
        <v>12870020</v>
      </c>
      <c r="G65" s="283">
        <f>SEPTIEMBRE!I65</f>
        <v>8149926</v>
      </c>
      <c r="H65" s="457">
        <v>0</v>
      </c>
      <c r="I65" s="170">
        <f>SUM(G65:H65)</f>
        <v>8149926</v>
      </c>
      <c r="J65" s="283">
        <f>SEPTIEMBRE!L65</f>
        <v>8149926</v>
      </c>
      <c r="K65" s="457">
        <v>0</v>
      </c>
      <c r="L65" s="170">
        <f>SUM(J65:K65)</f>
        <v>8149926</v>
      </c>
      <c r="M65" s="283">
        <f>F65-I65</f>
        <v>4720094</v>
      </c>
      <c r="N65" s="170">
        <f>F65-L65</f>
        <v>4720094</v>
      </c>
      <c r="O65" s="467"/>
      <c r="P65" s="455">
        <v>0</v>
      </c>
      <c r="Q65" s="458">
        <v>0</v>
      </c>
      <c r="R65" s="10"/>
      <c r="S65" s="34">
        <f>+IF(SEPTIEMBRE!S65=0,"",SEPTIEMBRE!S65)</f>
        <v>1020100</v>
      </c>
      <c r="T65" s="158" t="str">
        <f>+IF(SEPTIEMBRE!T65=0,"",SEPTIEMBRE!T65)</f>
        <v>Servicios Personales Asociados a Nómina</v>
      </c>
      <c r="U65" s="157">
        <f t="shared" ref="U65:AJ65" si="64">SUM(U66:U69)+U81</f>
        <v>1157487731</v>
      </c>
      <c r="V65" s="144">
        <f t="shared" si="64"/>
        <v>5657703</v>
      </c>
      <c r="W65" s="144">
        <f t="shared" si="64"/>
        <v>13749212</v>
      </c>
      <c r="X65" s="152">
        <f t="shared" si="64"/>
        <v>1176894646</v>
      </c>
      <c r="Y65" s="151">
        <f t="shared" si="64"/>
        <v>827159517</v>
      </c>
      <c r="Z65" s="144">
        <f t="shared" si="64"/>
        <v>80756633</v>
      </c>
      <c r="AA65" s="152">
        <f t="shared" si="64"/>
        <v>907916150</v>
      </c>
      <c r="AB65" s="151">
        <f t="shared" si="64"/>
        <v>827159517</v>
      </c>
      <c r="AC65" s="144">
        <f t="shared" si="64"/>
        <v>80756633</v>
      </c>
      <c r="AD65" s="152">
        <f t="shared" si="64"/>
        <v>907916150</v>
      </c>
      <c r="AE65" s="151">
        <f t="shared" si="64"/>
        <v>789615552</v>
      </c>
      <c r="AF65" s="144">
        <f t="shared" si="64"/>
        <v>86635557</v>
      </c>
      <c r="AG65" s="152">
        <f t="shared" si="64"/>
        <v>876251109</v>
      </c>
      <c r="AH65" s="151">
        <f t="shared" si="64"/>
        <v>268978496</v>
      </c>
      <c r="AI65" s="144">
        <f t="shared" si="64"/>
        <v>268978496</v>
      </c>
      <c r="AJ65" s="153">
        <f t="shared" si="64"/>
        <v>300643537</v>
      </c>
      <c r="AK65" s="10"/>
      <c r="AL65" s="151">
        <f>SUM(AL66:AL69)+AL81</f>
        <v>0</v>
      </c>
      <c r="AM65" s="153">
        <f>SUM(AM66:AM69)+AM81</f>
        <v>5000000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+IF(SEPTIEMBRE!A66=0,"",SEPTIEMBRE!A66)</f>
        <v>1130114</v>
      </c>
      <c r="B66" s="45" t="str">
        <f>+IF(SEPTIEMBRE!B66=0,"",SEPTIEMBRE!B66)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+IF(SEPTIEMBRE!S66=0,"",SEPTIEMBRE!S66)</f>
        <v>1020101</v>
      </c>
      <c r="T66" s="159" t="str">
        <f>+IF(SEPTIEMBRE!T66=0,"",SEPTIEMBRE!T66)</f>
        <v>Sueldos del Personal de nómina</v>
      </c>
      <c r="U66" s="29">
        <f>+ENERO!U66</f>
        <v>901111176</v>
      </c>
      <c r="V66" s="17">
        <f>SEPTIEMBRE!V66+OCTUBRE!AL66</f>
        <v>0</v>
      </c>
      <c r="W66" s="17">
        <f>SEPTIEMBRE!W66+OCTUBRE!AM66</f>
        <v>0</v>
      </c>
      <c r="X66" s="20">
        <f>SUM(U66:W66)</f>
        <v>901111176</v>
      </c>
      <c r="Y66" s="21">
        <f>SEPTIEMBRE!AA66</f>
        <v>694984518</v>
      </c>
      <c r="Z66" s="457">
        <v>73454019</v>
      </c>
      <c r="AA66" s="20">
        <f>SUM(Y66:Z66)</f>
        <v>768438537</v>
      </c>
      <c r="AB66" s="21">
        <f>SEPTIEMBRE!AD66</f>
        <v>694984518</v>
      </c>
      <c r="AC66" s="457">
        <v>73454019</v>
      </c>
      <c r="AD66" s="20">
        <f>SUM(AB66:AC66)</f>
        <v>768438537</v>
      </c>
      <c r="AE66" s="21">
        <f>SEPTIEMBRE!AG66</f>
        <v>670847380</v>
      </c>
      <c r="AF66" s="457">
        <v>76564963</v>
      </c>
      <c r="AG66" s="20">
        <f>SUM(AE66:AF66)</f>
        <v>747412343</v>
      </c>
      <c r="AH66" s="21">
        <f>X66-AA66</f>
        <v>132672639</v>
      </c>
      <c r="AI66" s="17">
        <f>X66-AD66</f>
        <v>132672639</v>
      </c>
      <c r="AJ66" s="18">
        <f>X66-AG66</f>
        <v>153698833</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+IF(SEPTIEMBRE!A67=0,"",SEPTIEMBRE!A67)</f>
        <v>1130114-1</v>
      </c>
      <c r="B67" s="189" t="str">
        <f>+CONCATENATE("Vigencia ",INSTRUCCIONES!$F$3)</f>
        <v>Vigencia 2014</v>
      </c>
      <c r="C67" s="456">
        <f>+ENERO!C67</f>
        <v>0</v>
      </c>
      <c r="D67" s="456">
        <f>SEPTIEMBRE!D67+OCTUBRE!P67</f>
        <v>0</v>
      </c>
      <c r="E67" s="456">
        <f>SEPTIEMBRE!E67+OCTUBRE!Q67</f>
        <v>0</v>
      </c>
      <c r="F67" s="170">
        <f>SUM(C67:E67)</f>
        <v>0</v>
      </c>
      <c r="G67" s="283">
        <f>SEPTIEMBRE!I67</f>
        <v>0</v>
      </c>
      <c r="H67" s="457">
        <v>0</v>
      </c>
      <c r="I67" s="170">
        <f>SUM(G67:H67)</f>
        <v>0</v>
      </c>
      <c r="J67" s="283">
        <f>SEPTIEMBRE!L67</f>
        <v>0</v>
      </c>
      <c r="K67" s="457">
        <v>0</v>
      </c>
      <c r="L67" s="170">
        <f>SUM(J67:K67)</f>
        <v>0</v>
      </c>
      <c r="M67" s="283">
        <f>F67-I67</f>
        <v>0</v>
      </c>
      <c r="N67" s="170">
        <f>F67-L67</f>
        <v>0</v>
      </c>
      <c r="O67" s="467"/>
      <c r="P67" s="455">
        <v>0</v>
      </c>
      <c r="Q67" s="458">
        <v>0</v>
      </c>
      <c r="R67" s="10"/>
      <c r="S67" s="155">
        <f>+IF(SEPTIEMBRE!S67=0,"",SEPTIEMBRE!S67)</f>
        <v>1020102</v>
      </c>
      <c r="T67" s="159" t="str">
        <f>+IF(SEPTIEMBRE!T67=0,"",SEPTIEMBRE!T67)</f>
        <v>Horas Extras,Dominic.,Festivos y Rec. Nocturnos</v>
      </c>
      <c r="U67" s="29">
        <f>+ENERO!U67</f>
        <v>116857377</v>
      </c>
      <c r="V67" s="17">
        <f>SEPTIEMBRE!V67+OCTUBRE!AL67</f>
        <v>0</v>
      </c>
      <c r="W67" s="17">
        <f>SEPTIEMBRE!W67+OCTUBRE!AM67</f>
        <v>0</v>
      </c>
      <c r="X67" s="20">
        <f>SUM(U67:W67)</f>
        <v>116857377</v>
      </c>
      <c r="Y67" s="21">
        <f>SEPTIEMBRE!AA67</f>
        <v>70932393</v>
      </c>
      <c r="Z67" s="457">
        <v>6110556</v>
      </c>
      <c r="AA67" s="20">
        <f>SUM(Y67:Z67)</f>
        <v>77042949</v>
      </c>
      <c r="AB67" s="21">
        <f>SEPTIEMBRE!AD67</f>
        <v>70932393</v>
      </c>
      <c r="AC67" s="457">
        <v>6110556</v>
      </c>
      <c r="AD67" s="20">
        <f>SUM(AB67:AC67)</f>
        <v>77042949</v>
      </c>
      <c r="AE67" s="21">
        <f>SEPTIEMBRE!AG67</f>
        <v>69184613</v>
      </c>
      <c r="AF67" s="457">
        <v>6746848</v>
      </c>
      <c r="AG67" s="20">
        <f>SUM(AE67:AF67)</f>
        <v>75931461</v>
      </c>
      <c r="AH67" s="21">
        <f>X67-AA67</f>
        <v>39814428</v>
      </c>
      <c r="AI67" s="17">
        <f>X67-AD67</f>
        <v>39814428</v>
      </c>
      <c r="AJ67" s="18">
        <f>X67-AG67</f>
        <v>40925916</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+IF(SEPTIEMBRE!A68=0,"",SEPTIEMBRE!A68)</f>
        <v>1130114-2</v>
      </c>
      <c r="B68" s="189" t="str">
        <f>+IF(SEPTIEMBRE!B68=0,"",SEPTIEMBRE!B68)</f>
        <v>Vigencias Anteriores</v>
      </c>
      <c r="C68" s="456">
        <f>+ENERO!C68</f>
        <v>0</v>
      </c>
      <c r="D68" s="456">
        <f>SEPTIEMBRE!D68+OCTUBRE!P68</f>
        <v>0</v>
      </c>
      <c r="E68" s="456">
        <f>SEPTIEMBRE!E68+OCTUBRE!Q68</f>
        <v>0</v>
      </c>
      <c r="F68" s="170">
        <f>SUM(C68:E68)</f>
        <v>0</v>
      </c>
      <c r="G68" s="283">
        <f>SEPTIEMBRE!I68</f>
        <v>0</v>
      </c>
      <c r="H68" s="457">
        <v>0</v>
      </c>
      <c r="I68" s="170">
        <f>SUM(G68:H68)</f>
        <v>0</v>
      </c>
      <c r="J68" s="283">
        <f>SEPTIEMBRE!L68</f>
        <v>0</v>
      </c>
      <c r="K68" s="457">
        <v>0</v>
      </c>
      <c r="L68" s="170">
        <f>SUM(J68:K68)</f>
        <v>0</v>
      </c>
      <c r="M68" s="283">
        <f>F68-I68</f>
        <v>0</v>
      </c>
      <c r="N68" s="170">
        <f>F68-L68</f>
        <v>0</v>
      </c>
      <c r="O68" s="467"/>
      <c r="P68" s="455">
        <v>0</v>
      </c>
      <c r="Q68" s="458">
        <v>0</v>
      </c>
      <c r="R68" s="10"/>
      <c r="S68" s="155">
        <f>+IF(SEPTIEMBRE!S68=0,"",SEPTIEMBRE!S68)</f>
        <v>1020103</v>
      </c>
      <c r="T68" s="159" t="str">
        <f>+IF(SEPTIEMBRE!T68=0,"",SEPTIEMBRE!T68)</f>
        <v>Prima Técnica</v>
      </c>
      <c r="U68" s="29">
        <f>+ENERO!U68</f>
        <v>0</v>
      </c>
      <c r="V68" s="17">
        <f>SEPTIEMBRE!V68+OCTUBRE!AL68</f>
        <v>0</v>
      </c>
      <c r="W68" s="17">
        <f>SEPTIEMBRE!W68+OCTUBRE!AM68</f>
        <v>0</v>
      </c>
      <c r="X68" s="20">
        <f>SUM(U68:W68)</f>
        <v>0</v>
      </c>
      <c r="Y68" s="21">
        <f>SEPTIEMBRE!AA68</f>
        <v>0</v>
      </c>
      <c r="Z68" s="457">
        <v>0</v>
      </c>
      <c r="AA68" s="20">
        <f>SUM(Y68:Z68)</f>
        <v>0</v>
      </c>
      <c r="AB68" s="21">
        <f>SEPTIEMBRE!AD68</f>
        <v>0</v>
      </c>
      <c r="AC68" s="457">
        <v>0</v>
      </c>
      <c r="AD68" s="20">
        <f>SUM(AB68:AC68)</f>
        <v>0</v>
      </c>
      <c r="AE68" s="21">
        <f>SEPTIEMBRE!AG68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+IF(SEPTIEMBRE!A69=0,"",SEPTIEMBRE!A69)</f>
        <v>1130115</v>
      </c>
      <c r="B69" s="45" t="str">
        <f>+IF(SEPTIEMBRE!B69=0,"",SEPTIEMBRE!B69)</f>
        <v>ENTIDADES DE REGIMEN ESPECIAL (Magisterio, Fuerza Pca.)</v>
      </c>
      <c r="C69" s="53">
        <f t="shared" ref="C69:N69" si="66">SUM(C70:C71)</f>
        <v>111446544</v>
      </c>
      <c r="D69" s="53">
        <f t="shared" si="66"/>
        <v>0</v>
      </c>
      <c r="E69" s="53">
        <f t="shared" si="66"/>
        <v>0</v>
      </c>
      <c r="F69" s="54">
        <f t="shared" si="66"/>
        <v>111446544</v>
      </c>
      <c r="G69" s="52">
        <f t="shared" si="66"/>
        <v>90045868</v>
      </c>
      <c r="H69" s="53">
        <f t="shared" si="66"/>
        <v>6423779</v>
      </c>
      <c r="I69" s="54">
        <f t="shared" si="66"/>
        <v>96469647</v>
      </c>
      <c r="J69" s="52">
        <f t="shared" si="66"/>
        <v>64922954</v>
      </c>
      <c r="K69" s="53">
        <f t="shared" si="66"/>
        <v>284324</v>
      </c>
      <c r="L69" s="54">
        <f t="shared" si="66"/>
        <v>65207278</v>
      </c>
      <c r="M69" s="52">
        <f t="shared" si="66"/>
        <v>14976897</v>
      </c>
      <c r="N69" s="54">
        <f t="shared" si="66"/>
        <v>46239266</v>
      </c>
      <c r="P69" s="52">
        <f>SUM(P70:P71)</f>
        <v>0</v>
      </c>
      <c r="Q69" s="54">
        <f>SUM(Q70:Q71)</f>
        <v>0</v>
      </c>
      <c r="R69" s="10"/>
      <c r="S69" s="155">
        <f>+IF(SEPTIEMBRE!S69=0,"",SEPTIEMBRE!S69)</f>
        <v>1020104</v>
      </c>
      <c r="T69" s="159" t="str">
        <f>+IF(SEPTIEMBRE!T69=0,"",SEPTIEMBRE!T69)</f>
        <v>Otros</v>
      </c>
      <c r="U69" s="29">
        <f t="shared" ref="U69:AJ69" si="67">SUM(U70:U80)</f>
        <v>130781064</v>
      </c>
      <c r="V69" s="17">
        <f t="shared" si="67"/>
        <v>0</v>
      </c>
      <c r="W69" s="17">
        <f t="shared" si="67"/>
        <v>5000000</v>
      </c>
      <c r="X69" s="20">
        <f t="shared" si="67"/>
        <v>135781064</v>
      </c>
      <c r="Y69" s="21">
        <f t="shared" si="67"/>
        <v>38562577</v>
      </c>
      <c r="Z69" s="169">
        <f t="shared" si="67"/>
        <v>1192058</v>
      </c>
      <c r="AA69" s="20">
        <f t="shared" si="67"/>
        <v>39754635</v>
      </c>
      <c r="AB69" s="21">
        <f t="shared" si="67"/>
        <v>38562577</v>
      </c>
      <c r="AC69" s="169">
        <f t="shared" si="67"/>
        <v>1192058</v>
      </c>
      <c r="AD69" s="20">
        <f t="shared" si="67"/>
        <v>39754635</v>
      </c>
      <c r="AE69" s="21">
        <f t="shared" si="67"/>
        <v>26903530</v>
      </c>
      <c r="AF69" s="169">
        <f t="shared" si="67"/>
        <v>3323746</v>
      </c>
      <c r="AG69" s="20">
        <f t="shared" si="67"/>
        <v>30227276</v>
      </c>
      <c r="AH69" s="21">
        <f t="shared" si="67"/>
        <v>96026429</v>
      </c>
      <c r="AI69" s="17">
        <f t="shared" si="67"/>
        <v>96026429</v>
      </c>
      <c r="AJ69" s="18">
        <f t="shared" si="67"/>
        <v>105553788</v>
      </c>
      <c r="AK69" s="10"/>
      <c r="AL69" s="31">
        <f>SUM(AL70:AL80)</f>
        <v>0</v>
      </c>
      <c r="AM69" s="28">
        <f>SUM(AM70:AM80)</f>
        <v>5000000</v>
      </c>
      <c r="AN69" s="10"/>
      <c r="AO69" s="365"/>
      <c r="AP69" s="365"/>
      <c r="AQ69" s="365"/>
      <c r="AR69" s="365"/>
      <c r="AS69" s="365"/>
      <c r="AT69" s="365"/>
      <c r="AU69" s="365"/>
      <c r="AV69" s="365"/>
      <c r="AW69" s="365"/>
      <c r="AX69" s="365"/>
      <c r="AY69" s="365"/>
      <c r="AZ69" s="365"/>
    </row>
    <row r="70" spans="1:70" s="514" customFormat="1" ht="15" x14ac:dyDescent="0.2">
      <c r="A70" s="188" t="str">
        <f>+IF(SEPTIEMBRE!A70=0,"",SEPTIEMBRE!A70)</f>
        <v>1130115-1</v>
      </c>
      <c r="B70" s="189" t="str">
        <f>+CONCATENATE("Vigencia ",INSTRUCCIONES!$F$3)</f>
        <v>Vigencia 2014</v>
      </c>
      <c r="C70" s="456">
        <f>+ENERO!C70</f>
        <v>75639118</v>
      </c>
      <c r="D70" s="456">
        <f>SEPTIEMBRE!D70+OCTUBRE!P70</f>
        <v>0</v>
      </c>
      <c r="E70" s="456">
        <f>SEPTIEMBRE!E70+OCTUBRE!Q70</f>
        <v>0</v>
      </c>
      <c r="F70" s="170">
        <f>SUM(C70:E70)</f>
        <v>75639118</v>
      </c>
      <c r="G70" s="283">
        <f>SEPTIEMBRE!I70</f>
        <v>39015886</v>
      </c>
      <c r="H70" s="457">
        <v>6423779</v>
      </c>
      <c r="I70" s="170">
        <f>SUM(G70:H70)</f>
        <v>45439665</v>
      </c>
      <c r="J70" s="283">
        <f>SEPTIEMBRE!L70</f>
        <v>13892972</v>
      </c>
      <c r="K70" s="457">
        <v>284324</v>
      </c>
      <c r="L70" s="170">
        <f>SUM(J70:K70)</f>
        <v>14177296</v>
      </c>
      <c r="M70" s="283">
        <f>F70-I70</f>
        <v>30199453</v>
      </c>
      <c r="N70" s="170">
        <f>F70-L70</f>
        <v>61461822</v>
      </c>
      <c r="O70" s="467"/>
      <c r="P70" s="455">
        <v>0</v>
      </c>
      <c r="Q70" s="458">
        <v>0</v>
      </c>
      <c r="R70" s="10"/>
      <c r="S70" s="156" t="str">
        <f>+IF(SEPTIEMBRE!S70=0,"",SEPTIEMBRE!S70)</f>
        <v>1020104-1</v>
      </c>
      <c r="T70" s="55" t="str">
        <f>+IF(SEPTIEMBRE!T70=0,"",SEPTIEMBRE!T70)</f>
        <v xml:space="preserve">Prima de Navidad </v>
      </c>
      <c r="U70" s="29">
        <f>+ENERO!U70</f>
        <v>78694383</v>
      </c>
      <c r="V70" s="17">
        <f>SEPTIEMBRE!V70+OCTUBRE!AL70</f>
        <v>0</v>
      </c>
      <c r="W70" s="17">
        <f>SEPTIEMBRE!W70+OCTUBRE!AM70</f>
        <v>5000000</v>
      </c>
      <c r="X70" s="20">
        <f t="shared" ref="X70:X81" si="68">SUM(U70:W70)</f>
        <v>83694383</v>
      </c>
      <c r="Y70" s="21">
        <f>SEPTIEMBRE!AA70</f>
        <v>6426065</v>
      </c>
      <c r="Z70" s="457">
        <v>0</v>
      </c>
      <c r="AA70" s="20">
        <f t="shared" ref="AA70:AA81" si="69">SUM(Y70:Z70)</f>
        <v>6426065</v>
      </c>
      <c r="AB70" s="21">
        <f>SEPTIEMBRE!AD70</f>
        <v>6426065</v>
      </c>
      <c r="AC70" s="457">
        <v>0</v>
      </c>
      <c r="AD70" s="20">
        <f t="shared" ref="AD70:AD81" si="70">SUM(AB70:AC70)</f>
        <v>6426065</v>
      </c>
      <c r="AE70" s="21">
        <f>SEPTIEMBRE!AG70</f>
        <v>0</v>
      </c>
      <c r="AF70" s="457">
        <v>1199797</v>
      </c>
      <c r="AG70" s="20">
        <f t="shared" ref="AG70:AG81" si="71">SUM(AE70:AF70)</f>
        <v>1199797</v>
      </c>
      <c r="AH70" s="21">
        <f t="shared" ref="AH70:AH81" si="72">X70-AA70</f>
        <v>77268318</v>
      </c>
      <c r="AI70" s="17">
        <f t="shared" ref="AI70:AI81" si="73">X70-AD70</f>
        <v>77268318</v>
      </c>
      <c r="AJ70" s="18">
        <f t="shared" ref="AJ70:AJ81" si="74">X70-AG70</f>
        <v>82494586</v>
      </c>
      <c r="AK70" s="10"/>
      <c r="AL70" s="455">
        <v>0</v>
      </c>
      <c r="AM70" s="458">
        <v>5000000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+IF(SEPTIEMBRE!A71=0,"",SEPTIEMBRE!A71)</f>
        <v>1130115-2</v>
      </c>
      <c r="B71" s="189" t="str">
        <f>+IF(SEPTIEMBRE!B71=0,"",SEPTIEMBRE!B71)</f>
        <v>Vigencias Anteriores</v>
      </c>
      <c r="C71" s="456">
        <f>+ENERO!C71</f>
        <v>35807426</v>
      </c>
      <c r="D71" s="456">
        <f>SEPTIEMBRE!D71+OCTUBRE!P71</f>
        <v>0</v>
      </c>
      <c r="E71" s="456">
        <f>SEPTIEMBRE!E71+OCTUBRE!Q71</f>
        <v>0</v>
      </c>
      <c r="F71" s="170">
        <f>SUM(C71:E71)</f>
        <v>35807426</v>
      </c>
      <c r="G71" s="283">
        <f>SEPTIEMBRE!I71</f>
        <v>51029982</v>
      </c>
      <c r="H71" s="457">
        <v>0</v>
      </c>
      <c r="I71" s="170">
        <f>SUM(G71:H71)</f>
        <v>51029982</v>
      </c>
      <c r="J71" s="283">
        <f>SEPTIEMBRE!L71</f>
        <v>51029982</v>
      </c>
      <c r="K71" s="457">
        <v>0</v>
      </c>
      <c r="L71" s="170">
        <f>SUM(J71:K71)</f>
        <v>51029982</v>
      </c>
      <c r="M71" s="283">
        <f>F71-I71</f>
        <v>-15222556</v>
      </c>
      <c r="N71" s="170">
        <f>F71-L71</f>
        <v>-15222556</v>
      </c>
      <c r="O71" s="467"/>
      <c r="P71" s="455">
        <v>0</v>
      </c>
      <c r="Q71" s="458">
        <v>0</v>
      </c>
      <c r="R71" s="10"/>
      <c r="S71" s="156" t="str">
        <f>+IF(SEPTIEMBRE!S71=0,"",SEPTIEMBRE!S71)</f>
        <v>1020104-2</v>
      </c>
      <c r="T71" s="55" t="str">
        <f>+IF(SEPTIEMBRE!T71=0,"",SEPTIEMBRE!T71)</f>
        <v>Prima Vida Cara</v>
      </c>
      <c r="U71" s="29">
        <f>+ENERO!U71</f>
        <v>0</v>
      </c>
      <c r="V71" s="17">
        <f>SEPTIEMBRE!V71+OCTUBRE!AL71</f>
        <v>0</v>
      </c>
      <c r="W71" s="17">
        <f>SEPTIEMBRE!W71+OCTUBRE!AM71</f>
        <v>0</v>
      </c>
      <c r="X71" s="20">
        <f t="shared" si="68"/>
        <v>0</v>
      </c>
      <c r="Y71" s="21">
        <f>SEPTIEMBRE!AA71</f>
        <v>0</v>
      </c>
      <c r="Z71" s="457">
        <v>0</v>
      </c>
      <c r="AA71" s="20">
        <f t="shared" si="69"/>
        <v>0</v>
      </c>
      <c r="AB71" s="21">
        <f>SEPTIEMBRE!AD71</f>
        <v>0</v>
      </c>
      <c r="AC71" s="457">
        <v>0</v>
      </c>
      <c r="AD71" s="20">
        <f t="shared" si="70"/>
        <v>0</v>
      </c>
      <c r="AE71" s="21">
        <f>SEPTIEMBRE!AG71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+IF(SEPTIEMBRE!A72=0,"",SEPTIEMBRE!A72)</f>
        <v>1130116</v>
      </c>
      <c r="B72" s="45" t="str">
        <f>+IF(SEPTIEMBRE!B72=0,"",SEPTIEMBRE!B72)</f>
        <v>ADMINISTRADORAS DE RIESGOS PROFESIONALES</v>
      </c>
      <c r="C72" s="53">
        <f t="shared" ref="C72:N72" si="75">SUM(C73:C74)</f>
        <v>17675457</v>
      </c>
      <c r="D72" s="53">
        <f t="shared" si="75"/>
        <v>0</v>
      </c>
      <c r="E72" s="53">
        <f t="shared" si="75"/>
        <v>0</v>
      </c>
      <c r="F72" s="54">
        <f t="shared" si="75"/>
        <v>17675457</v>
      </c>
      <c r="G72" s="52">
        <f t="shared" si="75"/>
        <v>20694332</v>
      </c>
      <c r="H72" s="53">
        <f t="shared" si="75"/>
        <v>2334331</v>
      </c>
      <c r="I72" s="54">
        <f t="shared" si="75"/>
        <v>23028663</v>
      </c>
      <c r="J72" s="52">
        <f t="shared" si="75"/>
        <v>14448280</v>
      </c>
      <c r="K72" s="53">
        <f t="shared" si="75"/>
        <v>2100760</v>
      </c>
      <c r="L72" s="54">
        <f t="shared" si="75"/>
        <v>16549040</v>
      </c>
      <c r="M72" s="52">
        <f t="shared" si="75"/>
        <v>-5353206</v>
      </c>
      <c r="N72" s="54">
        <f t="shared" si="75"/>
        <v>1126417</v>
      </c>
      <c r="P72" s="52">
        <f>SUM(P73:P74)</f>
        <v>0</v>
      </c>
      <c r="Q72" s="54">
        <f>SUM(Q73:Q74)</f>
        <v>0</v>
      </c>
      <c r="R72" s="10"/>
      <c r="S72" s="156" t="str">
        <f>+IF(SEPTIEMBRE!S72=0,"",SEPTIEMBRE!S72)</f>
        <v>1020104-3</v>
      </c>
      <c r="T72" s="55" t="str">
        <f>+IF(SEPTIEMBRE!T72=0,"",SEPTIEMBRE!T72)</f>
        <v>Prima de Vacaciones</v>
      </c>
      <c r="U72" s="29">
        <f>+ENERO!U72</f>
        <v>37546299</v>
      </c>
      <c r="V72" s="17">
        <f>SEPTIEMBRE!V72+OCTUBRE!AL72</f>
        <v>0</v>
      </c>
      <c r="W72" s="17">
        <f>SEPTIEMBRE!W72+OCTUBRE!AM72</f>
        <v>0</v>
      </c>
      <c r="X72" s="20">
        <f t="shared" si="68"/>
        <v>37546299</v>
      </c>
      <c r="Y72" s="21">
        <f>SEPTIEMBRE!AA72</f>
        <v>21009033</v>
      </c>
      <c r="Z72" s="457">
        <v>766512</v>
      </c>
      <c r="AA72" s="20">
        <f t="shared" si="69"/>
        <v>21775545</v>
      </c>
      <c r="AB72" s="21">
        <f>SEPTIEMBRE!AD72</f>
        <v>21009033</v>
      </c>
      <c r="AC72" s="457">
        <v>766512</v>
      </c>
      <c r="AD72" s="20">
        <f t="shared" si="70"/>
        <v>21775545</v>
      </c>
      <c r="AE72" s="21">
        <f>SEPTIEMBRE!AG72</f>
        <v>16391694</v>
      </c>
      <c r="AF72" s="457">
        <v>1588769</v>
      </c>
      <c r="AG72" s="20">
        <f t="shared" si="71"/>
        <v>17980463</v>
      </c>
      <c r="AH72" s="21">
        <f t="shared" si="72"/>
        <v>15770754</v>
      </c>
      <c r="AI72" s="17">
        <f t="shared" si="73"/>
        <v>15770754</v>
      </c>
      <c r="AJ72" s="18">
        <f t="shared" si="74"/>
        <v>19565836</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+IF(SEPTIEMBRE!A73=0,"",SEPTIEMBRE!A73)</f>
        <v>1130116-1</v>
      </c>
      <c r="B73" s="189" t="str">
        <f>+CONCATENATE("Vigencia ",INSTRUCCIONES!$F$3)</f>
        <v>Vigencia 2014</v>
      </c>
      <c r="C73" s="456">
        <f>+ENERO!C73</f>
        <v>13187137</v>
      </c>
      <c r="D73" s="456">
        <f>SEPTIEMBRE!D73+OCTUBRE!P73</f>
        <v>0</v>
      </c>
      <c r="E73" s="456">
        <f>SEPTIEMBRE!E73+OCTUBRE!Q73</f>
        <v>0</v>
      </c>
      <c r="F73" s="170">
        <f>SUM(C73:E73)</f>
        <v>13187137</v>
      </c>
      <c r="G73" s="283">
        <f>SEPTIEMBRE!I73</f>
        <v>17847167</v>
      </c>
      <c r="H73" s="457">
        <v>2334331</v>
      </c>
      <c r="I73" s="170">
        <f>SUM(G73:H73)</f>
        <v>20181498</v>
      </c>
      <c r="J73" s="283">
        <f>SEPTIEMBRE!L73</f>
        <v>11601115</v>
      </c>
      <c r="K73" s="457">
        <v>2100760</v>
      </c>
      <c r="L73" s="170">
        <f>SUM(J73:K73)</f>
        <v>13701875</v>
      </c>
      <c r="M73" s="283">
        <f>F73-I73</f>
        <v>-6994361</v>
      </c>
      <c r="N73" s="170">
        <f>F73-L73</f>
        <v>-514738</v>
      </c>
      <c r="O73" s="467"/>
      <c r="P73" s="455">
        <v>0</v>
      </c>
      <c r="Q73" s="458">
        <v>0</v>
      </c>
      <c r="R73" s="10"/>
      <c r="S73" s="156" t="str">
        <f>+IF(SEPTIEMBRE!S73=0,"",SEPTIEMBRE!S73)</f>
        <v>1020104-4</v>
      </c>
      <c r="T73" s="55" t="str">
        <f>+IF(SEPTIEMBRE!T73=0,"",SEPTIEMBRE!T73)</f>
        <v>Prima Clima</v>
      </c>
      <c r="U73" s="29">
        <f>+ENERO!U73</f>
        <v>0</v>
      </c>
      <c r="V73" s="17">
        <f>SEPTIEMBRE!V73+OCTUBRE!AL73</f>
        <v>0</v>
      </c>
      <c r="W73" s="17">
        <f>SEPTIEMBRE!W73+OCTUBRE!AM73</f>
        <v>0</v>
      </c>
      <c r="X73" s="20">
        <f t="shared" si="68"/>
        <v>0</v>
      </c>
      <c r="Y73" s="21">
        <f>SEPTIEMBRE!AA73</f>
        <v>0</v>
      </c>
      <c r="Z73" s="457">
        <v>0</v>
      </c>
      <c r="AA73" s="20">
        <f t="shared" si="69"/>
        <v>0</v>
      </c>
      <c r="AB73" s="21">
        <f>SEPTIEMBRE!AD73</f>
        <v>0</v>
      </c>
      <c r="AC73" s="457">
        <v>0</v>
      </c>
      <c r="AD73" s="20">
        <f t="shared" si="70"/>
        <v>0</v>
      </c>
      <c r="AE73" s="21">
        <f>SEPTIEMBRE!AG73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+IF(SEPTIEMBRE!A74=0,"",SEPTIEMBRE!A74)</f>
        <v>1130116-2</v>
      </c>
      <c r="B74" s="189" t="str">
        <f>+IF(SEPTIEMBRE!B74=0,"",SEPTIEMBRE!B74)</f>
        <v>Vigencias Anteriores</v>
      </c>
      <c r="C74" s="456">
        <f>+ENERO!C74</f>
        <v>4488320</v>
      </c>
      <c r="D74" s="456">
        <f>SEPTIEMBRE!D74+OCTUBRE!P74</f>
        <v>0</v>
      </c>
      <c r="E74" s="456">
        <f>SEPTIEMBRE!E74+OCTUBRE!Q74</f>
        <v>0</v>
      </c>
      <c r="F74" s="170">
        <f>SUM(C74:E74)</f>
        <v>4488320</v>
      </c>
      <c r="G74" s="283">
        <f>SEPTIEMBRE!I74</f>
        <v>2847165</v>
      </c>
      <c r="H74" s="457">
        <v>0</v>
      </c>
      <c r="I74" s="170">
        <f>SUM(G74:H74)</f>
        <v>2847165</v>
      </c>
      <c r="J74" s="283">
        <f>SEPTIEMBRE!L74</f>
        <v>2847165</v>
      </c>
      <c r="K74" s="457">
        <v>0</v>
      </c>
      <c r="L74" s="170">
        <f>SUM(J74:K74)</f>
        <v>2847165</v>
      </c>
      <c r="M74" s="283">
        <f>F74-I74</f>
        <v>1641155</v>
      </c>
      <c r="N74" s="170">
        <f>F74-L74</f>
        <v>1641155</v>
      </c>
      <c r="O74" s="467"/>
      <c r="P74" s="455">
        <v>0</v>
      </c>
      <c r="Q74" s="458">
        <v>0</v>
      </c>
      <c r="R74" s="10"/>
      <c r="S74" s="156" t="str">
        <f>+IF(SEPTIEMBRE!S74=0,"",SEPTIEMBRE!S74)</f>
        <v>1020104-5</v>
      </c>
      <c r="T74" s="55" t="str">
        <f>+IF(SEPTIEMBRE!T74=0,"",SEPTIEMBRE!T74)</f>
        <v>Prima de Servicios</v>
      </c>
      <c r="U74" s="29">
        <f>+ENERO!U74</f>
        <v>5675116</v>
      </c>
      <c r="V74" s="17">
        <f>SEPTIEMBRE!V74+OCTUBRE!AL74</f>
        <v>0</v>
      </c>
      <c r="W74" s="17">
        <f>SEPTIEMBRE!W74+OCTUBRE!AM74</f>
        <v>0</v>
      </c>
      <c r="X74" s="20">
        <f t="shared" si="68"/>
        <v>5675116</v>
      </c>
      <c r="Y74" s="21">
        <f>SEPTIEMBRE!AA74</f>
        <v>5675116</v>
      </c>
      <c r="Z74" s="457">
        <v>0</v>
      </c>
      <c r="AA74" s="20">
        <f t="shared" si="69"/>
        <v>5675116</v>
      </c>
      <c r="AB74" s="21">
        <f>SEPTIEMBRE!AD74</f>
        <v>5675116</v>
      </c>
      <c r="AC74" s="457">
        <v>0</v>
      </c>
      <c r="AD74" s="20">
        <f t="shared" si="70"/>
        <v>5675116</v>
      </c>
      <c r="AE74" s="21">
        <f>SEPTIEMBRE!AG74</f>
        <v>5675116</v>
      </c>
      <c r="AF74" s="457">
        <v>0</v>
      </c>
      <c r="AG74" s="20">
        <f t="shared" si="71"/>
        <v>5675116</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+IF(SEPTIEMBRE!A75=0,"",SEPTIEMBRE!A75)</f>
        <v>1130117</v>
      </c>
      <c r="B75" s="45" t="str">
        <f>+IF(SEPTIEMBRE!B75=0,"",SEPTIEMBRE!B75)</f>
        <v>CUOTAS DE RECUPERACION</v>
      </c>
      <c r="C75" s="53">
        <f t="shared" ref="C75:N75" si="76">SUM(C76:C77)</f>
        <v>1100000</v>
      </c>
      <c r="D75" s="53">
        <f t="shared" si="76"/>
        <v>0</v>
      </c>
      <c r="E75" s="53">
        <f t="shared" si="76"/>
        <v>31700000</v>
      </c>
      <c r="F75" s="54">
        <f t="shared" si="76"/>
        <v>32800000</v>
      </c>
      <c r="G75" s="52">
        <f t="shared" si="76"/>
        <v>32860005</v>
      </c>
      <c r="H75" s="53">
        <f t="shared" si="76"/>
        <v>0</v>
      </c>
      <c r="I75" s="54">
        <f t="shared" si="76"/>
        <v>32860005</v>
      </c>
      <c r="J75" s="52">
        <f t="shared" si="76"/>
        <v>32860005</v>
      </c>
      <c r="K75" s="53">
        <f t="shared" si="76"/>
        <v>20620</v>
      </c>
      <c r="L75" s="54">
        <f t="shared" si="76"/>
        <v>32880625</v>
      </c>
      <c r="M75" s="52">
        <f t="shared" si="76"/>
        <v>-60005</v>
      </c>
      <c r="N75" s="54">
        <f t="shared" si="76"/>
        <v>-80625</v>
      </c>
      <c r="P75" s="52">
        <f>SUM(P76:P77)</f>
        <v>0</v>
      </c>
      <c r="Q75" s="54">
        <f>SUM(Q76:Q77)</f>
        <v>31700000</v>
      </c>
      <c r="R75" s="10"/>
      <c r="S75" s="156" t="str">
        <f>+IF(SEPTIEMBRE!S75=0,"",SEPTIEMBRE!S75)</f>
        <v>1020104-8</v>
      </c>
      <c r="T75" s="55" t="str">
        <f>+IF(SEPTIEMBRE!T75=0,"",SEPTIEMBRE!T75)</f>
        <v>Bonific. por Servicios Prestados (Convencional)</v>
      </c>
      <c r="U75" s="29">
        <f>+ENERO!U75</f>
        <v>0</v>
      </c>
      <c r="V75" s="17">
        <f>SEPTIEMBRE!V75+OCTUBRE!AL75</f>
        <v>0</v>
      </c>
      <c r="W75" s="17">
        <f>SEPTIEMBRE!W75+OCTUBRE!AM75</f>
        <v>0</v>
      </c>
      <c r="X75" s="20">
        <f t="shared" si="68"/>
        <v>0</v>
      </c>
      <c r="Y75" s="21">
        <f>SEPTIEMBRE!AA75</f>
        <v>0</v>
      </c>
      <c r="Z75" s="457">
        <v>0</v>
      </c>
      <c r="AA75" s="20">
        <f t="shared" si="69"/>
        <v>0</v>
      </c>
      <c r="AB75" s="21">
        <f>SEPTIEMBRE!AD75</f>
        <v>0</v>
      </c>
      <c r="AC75" s="457">
        <v>0</v>
      </c>
      <c r="AD75" s="20">
        <f t="shared" si="70"/>
        <v>0</v>
      </c>
      <c r="AE75" s="21">
        <f>SEPTIEMBRE!AG75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+IF(SEPTIEMBRE!A76=0,"",SEPTIEMBRE!A76)</f>
        <v>1130117-1</v>
      </c>
      <c r="B76" s="189" t="str">
        <f>+CONCATENATE("Vigencia ",INSTRUCCIONES!$F$3)</f>
        <v>Vigencia 2014</v>
      </c>
      <c r="C76" s="456">
        <f>+ENERO!C76</f>
        <v>1100000</v>
      </c>
      <c r="D76" s="456">
        <f>SEPTIEMBRE!D76+OCTUBRE!P76</f>
        <v>0</v>
      </c>
      <c r="E76" s="456">
        <f>SEPTIEMBRE!E76+OCTUBRE!Q76</f>
        <v>31700000</v>
      </c>
      <c r="F76" s="170">
        <f t="shared" ref="F76:F83" si="77">SUM(C76:E76)</f>
        <v>32800000</v>
      </c>
      <c r="G76" s="283">
        <f>SEPTIEMBRE!I76</f>
        <v>32860005</v>
      </c>
      <c r="H76" s="457">
        <v>0</v>
      </c>
      <c r="I76" s="170">
        <f t="shared" ref="I76:I83" si="78">SUM(G76:H76)</f>
        <v>32860005</v>
      </c>
      <c r="J76" s="283">
        <f>SEPTIEMBRE!L76</f>
        <v>32860005</v>
      </c>
      <c r="K76" s="457">
        <v>20620</v>
      </c>
      <c r="L76" s="170">
        <f t="shared" ref="L76:L83" si="79">SUM(J76:K76)</f>
        <v>32880625</v>
      </c>
      <c r="M76" s="283">
        <f t="shared" ref="M76:M83" si="80">F76-I76</f>
        <v>-60005</v>
      </c>
      <c r="N76" s="170">
        <f t="shared" ref="N76:N83" si="81">F76-L76</f>
        <v>-80625</v>
      </c>
      <c r="O76" s="467"/>
      <c r="P76" s="455">
        <v>0</v>
      </c>
      <c r="Q76" s="458">
        <v>31700000</v>
      </c>
      <c r="R76" s="10"/>
      <c r="S76" s="156" t="str">
        <f>+IF(SEPTIEMBRE!S76=0,"",SEPTIEMBRE!S76)</f>
        <v>1020104-9</v>
      </c>
      <c r="T76" s="55" t="str">
        <f>+IF(SEPTIEMBRE!T76=0,"",SEPTIEMBRE!T76)</f>
        <v>Auxilio de Transporte</v>
      </c>
      <c r="U76" s="29">
        <f>+ENERO!U76</f>
        <v>0</v>
      </c>
      <c r="V76" s="17">
        <f>SEPTIEMBRE!V76+OCTUBRE!AL76</f>
        <v>0</v>
      </c>
      <c r="W76" s="17">
        <f>SEPTIEMBRE!W76+OCTUBRE!AM76</f>
        <v>0</v>
      </c>
      <c r="X76" s="20">
        <f t="shared" si="68"/>
        <v>0</v>
      </c>
      <c r="Y76" s="21">
        <f>SEPTIEMBRE!AA76</f>
        <v>0</v>
      </c>
      <c r="Z76" s="457">
        <v>0</v>
      </c>
      <c r="AA76" s="20">
        <f t="shared" si="69"/>
        <v>0</v>
      </c>
      <c r="AB76" s="21">
        <f>SEPTIEMBRE!AD76</f>
        <v>0</v>
      </c>
      <c r="AC76" s="457">
        <v>0</v>
      </c>
      <c r="AD76" s="20">
        <f t="shared" si="70"/>
        <v>0</v>
      </c>
      <c r="AE76" s="21">
        <f>SEPTIEMBRE!AG76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+IF(SEPTIEMBRE!A77=0,"",SEPTIEMBRE!A77)</f>
        <v>1130117-2</v>
      </c>
      <c r="B77" s="189" t="str">
        <f>+IF(SEPTIEMBRE!B77=0,"",SEPTIEMBRE!B77)</f>
        <v>Vigencias Anteriores</v>
      </c>
      <c r="C77" s="456">
        <f>+ENERO!C77</f>
        <v>0</v>
      </c>
      <c r="D77" s="456">
        <f>SEPTIEMBRE!D77+OCTUBRE!P77</f>
        <v>0</v>
      </c>
      <c r="E77" s="456">
        <f>SEPTIEMBRE!E77+OCTUBRE!Q77</f>
        <v>0</v>
      </c>
      <c r="F77" s="170">
        <f t="shared" si="77"/>
        <v>0</v>
      </c>
      <c r="G77" s="283">
        <f>SEPTIEMBRE!I77</f>
        <v>0</v>
      </c>
      <c r="H77" s="457">
        <v>0</v>
      </c>
      <c r="I77" s="170">
        <f t="shared" si="78"/>
        <v>0</v>
      </c>
      <c r="J77" s="283">
        <f>SEPTIEMBRE!L77</f>
        <v>0</v>
      </c>
      <c r="K77" s="457">
        <v>0</v>
      </c>
      <c r="L77" s="170">
        <f t="shared" si="79"/>
        <v>0</v>
      </c>
      <c r="M77" s="283">
        <f t="shared" si="80"/>
        <v>0</v>
      </c>
      <c r="N77" s="170">
        <f t="shared" si="81"/>
        <v>0</v>
      </c>
      <c r="O77" s="467"/>
      <c r="P77" s="455">
        <v>0</v>
      </c>
      <c r="Q77" s="458">
        <v>0</v>
      </c>
      <c r="R77" s="10"/>
      <c r="S77" s="156" t="str">
        <f>+IF(SEPTIEMBRE!S77=0,"",SEPTIEMBRE!S77)</f>
        <v>1020104-10</v>
      </c>
      <c r="T77" s="55" t="str">
        <f>+IF(SEPTIEMBRE!T77=0,"",SEPTIEMBRE!T77)</f>
        <v>Subsidio de Alimentación</v>
      </c>
      <c r="U77" s="29">
        <f>+ENERO!U77</f>
        <v>3859093</v>
      </c>
      <c r="V77" s="17">
        <f>SEPTIEMBRE!V77+OCTUBRE!AL77</f>
        <v>0</v>
      </c>
      <c r="W77" s="17">
        <f>SEPTIEMBRE!W77+OCTUBRE!AM77</f>
        <v>0</v>
      </c>
      <c r="X77" s="20">
        <f t="shared" si="68"/>
        <v>3859093</v>
      </c>
      <c r="Y77" s="21">
        <f>SEPTIEMBRE!AA77</f>
        <v>2656040</v>
      </c>
      <c r="Z77" s="457">
        <v>323344</v>
      </c>
      <c r="AA77" s="20">
        <f t="shared" si="69"/>
        <v>2979384</v>
      </c>
      <c r="AB77" s="21">
        <f>SEPTIEMBRE!AD77</f>
        <v>2656040</v>
      </c>
      <c r="AC77" s="457">
        <v>323344</v>
      </c>
      <c r="AD77" s="20">
        <f t="shared" si="70"/>
        <v>2979384</v>
      </c>
      <c r="AE77" s="21">
        <f>SEPTIEMBRE!AG77</f>
        <v>2656040</v>
      </c>
      <c r="AF77" s="457">
        <v>323344</v>
      </c>
      <c r="AG77" s="20">
        <f t="shared" si="71"/>
        <v>2979384</v>
      </c>
      <c r="AH77" s="21">
        <f t="shared" si="72"/>
        <v>879709</v>
      </c>
      <c r="AI77" s="17">
        <f t="shared" si="73"/>
        <v>879709</v>
      </c>
      <c r="AJ77" s="18">
        <f t="shared" si="74"/>
        <v>879709</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+IF(SEPTIEMBRE!A78=0,"",SEPTIEMBRE!A78)</f>
        <v>1130118</v>
      </c>
      <c r="B78" s="45" t="str">
        <f>+IF(SEPTIEMBRE!B78=0,"",SEPTIEMBRE!B78)</f>
        <v>PARTICULARES   (Venta de Contado)</v>
      </c>
      <c r="C78" s="53">
        <f>SUM(C79:C80)</f>
        <v>81679743</v>
      </c>
      <c r="D78" s="53">
        <f>SUM(D79:D80)</f>
        <v>0</v>
      </c>
      <c r="E78" s="53">
        <f>SUM(E79:E80)</f>
        <v>0</v>
      </c>
      <c r="F78" s="54">
        <f t="shared" si="77"/>
        <v>81679743</v>
      </c>
      <c r="G78" s="52">
        <f>SUM(G79:G80)</f>
        <v>30221250</v>
      </c>
      <c r="H78" s="53">
        <f>SUM(H79:H80)</f>
        <v>4675798</v>
      </c>
      <c r="I78" s="54">
        <f t="shared" si="78"/>
        <v>34897048</v>
      </c>
      <c r="J78" s="52">
        <f>SUM(J79:J80)</f>
        <v>29544908</v>
      </c>
      <c r="K78" s="53">
        <f>SUM(K79:K80)</f>
        <v>4418792</v>
      </c>
      <c r="L78" s="54">
        <f t="shared" si="79"/>
        <v>33963700</v>
      </c>
      <c r="M78" s="52">
        <f t="shared" si="80"/>
        <v>46782695</v>
      </c>
      <c r="N78" s="54">
        <f t="shared" si="81"/>
        <v>47716043</v>
      </c>
      <c r="O78" s="467"/>
      <c r="P78" s="52">
        <f>SUM(P79:P80)</f>
        <v>0</v>
      </c>
      <c r="Q78" s="54">
        <f>SUM(Q79:Q80)</f>
        <v>0</v>
      </c>
      <c r="R78" s="10"/>
      <c r="S78" s="156" t="str">
        <f>+IF(SEPTIEMBRE!S78=0,"",SEPTIEMBRE!S78)</f>
        <v>1020104-12</v>
      </c>
      <c r="T78" s="55" t="str">
        <f>+IF(SEPTIEMBRE!T78=0,"",SEPTIEMBRE!T78)</f>
        <v>Indemnizaciones por Vacaciones o Supresión de Cargos por Reestructuración</v>
      </c>
      <c r="U78" s="29">
        <f>+ENERO!U78</f>
        <v>0</v>
      </c>
      <c r="V78" s="17">
        <f>SEPTIEMBRE!V78+OCTUBRE!AL78</f>
        <v>0</v>
      </c>
      <c r="W78" s="17">
        <f>SEPTIEMBRE!W78+OCTUBRE!AM78</f>
        <v>0</v>
      </c>
      <c r="X78" s="20">
        <f t="shared" si="68"/>
        <v>0</v>
      </c>
      <c r="Y78" s="21">
        <f>SEPTIEMBRE!AA78</f>
        <v>0</v>
      </c>
      <c r="Z78" s="457">
        <v>0</v>
      </c>
      <c r="AA78" s="20">
        <f t="shared" si="69"/>
        <v>0</v>
      </c>
      <c r="AB78" s="21">
        <f>SEPTIEMBRE!AD78</f>
        <v>0</v>
      </c>
      <c r="AC78" s="457">
        <v>0</v>
      </c>
      <c r="AD78" s="20">
        <f t="shared" si="70"/>
        <v>0</v>
      </c>
      <c r="AE78" s="21">
        <f>SEPTIEMBRE!AG78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+IF(SEPTIEMBRE!A79=0,"",SEPTIEMBRE!A79)</f>
        <v>1130118-1</v>
      </c>
      <c r="B79" s="189" t="str">
        <f>+CONCATENATE("Vigencia ",INSTRUCCIONES!$F$3)</f>
        <v>Vigencia 2014</v>
      </c>
      <c r="C79" s="456">
        <f>+ENERO!C79</f>
        <v>81679743</v>
      </c>
      <c r="D79" s="456">
        <f>SEPTIEMBRE!D79+OCTUBRE!P79</f>
        <v>0</v>
      </c>
      <c r="E79" s="456">
        <f>SEPTIEMBRE!E79+OCTUBRE!Q79</f>
        <v>0</v>
      </c>
      <c r="F79" s="170">
        <f t="shared" si="77"/>
        <v>81679743</v>
      </c>
      <c r="G79" s="283">
        <f>SEPTIEMBRE!I79</f>
        <v>30221250</v>
      </c>
      <c r="H79" s="457">
        <v>4675798</v>
      </c>
      <c r="I79" s="170">
        <f t="shared" si="78"/>
        <v>34897048</v>
      </c>
      <c r="J79" s="283">
        <f>SEPTIEMBRE!L79</f>
        <v>29544908</v>
      </c>
      <c r="K79" s="457">
        <v>4418792</v>
      </c>
      <c r="L79" s="170">
        <f t="shared" si="79"/>
        <v>33963700</v>
      </c>
      <c r="M79" s="283">
        <f t="shared" si="80"/>
        <v>46782695</v>
      </c>
      <c r="N79" s="170">
        <f t="shared" si="81"/>
        <v>47716043</v>
      </c>
      <c r="P79" s="455">
        <v>0</v>
      </c>
      <c r="Q79" s="458">
        <v>0</v>
      </c>
      <c r="R79" s="10"/>
      <c r="S79" s="156" t="str">
        <f>+IF(SEPTIEMBRE!S79=0,"",SEPTIEMBRE!S79)</f>
        <v>1020104-13</v>
      </c>
      <c r="T79" s="55" t="str">
        <f>+IF(SEPTIEMBRE!T79=0,"",SEPTIEMBRE!T79)</f>
        <v>Bonificación Especial por Recreación</v>
      </c>
      <c r="U79" s="29">
        <f>+ENERO!U79</f>
        <v>5006173</v>
      </c>
      <c r="V79" s="17">
        <f>SEPTIEMBRE!V79+OCTUBRE!AL79</f>
        <v>0</v>
      </c>
      <c r="W79" s="17">
        <f>SEPTIEMBRE!W79+OCTUBRE!AM79</f>
        <v>0</v>
      </c>
      <c r="X79" s="20">
        <f t="shared" si="68"/>
        <v>5006173</v>
      </c>
      <c r="Y79" s="21">
        <f>SEPTIEMBRE!AA79</f>
        <v>2796323</v>
      </c>
      <c r="Z79" s="457">
        <v>102202</v>
      </c>
      <c r="AA79" s="20">
        <f t="shared" si="69"/>
        <v>2898525</v>
      </c>
      <c r="AB79" s="21">
        <f>SEPTIEMBRE!AD79</f>
        <v>2796323</v>
      </c>
      <c r="AC79" s="457">
        <v>102202</v>
      </c>
      <c r="AD79" s="20">
        <f t="shared" si="70"/>
        <v>2898525</v>
      </c>
      <c r="AE79" s="21">
        <f>SEPTIEMBRE!AG79</f>
        <v>2180680</v>
      </c>
      <c r="AF79" s="457">
        <v>211836</v>
      </c>
      <c r="AG79" s="20">
        <f t="shared" si="71"/>
        <v>2392516</v>
      </c>
      <c r="AH79" s="21">
        <f t="shared" si="72"/>
        <v>2107648</v>
      </c>
      <c r="AI79" s="17">
        <f t="shared" si="73"/>
        <v>2107648</v>
      </c>
      <c r="AJ79" s="18">
        <f t="shared" si="74"/>
        <v>2613657</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+IF(SEPTIEMBRE!A80=0,"",SEPTIEMBRE!A80)</f>
        <v>1130118-2</v>
      </c>
      <c r="B80" s="189" t="str">
        <f>+IF(SEPTIEMBRE!B80=0,"",SEPTIEMBRE!B80)</f>
        <v>Vigencias Anteriores</v>
      </c>
      <c r="C80" s="456">
        <f>+ENERO!C80</f>
        <v>0</v>
      </c>
      <c r="D80" s="456">
        <f>SEPTIEMBRE!D80+OCTUBRE!P80</f>
        <v>0</v>
      </c>
      <c r="E80" s="456">
        <f>SEPTIEMBRE!E80+OCTUBRE!Q80</f>
        <v>0</v>
      </c>
      <c r="F80" s="170">
        <f t="shared" si="77"/>
        <v>0</v>
      </c>
      <c r="G80" s="283">
        <f>SEPTIEMBRE!I80</f>
        <v>0</v>
      </c>
      <c r="H80" s="457">
        <v>0</v>
      </c>
      <c r="I80" s="170">
        <f t="shared" si="78"/>
        <v>0</v>
      </c>
      <c r="J80" s="283">
        <f>SEPTIEMBRE!L80</f>
        <v>0</v>
      </c>
      <c r="K80" s="457">
        <v>0</v>
      </c>
      <c r="L80" s="170">
        <f t="shared" si="79"/>
        <v>0</v>
      </c>
      <c r="M80" s="283">
        <f t="shared" si="80"/>
        <v>0</v>
      </c>
      <c r="N80" s="170">
        <f t="shared" si="81"/>
        <v>0</v>
      </c>
      <c r="O80" s="467"/>
      <c r="P80" s="455">
        <v>0</v>
      </c>
      <c r="Q80" s="458">
        <v>0</v>
      </c>
      <c r="S80" s="156" t="str">
        <f>+IF(SEPTIEMBRE!S80=0,"",SEPTIEMBRE!S80)</f>
        <v>1020104-14</v>
      </c>
      <c r="T80" s="55" t="str">
        <f>+IF(SEPTIEMBRE!T80=0,"",SEPTIEMBRE!T80)</f>
        <v/>
      </c>
      <c r="U80" s="29">
        <f>+ENERO!U80</f>
        <v>0</v>
      </c>
      <c r="V80" s="17">
        <f>SEPTIEMBRE!V80+OCTUBRE!AL80</f>
        <v>0</v>
      </c>
      <c r="W80" s="17">
        <f>SEPTIEMBRE!W80+OCTUBRE!AM80</f>
        <v>0</v>
      </c>
      <c r="X80" s="20">
        <f t="shared" si="68"/>
        <v>0</v>
      </c>
      <c r="Y80" s="21">
        <f>SEPTIEMBRE!AA80</f>
        <v>0</v>
      </c>
      <c r="Z80" s="457">
        <v>0</v>
      </c>
      <c r="AA80" s="20">
        <f t="shared" si="69"/>
        <v>0</v>
      </c>
      <c r="AB80" s="21">
        <f>SEPTIEMBRE!AD80</f>
        <v>0</v>
      </c>
      <c r="AC80" s="457">
        <v>0</v>
      </c>
      <c r="AD80" s="20">
        <f t="shared" si="70"/>
        <v>0</v>
      </c>
      <c r="AE80" s="21">
        <f>SEPTIEMBRE!AG80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+IF(SEPTIEMBRE!A81=0,"",SEPTIEMBRE!A81)</f>
        <v>1130119</v>
      </c>
      <c r="B81" s="45" t="str">
        <f>+IF(SEPTIEMBRE!B81=0,"",SEPTIEMBRE!B81)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+IF(SEPTIEMBRE!S81=0,"",SEPTIEMBRE!S81)</f>
        <v>1020199</v>
      </c>
      <c r="T81" s="159" t="str">
        <f>+IF(SEPTIEMBRE!T81=0,"",SEPTIEMBRE!T81)</f>
        <v>Vigencias Anteriores</v>
      </c>
      <c r="U81" s="29">
        <f>+ENERO!U81</f>
        <v>8738114</v>
      </c>
      <c r="V81" s="17">
        <f>SEPTIEMBRE!V81+OCTUBRE!AL81</f>
        <v>5657703</v>
      </c>
      <c r="W81" s="17">
        <f>SEPTIEMBRE!W81+OCTUBRE!AM81</f>
        <v>8749212</v>
      </c>
      <c r="X81" s="20">
        <f t="shared" si="68"/>
        <v>23145029</v>
      </c>
      <c r="Y81" s="21">
        <f>SEPTIEMBRE!AA81</f>
        <v>22680029</v>
      </c>
      <c r="Z81" s="457">
        <v>0</v>
      </c>
      <c r="AA81" s="20">
        <f t="shared" si="69"/>
        <v>22680029</v>
      </c>
      <c r="AB81" s="21">
        <f>SEPTIEMBRE!AD81</f>
        <v>22680029</v>
      </c>
      <c r="AC81" s="457">
        <v>0</v>
      </c>
      <c r="AD81" s="20">
        <f t="shared" si="70"/>
        <v>22680029</v>
      </c>
      <c r="AE81" s="21">
        <f>SEPTIEMBRE!AG81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+IF(SEPTIEMBRE!A82=0,"",SEPTIEMBRE!A82)</f>
        <v>1130119-1</v>
      </c>
      <c r="B82" s="189" t="str">
        <f>+CONCATENATE("Vigencia ",INSTRUCCIONES!$F$3)</f>
        <v>Vigencia 2014</v>
      </c>
      <c r="C82" s="456">
        <f>+ENERO!C82</f>
        <v>0</v>
      </c>
      <c r="D82" s="456">
        <f>SEPTIEMBRE!D82+OCTUBRE!P82</f>
        <v>0</v>
      </c>
      <c r="E82" s="456">
        <f>SEPTIEMBRE!E82+OCTUBRE!Q82</f>
        <v>0</v>
      </c>
      <c r="F82" s="170">
        <f t="shared" si="77"/>
        <v>0</v>
      </c>
      <c r="G82" s="283">
        <f>SEPTIEMBRE!I82</f>
        <v>0</v>
      </c>
      <c r="H82" s="457">
        <v>0</v>
      </c>
      <c r="I82" s="170">
        <f t="shared" si="78"/>
        <v>0</v>
      </c>
      <c r="J82" s="283">
        <f>SEPTIEMBRE!L82</f>
        <v>0</v>
      </c>
      <c r="K82" s="457">
        <v>0</v>
      </c>
      <c r="L82" s="170">
        <f t="shared" si="79"/>
        <v>0</v>
      </c>
      <c r="M82" s="283">
        <f t="shared" si="80"/>
        <v>0</v>
      </c>
      <c r="N82" s="170">
        <f t="shared" si="81"/>
        <v>0</v>
      </c>
      <c r="P82" s="455">
        <v>0</v>
      </c>
      <c r="Q82" s="458">
        <v>0</v>
      </c>
      <c r="R82" s="10"/>
      <c r="S82" s="448" t="str">
        <f>+IF(SEPTIEMBRE!S82=0,"",SEPTIEMBRE!S82)</f>
        <v/>
      </c>
      <c r="T82" s="649" t="str">
        <f>+IF(SEPTIEMBRE!T82=0,"",SEPTIEMBRE!T82)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+IF(SEPTIEMBRE!A83=0,"",SEPTIEMBRE!A83)</f>
        <v>1130119-2</v>
      </c>
      <c r="B83" s="189" t="str">
        <f>+IF(SEPTIEMBRE!B83=0,"",SEPTIEMBRE!B83)</f>
        <v>Vigencias Anteriores</v>
      </c>
      <c r="C83" s="456">
        <f>+ENERO!C83</f>
        <v>0</v>
      </c>
      <c r="D83" s="456">
        <f>SEPTIEMBRE!D83+OCTUBRE!P83</f>
        <v>0</v>
      </c>
      <c r="E83" s="456">
        <f>SEPTIEMBRE!E83+OCTUBRE!Q83</f>
        <v>0</v>
      </c>
      <c r="F83" s="170">
        <f t="shared" si="77"/>
        <v>0</v>
      </c>
      <c r="G83" s="283">
        <f>SEPTIEMBRE!I83</f>
        <v>0</v>
      </c>
      <c r="H83" s="457">
        <v>0</v>
      </c>
      <c r="I83" s="170">
        <f t="shared" si="78"/>
        <v>0</v>
      </c>
      <c r="J83" s="283">
        <f>SEPTIEMBRE!L83</f>
        <v>0</v>
      </c>
      <c r="K83" s="457">
        <v>0</v>
      </c>
      <c r="L83" s="170">
        <f t="shared" si="79"/>
        <v>0</v>
      </c>
      <c r="M83" s="283">
        <f t="shared" si="80"/>
        <v>0</v>
      </c>
      <c r="N83" s="170">
        <f t="shared" si="81"/>
        <v>0</v>
      </c>
      <c r="P83" s="455">
        <v>0</v>
      </c>
      <c r="Q83" s="458">
        <v>0</v>
      </c>
      <c r="R83" s="10"/>
      <c r="S83" s="34">
        <f>+IF(SEPTIEMBRE!S83=0,"",SEPTIEMBRE!S83)</f>
        <v>1020200</v>
      </c>
      <c r="T83" s="158" t="str">
        <f>+IF(SEPTIEMBRE!T83=0,"",SEPTIEMBRE!T83)</f>
        <v>Servicios Personales Indirectos</v>
      </c>
      <c r="U83" s="157">
        <f t="shared" ref="U83:AJ83" si="83">SUM(U84:U88)</f>
        <v>71000000</v>
      </c>
      <c r="V83" s="144">
        <f t="shared" si="83"/>
        <v>0</v>
      </c>
      <c r="W83" s="144">
        <f t="shared" si="83"/>
        <v>29687311</v>
      </c>
      <c r="X83" s="152">
        <f t="shared" si="83"/>
        <v>100687311</v>
      </c>
      <c r="Y83" s="151">
        <f t="shared" si="83"/>
        <v>35201832</v>
      </c>
      <c r="Z83" s="144">
        <f t="shared" si="83"/>
        <v>1937599</v>
      </c>
      <c r="AA83" s="152">
        <f t="shared" si="83"/>
        <v>37139431</v>
      </c>
      <c r="AB83" s="151">
        <f t="shared" si="83"/>
        <v>35201832</v>
      </c>
      <c r="AC83" s="144">
        <f t="shared" si="83"/>
        <v>1937599</v>
      </c>
      <c r="AD83" s="152">
        <f t="shared" si="83"/>
        <v>37139431</v>
      </c>
      <c r="AE83" s="151">
        <f t="shared" si="83"/>
        <v>32025488</v>
      </c>
      <c r="AF83" s="144">
        <f t="shared" si="83"/>
        <v>1967444</v>
      </c>
      <c r="AG83" s="152">
        <f t="shared" si="83"/>
        <v>33992932</v>
      </c>
      <c r="AH83" s="151">
        <f t="shared" si="83"/>
        <v>63547880</v>
      </c>
      <c r="AI83" s="144">
        <f t="shared" si="83"/>
        <v>63547880</v>
      </c>
      <c r="AJ83" s="153">
        <f t="shared" si="83"/>
        <v>66694379</v>
      </c>
      <c r="AK83" s="10"/>
      <c r="AL83" s="151">
        <f>SUM(AL84:AL88)</f>
        <v>0</v>
      </c>
      <c r="AM83" s="153">
        <f>SUM(AM84:AM88)</f>
        <v>25000000</v>
      </c>
      <c r="AN83" s="10"/>
      <c r="AO83" s="365"/>
      <c r="AP83" s="365"/>
      <c r="AQ83" s="365"/>
      <c r="AR83" s="365"/>
      <c r="AS83" s="365"/>
      <c r="AT83" s="365"/>
      <c r="AU83" s="365"/>
      <c r="AV83" s="365"/>
      <c r="AW83" s="365"/>
      <c r="AX83" s="365"/>
      <c r="AY83" s="365"/>
      <c r="AZ83" s="365"/>
      <c r="BM83" s="10"/>
    </row>
    <row r="84" spans="1:70" s="467" customFormat="1" x14ac:dyDescent="0.2">
      <c r="A84" s="200" t="str">
        <f>+IF(SEPTIEMBRE!A84=0,"",SEPTIEMBRE!A84)</f>
        <v/>
      </c>
      <c r="B84" s="557" t="str">
        <f>+IF(SEPTIEMBRE!B84=0,"",SEPTIEMBRE!B84)</f>
        <v/>
      </c>
      <c r="C84" s="495"/>
      <c r="D84" s="495"/>
      <c r="E84" s="495"/>
      <c r="F84" s="495"/>
      <c r="G84" s="495"/>
      <c r="H84" s="495"/>
      <c r="I84" s="495"/>
      <c r="J84" s="495"/>
      <c r="K84" s="495"/>
      <c r="L84" s="495"/>
      <c r="M84" s="495"/>
      <c r="N84" s="496"/>
      <c r="P84" s="497"/>
      <c r="Q84" s="496"/>
      <c r="R84" s="10"/>
      <c r="S84" s="155" t="str">
        <f>+IF(SEPTIEMBRE!S84=0,"",SEPTIEMBRE!S84)</f>
        <v>1020200-1</v>
      </c>
      <c r="T84" s="159" t="str">
        <f>+IF(SEPTIEMBRE!T84=0,"",SEPTIEMBRE!T84)</f>
        <v>Remuneración y Honorarios por Servicios Técnicos y Profesionales</v>
      </c>
      <c r="U84" s="29">
        <f>+ENERO!U84</f>
        <v>20000000</v>
      </c>
      <c r="V84" s="17">
        <f>SEPTIEMBRE!V84+OCTUBRE!AL84</f>
        <v>0</v>
      </c>
      <c r="W84" s="17">
        <f>SEPTIEMBRE!W84+OCTUBRE!AM84</f>
        <v>15000000</v>
      </c>
      <c r="X84" s="20">
        <f>SUM(U84:W84)</f>
        <v>35000000</v>
      </c>
      <c r="Y84" s="21">
        <f>SEPTIEMBRE!AA84</f>
        <v>13517532</v>
      </c>
      <c r="Z84" s="457">
        <v>1482468</v>
      </c>
      <c r="AA84" s="20">
        <f>SUM(Y84:Z84)</f>
        <v>15000000</v>
      </c>
      <c r="AB84" s="21">
        <f>SEPTIEMBRE!AD84</f>
        <v>13517532</v>
      </c>
      <c r="AC84" s="457">
        <v>1482468</v>
      </c>
      <c r="AD84" s="20">
        <f>SUM(AB84:AC84)</f>
        <v>15000000</v>
      </c>
      <c r="AE84" s="21">
        <f>SEPTIEMBRE!AG84</f>
        <v>12135788</v>
      </c>
      <c r="AF84" s="457">
        <v>1381744</v>
      </c>
      <c r="AG84" s="20">
        <f>SUM(AE84:AF84)</f>
        <v>13517532</v>
      </c>
      <c r="AH84" s="21">
        <f>X84-AA84</f>
        <v>20000000</v>
      </c>
      <c r="AI84" s="17">
        <f>X84-AD84</f>
        <v>20000000</v>
      </c>
      <c r="AJ84" s="18">
        <f>X84-AG84</f>
        <v>21482468</v>
      </c>
      <c r="AK84" s="10"/>
      <c r="AL84" s="455">
        <v>0</v>
      </c>
      <c r="AM84" s="458">
        <v>15000000</v>
      </c>
      <c r="AN84" s="10"/>
      <c r="AO84" s="365"/>
      <c r="AP84" s="365"/>
      <c r="AQ84" s="365"/>
      <c r="AR84" s="365"/>
      <c r="AS84" s="365"/>
      <c r="AT84" s="365"/>
      <c r="AU84" s="365"/>
      <c r="AV84" s="365"/>
      <c r="AW84" s="365"/>
      <c r="AX84" s="365"/>
      <c r="AY84" s="365"/>
      <c r="AZ84" s="365"/>
    </row>
    <row r="85" spans="1:70" s="467" customFormat="1" ht="15.75" x14ac:dyDescent="0.2">
      <c r="A85" s="459">
        <f>+IF(SEPTIEMBRE!A85=0,"",SEPTIEMBRE!A85)</f>
        <v>11302</v>
      </c>
      <c r="B85" s="460" t="str">
        <f>+IF(SEPTIEMBRE!B85=0,"",SEPTIEMBRE!B85)</f>
        <v>Venta de Otros Bienes y Servicios</v>
      </c>
      <c r="C85" s="559">
        <f t="shared" ref="C85:N85" si="84">SUM(C86:C93)</f>
        <v>115179029</v>
      </c>
      <c r="D85" s="559">
        <f t="shared" si="84"/>
        <v>0</v>
      </c>
      <c r="E85" s="559">
        <f t="shared" si="84"/>
        <v>14000000</v>
      </c>
      <c r="F85" s="560">
        <f t="shared" si="84"/>
        <v>129179029</v>
      </c>
      <c r="G85" s="558">
        <f t="shared" si="84"/>
        <v>115394740</v>
      </c>
      <c r="H85" s="559">
        <f t="shared" si="84"/>
        <v>9891128</v>
      </c>
      <c r="I85" s="560">
        <f t="shared" si="84"/>
        <v>125285868</v>
      </c>
      <c r="J85" s="558">
        <f t="shared" si="84"/>
        <v>115394740</v>
      </c>
      <c r="K85" s="559">
        <f t="shared" si="84"/>
        <v>9891128</v>
      </c>
      <c r="L85" s="560">
        <f t="shared" si="84"/>
        <v>125285868</v>
      </c>
      <c r="M85" s="558">
        <f t="shared" si="84"/>
        <v>3893161</v>
      </c>
      <c r="N85" s="560">
        <f t="shared" si="84"/>
        <v>3893161</v>
      </c>
      <c r="P85" s="52">
        <f>SUM(P86:P93)</f>
        <v>0</v>
      </c>
      <c r="Q85" s="54">
        <f>SUM(Q86:Q93)</f>
        <v>14000000</v>
      </c>
      <c r="R85" s="10"/>
      <c r="S85" s="155" t="str">
        <f>+IF(SEPTIEMBRE!S85=0,"",SEPTIEMBRE!S85)</f>
        <v>1020200-2</v>
      </c>
      <c r="T85" s="159" t="str">
        <f>+IF(SEPTIEMBRE!T85=0,"",SEPTIEMBRE!T85)</f>
        <v>Personal Supernumerario</v>
      </c>
      <c r="U85" s="29">
        <f>+ENERO!U85</f>
        <v>22000000</v>
      </c>
      <c r="V85" s="17">
        <f>SEPTIEMBRE!V85+OCTUBRE!AL85</f>
        <v>0</v>
      </c>
      <c r="W85" s="17">
        <f>SEPTIEMBRE!W85+OCTUBRE!AM85</f>
        <v>0</v>
      </c>
      <c r="X85" s="20">
        <f>SUM(U85:W85)</f>
        <v>22000000</v>
      </c>
      <c r="Y85" s="21">
        <f>SEPTIEMBRE!AA85</f>
        <v>4512589</v>
      </c>
      <c r="Z85" s="457">
        <v>0</v>
      </c>
      <c r="AA85" s="20">
        <f>SUM(Y85:Z85)</f>
        <v>4512589</v>
      </c>
      <c r="AB85" s="21">
        <f>SEPTIEMBRE!AD85</f>
        <v>4512589</v>
      </c>
      <c r="AC85" s="457">
        <v>0</v>
      </c>
      <c r="AD85" s="20">
        <f>SUM(AB85:AC85)</f>
        <v>4512589</v>
      </c>
      <c r="AE85" s="21">
        <f>SEPTIEMBRE!AG85</f>
        <v>4512589</v>
      </c>
      <c r="AF85" s="457">
        <v>0</v>
      </c>
      <c r="AG85" s="20">
        <f>SUM(AE85:AF85)</f>
        <v>4512589</v>
      </c>
      <c r="AH85" s="21">
        <f>X85-AA85</f>
        <v>17487411</v>
      </c>
      <c r="AI85" s="17">
        <f>X85-AD85</f>
        <v>17487411</v>
      </c>
      <c r="AJ85" s="18">
        <f>X85-AG85</f>
        <v>17487411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+IF(SEPTIEMBRE!A86=0,"",SEPTIEMBRE!A86)</f>
        <v>1130201</v>
      </c>
      <c r="B86" s="55" t="str">
        <f>+IF(SEPTIEMBRE!B86=0,"",SEPTIEMBRE!B86)</f>
        <v>ARRENDAMIENTO Y ALQUILER DE BIENES MUEBLES E INMUEBLES</v>
      </c>
      <c r="C86" s="456">
        <f>+ENERO!C86</f>
        <v>3552425</v>
      </c>
      <c r="D86" s="456">
        <f>SEPTIEMBRE!D86+OCTUBRE!P86</f>
        <v>0</v>
      </c>
      <c r="E86" s="456">
        <f>SEPTIEMBRE!E86+OCTUBRE!Q86</f>
        <v>0</v>
      </c>
      <c r="F86" s="170">
        <f t="shared" ref="F86:F92" si="85">SUM(C86:E86)</f>
        <v>3552425</v>
      </c>
      <c r="G86" s="283">
        <f>SEPTIEMBRE!I86</f>
        <v>5925576</v>
      </c>
      <c r="H86" s="457">
        <v>0</v>
      </c>
      <c r="I86" s="170">
        <f t="shared" ref="I86:I92" si="86">SUM(G86:H86)</f>
        <v>5925576</v>
      </c>
      <c r="J86" s="283">
        <f>SEPTIEMBRE!L86</f>
        <v>5925576</v>
      </c>
      <c r="K86" s="457">
        <v>0</v>
      </c>
      <c r="L86" s="170">
        <f t="shared" ref="L86:L92" si="87">SUM(J86:K86)</f>
        <v>5925576</v>
      </c>
      <c r="M86" s="283">
        <f t="shared" ref="M86:M92" si="88">F86-I86</f>
        <v>-2373151</v>
      </c>
      <c r="N86" s="170">
        <f t="shared" ref="N86:N92" si="89">F86-L86</f>
        <v>-2373151</v>
      </c>
      <c r="O86" s="467"/>
      <c r="P86" s="455">
        <v>0</v>
      </c>
      <c r="Q86" s="458">
        <v>0</v>
      </c>
      <c r="S86" s="155" t="str">
        <f>+IF(SEPTIEMBRE!S86=0,"",SEPTIEMBRE!S86)</f>
        <v>1020200-4</v>
      </c>
      <c r="T86" s="159" t="str">
        <f>+IF(SEPTIEMBRE!T86=0,"",SEPTIEMBRE!T86)</f>
        <v>Otros Honorarios (Servicios de Cooperativa)</v>
      </c>
      <c r="U86" s="29">
        <f>+ENERO!U86</f>
        <v>25000000</v>
      </c>
      <c r="V86" s="17">
        <f>SEPTIEMBRE!V86+OCTUBRE!AL86</f>
        <v>0</v>
      </c>
      <c r="W86" s="17">
        <f>SEPTIEMBRE!W86+OCTUBRE!AM86</f>
        <v>10000000</v>
      </c>
      <c r="X86" s="20">
        <f>SUM(U86:W86)</f>
        <v>35000000</v>
      </c>
      <c r="Y86" s="21">
        <f>SEPTIEMBRE!AA86</f>
        <v>8484400</v>
      </c>
      <c r="Z86" s="457">
        <v>455131</v>
      </c>
      <c r="AA86" s="20">
        <f>SUM(Y86:Z86)</f>
        <v>8939531</v>
      </c>
      <c r="AB86" s="21">
        <f>SEPTIEMBRE!AD86</f>
        <v>8484400</v>
      </c>
      <c r="AC86" s="457">
        <v>455131</v>
      </c>
      <c r="AD86" s="20">
        <f>SUM(AB86:AC86)</f>
        <v>8939531</v>
      </c>
      <c r="AE86" s="21">
        <f>SEPTIEMBRE!AG86</f>
        <v>6737100</v>
      </c>
      <c r="AF86" s="457">
        <v>585700</v>
      </c>
      <c r="AG86" s="20">
        <f>SUM(AE86:AF86)</f>
        <v>7322800</v>
      </c>
      <c r="AH86" s="21">
        <f>X86-AA86</f>
        <v>26060469</v>
      </c>
      <c r="AI86" s="17">
        <f>X86-AD86</f>
        <v>26060469</v>
      </c>
      <c r="AJ86" s="18">
        <f>X86-AG86</f>
        <v>27677200</v>
      </c>
      <c r="AL86" s="455">
        <v>0</v>
      </c>
      <c r="AM86" s="458">
        <v>10000000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+IF(SEPTIEMBRE!A87=0,"",SEPTIEMBRE!A87)</f>
        <v>1130202</v>
      </c>
      <c r="B87" s="55" t="str">
        <f>+IF(SEPTIEMBRE!B87=0,"",SEPTIEMBRE!B87)</f>
        <v>COMERCIALIZACIÓN DE MERCANCÍAS</v>
      </c>
      <c r="C87" s="456">
        <f>+ENERO!C87</f>
        <v>0</v>
      </c>
      <c r="D87" s="456">
        <f>SEPTIEMBRE!D87+OCTUBRE!P87</f>
        <v>0</v>
      </c>
      <c r="E87" s="456">
        <f>SEPTIEMBRE!E87+OCTUBRE!Q87</f>
        <v>14000000</v>
      </c>
      <c r="F87" s="170">
        <f t="shared" si="85"/>
        <v>14000000</v>
      </c>
      <c r="G87" s="283">
        <f>SEPTIEMBRE!I87</f>
        <v>11958836</v>
      </c>
      <c r="H87" s="457">
        <v>2328095</v>
      </c>
      <c r="I87" s="170">
        <f t="shared" si="86"/>
        <v>14286931</v>
      </c>
      <c r="J87" s="283">
        <f>SEPTIEMBRE!L87</f>
        <v>11958836</v>
      </c>
      <c r="K87" s="457">
        <v>2328095</v>
      </c>
      <c r="L87" s="170">
        <f t="shared" si="87"/>
        <v>14286931</v>
      </c>
      <c r="M87" s="283">
        <f t="shared" si="88"/>
        <v>-286931</v>
      </c>
      <c r="N87" s="170">
        <f t="shared" si="89"/>
        <v>-286931</v>
      </c>
      <c r="P87" s="455">
        <v>0</v>
      </c>
      <c r="Q87" s="458">
        <v>14000000</v>
      </c>
      <c r="R87" s="10"/>
      <c r="S87" s="155" t="str">
        <f>+IF(SEPTIEMBRE!S87=0,"",SEPTIEMBRE!S87)</f>
        <v/>
      </c>
      <c r="T87" s="159" t="str">
        <f>+IF(SEPTIEMBRE!T87=0,"",SEPTIEMBRE!T87)</f>
        <v/>
      </c>
      <c r="U87" s="29">
        <f>+ENERO!U87</f>
        <v>0</v>
      </c>
      <c r="V87" s="17">
        <f>SEPTIEMBRE!V87+OCTUBRE!AL87</f>
        <v>0</v>
      </c>
      <c r="W87" s="17">
        <f>SEPTIEMBRE!W87+OCTUBRE!AM87</f>
        <v>0</v>
      </c>
      <c r="X87" s="20">
        <f>SUM(U87:W87)</f>
        <v>0</v>
      </c>
      <c r="Y87" s="21">
        <f>SEPTIEMBRE!AA87</f>
        <v>0</v>
      </c>
      <c r="Z87" s="457">
        <v>0</v>
      </c>
      <c r="AA87" s="20">
        <f>SUM(Y87:Z87)</f>
        <v>0</v>
      </c>
      <c r="AB87" s="21">
        <f>SEPTIEMBRE!AD87</f>
        <v>0</v>
      </c>
      <c r="AC87" s="457">
        <v>0</v>
      </c>
      <c r="AD87" s="20">
        <f>SUM(AB87:AC87)</f>
        <v>0</v>
      </c>
      <c r="AE87" s="21">
        <f>SEPTIEMBRE!AG87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+IF(SEPTIEMBRE!A88=0,"",SEPTIEMBRE!A88)</f>
        <v>1130203</v>
      </c>
      <c r="B88" s="55" t="str">
        <f>+IF(SEPTIEMBRE!B88=0,"",SEPTIEMBRE!B88)</f>
        <v>CONVENIOS CON LA NACION LIGADOS A LA VTA DE SERVICIOS</v>
      </c>
      <c r="C88" s="456">
        <f>+ENERO!C88</f>
        <v>0</v>
      </c>
      <c r="D88" s="456">
        <f>SEPTIEMBRE!D88+OCTUBRE!P88</f>
        <v>0</v>
      </c>
      <c r="E88" s="456">
        <f>SEPTIEMBRE!E88+OCTUBRE!Q88</f>
        <v>0</v>
      </c>
      <c r="F88" s="170">
        <f t="shared" si="85"/>
        <v>0</v>
      </c>
      <c r="G88" s="283">
        <f>SEPTIEMBRE!I88</f>
        <v>0</v>
      </c>
      <c r="H88" s="457">
        <v>0</v>
      </c>
      <c r="I88" s="170">
        <f t="shared" si="86"/>
        <v>0</v>
      </c>
      <c r="J88" s="283">
        <f>SEPTIEMBRE!L88</f>
        <v>0</v>
      </c>
      <c r="K88" s="457">
        <v>0</v>
      </c>
      <c r="L88" s="170">
        <f t="shared" si="87"/>
        <v>0</v>
      </c>
      <c r="M88" s="283">
        <f t="shared" si="88"/>
        <v>0</v>
      </c>
      <c r="N88" s="170">
        <f t="shared" si="89"/>
        <v>0</v>
      </c>
      <c r="P88" s="455">
        <v>0</v>
      </c>
      <c r="Q88" s="458">
        <v>0</v>
      </c>
      <c r="R88" s="10"/>
      <c r="S88" s="155">
        <f>+IF(SEPTIEMBRE!S88=0,"",SEPTIEMBRE!S88)</f>
        <v>1020299</v>
      </c>
      <c r="T88" s="159" t="str">
        <f>+IF(SEPTIEMBRE!T88=0,"",SEPTIEMBRE!T88)</f>
        <v>Vigencias Anteriores</v>
      </c>
      <c r="U88" s="29">
        <f>+ENERO!U88</f>
        <v>4000000</v>
      </c>
      <c r="V88" s="17">
        <f>SEPTIEMBRE!V88+OCTUBRE!AL88</f>
        <v>0</v>
      </c>
      <c r="W88" s="17">
        <f>SEPTIEMBRE!W88+OCTUBRE!AM88</f>
        <v>4687311</v>
      </c>
      <c r="X88" s="20">
        <f>SUM(U88:W88)</f>
        <v>8687311</v>
      </c>
      <c r="Y88" s="21">
        <f>SEPTIEMBRE!AA88</f>
        <v>8687311</v>
      </c>
      <c r="Z88" s="457">
        <v>0</v>
      </c>
      <c r="AA88" s="20">
        <f>SUM(Y88:Z88)</f>
        <v>8687311</v>
      </c>
      <c r="AB88" s="21">
        <f>SEPTIEMBRE!AD88</f>
        <v>8687311</v>
      </c>
      <c r="AC88" s="457">
        <v>0</v>
      </c>
      <c r="AD88" s="20">
        <f>SUM(AB88:AC88)</f>
        <v>8687311</v>
      </c>
      <c r="AE88" s="21">
        <f>SEPTIEMBRE!AG88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+IF(SEPTIEMBRE!A89=0,"",SEPTIEMBRE!A89)</f>
        <v>1130204</v>
      </c>
      <c r="B89" s="55" t="str">
        <f>+IF(SEPTIEMBRE!B89=0,"",SEPTIEMBRE!B89)</f>
        <v>CONVENIOS CON EL DEPARTAMENTO LIGADOS A LA VTA SERVICIOS</v>
      </c>
      <c r="C89" s="456">
        <f>+ENERO!C89</f>
        <v>0</v>
      </c>
      <c r="D89" s="456">
        <f>SEPTIEMBRE!D89+OCTUBRE!P89</f>
        <v>0</v>
      </c>
      <c r="E89" s="456">
        <f>SEPTIEMBRE!E89+OCTUBRE!Q89</f>
        <v>0</v>
      </c>
      <c r="F89" s="170">
        <f t="shared" si="85"/>
        <v>0</v>
      </c>
      <c r="G89" s="283">
        <f>SEPTIEMBRE!I89</f>
        <v>0</v>
      </c>
      <c r="H89" s="457">
        <v>0</v>
      </c>
      <c r="I89" s="170">
        <f t="shared" si="86"/>
        <v>0</v>
      </c>
      <c r="J89" s="283">
        <f>SEPTIEMBRE!L89</f>
        <v>0</v>
      </c>
      <c r="K89" s="457">
        <v>0</v>
      </c>
      <c r="L89" s="170">
        <f t="shared" si="87"/>
        <v>0</v>
      </c>
      <c r="M89" s="283">
        <f t="shared" si="88"/>
        <v>0</v>
      </c>
      <c r="N89" s="170">
        <f t="shared" si="89"/>
        <v>0</v>
      </c>
      <c r="P89" s="455">
        <v>0</v>
      </c>
      <c r="Q89" s="458">
        <v>0</v>
      </c>
      <c r="R89" s="10"/>
      <c r="S89" s="448" t="str">
        <f>+IF(SEPTIEMBRE!S89=0,"",SEPTIEMBRE!S89)</f>
        <v/>
      </c>
      <c r="T89" s="649" t="str">
        <f>+IF(SEPTIEMBRE!T89=0,"",SEPTIEMBRE!T89)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+IF(SEPTIEMBRE!A90=0,"",SEPTIEMBRE!A90)</f>
        <v>1130205</v>
      </c>
      <c r="B90" s="55" t="str">
        <f>+IF(SEPTIEMBRE!B90=0,"",SEPTIEMBRE!B90)</f>
        <v>CONVENIOS CON EL MUNICIPIO LIGADOS A LA VTA DE SERVICIOS</v>
      </c>
      <c r="C90" s="456">
        <f>+ENERO!C90</f>
        <v>0</v>
      </c>
      <c r="D90" s="456">
        <f>SEPTIEMBRE!D90+OCTUBRE!P90</f>
        <v>0</v>
      </c>
      <c r="E90" s="456">
        <f>SEPTIEMBRE!E90+OCTUBRE!Q90</f>
        <v>0</v>
      </c>
      <c r="F90" s="170">
        <f t="shared" si="85"/>
        <v>0</v>
      </c>
      <c r="G90" s="283">
        <f>SEPTIEMBRE!I90</f>
        <v>0</v>
      </c>
      <c r="H90" s="457">
        <v>0</v>
      </c>
      <c r="I90" s="170">
        <f t="shared" si="86"/>
        <v>0</v>
      </c>
      <c r="J90" s="283">
        <f>SEPTIEMBRE!L90</f>
        <v>0</v>
      </c>
      <c r="K90" s="457">
        <v>0</v>
      </c>
      <c r="L90" s="170">
        <f t="shared" si="87"/>
        <v>0</v>
      </c>
      <c r="M90" s="283">
        <f t="shared" si="88"/>
        <v>0</v>
      </c>
      <c r="N90" s="170">
        <f t="shared" si="89"/>
        <v>0</v>
      </c>
      <c r="O90" s="467"/>
      <c r="P90" s="455">
        <v>0</v>
      </c>
      <c r="Q90" s="458">
        <v>0</v>
      </c>
      <c r="R90" s="32"/>
      <c r="S90" s="34">
        <f>+IF(SEPTIEMBRE!S90=0,"",SEPTIEMBRE!S90)</f>
        <v>1020300</v>
      </c>
      <c r="T90" s="158" t="str">
        <f>+IF(SEPTIEMBRE!T90=0,"",SEPTIEMBRE!T90)</f>
        <v>Contribuciones Inherentes nómina al Sector Privado</v>
      </c>
      <c r="U90" s="157">
        <f t="shared" ref="U90:AJ90" si="90">U91+U96+U102</f>
        <v>371241003</v>
      </c>
      <c r="V90" s="144">
        <f t="shared" si="90"/>
        <v>0</v>
      </c>
      <c r="W90" s="144">
        <f t="shared" si="90"/>
        <v>5352587</v>
      </c>
      <c r="X90" s="152">
        <f t="shared" si="90"/>
        <v>376593590</v>
      </c>
      <c r="Y90" s="151">
        <f t="shared" si="90"/>
        <v>250793488</v>
      </c>
      <c r="Z90" s="144">
        <f t="shared" si="90"/>
        <v>22281250</v>
      </c>
      <c r="AA90" s="152">
        <f t="shared" si="90"/>
        <v>273074738</v>
      </c>
      <c r="AB90" s="151">
        <f t="shared" si="90"/>
        <v>250793488</v>
      </c>
      <c r="AC90" s="144">
        <f t="shared" si="90"/>
        <v>22281250</v>
      </c>
      <c r="AD90" s="152">
        <f t="shared" si="90"/>
        <v>273074738</v>
      </c>
      <c r="AE90" s="151">
        <f t="shared" si="90"/>
        <v>230360106</v>
      </c>
      <c r="AF90" s="144">
        <f t="shared" si="90"/>
        <v>26590456</v>
      </c>
      <c r="AG90" s="152">
        <f t="shared" si="90"/>
        <v>256950562</v>
      </c>
      <c r="AH90" s="151">
        <f t="shared" si="90"/>
        <v>103518852</v>
      </c>
      <c r="AI90" s="144">
        <f t="shared" si="90"/>
        <v>103518852</v>
      </c>
      <c r="AJ90" s="153">
        <f t="shared" si="90"/>
        <v>119643028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+IF(SEPTIEMBRE!A91=0,"",SEPTIEMBRE!A91)</f>
        <v>1130206</v>
      </c>
      <c r="B91" s="55" t="str">
        <f>+IF(SEPTIEMBRE!B91=0,"",SEPTIEMBRE!B91)</f>
        <v>OTROS CONVENIOS LIGADOS A LA VTA DE SERVICIOS</v>
      </c>
      <c r="C91" s="456">
        <f>+ENERO!C91</f>
        <v>0</v>
      </c>
      <c r="D91" s="456">
        <f>SEPTIEMBRE!D91+OCTUBRE!P91</f>
        <v>0</v>
      </c>
      <c r="E91" s="456">
        <f>SEPTIEMBRE!E91+OCTUBRE!Q91</f>
        <v>0</v>
      </c>
      <c r="F91" s="170">
        <f t="shared" si="85"/>
        <v>0</v>
      </c>
      <c r="G91" s="283">
        <f>SEPTIEMBRE!I91</f>
        <v>0</v>
      </c>
      <c r="H91" s="457">
        <v>0</v>
      </c>
      <c r="I91" s="170">
        <f t="shared" si="86"/>
        <v>0</v>
      </c>
      <c r="J91" s="283">
        <f>SEPTIEMBRE!L91</f>
        <v>0</v>
      </c>
      <c r="K91" s="457">
        <v>0</v>
      </c>
      <c r="L91" s="170">
        <f t="shared" si="87"/>
        <v>0</v>
      </c>
      <c r="M91" s="283">
        <f t="shared" si="88"/>
        <v>0</v>
      </c>
      <c r="N91" s="170">
        <f t="shared" si="89"/>
        <v>0</v>
      </c>
      <c r="O91" s="467"/>
      <c r="P91" s="455">
        <v>0</v>
      </c>
      <c r="Q91" s="458">
        <v>0</v>
      </c>
      <c r="R91" s="32"/>
      <c r="S91" s="155">
        <f>+IF(SEPTIEMBRE!S91=0,"",SEPTIEMBRE!S91)</f>
        <v>1020301</v>
      </c>
      <c r="T91" s="159" t="str">
        <f>+IF(SEPTIEMBRE!T91=0,"",SEPTIEMBRE!T91)</f>
        <v>Contribuciones - Sin Situación de Fondos</v>
      </c>
      <c r="U91" s="29">
        <f t="shared" ref="U91:AJ91" si="91">SUM(U92:U95)</f>
        <v>165265755</v>
      </c>
      <c r="V91" s="17">
        <f t="shared" si="91"/>
        <v>0</v>
      </c>
      <c r="W91" s="17">
        <f t="shared" si="91"/>
        <v>0</v>
      </c>
      <c r="X91" s="20">
        <f t="shared" si="91"/>
        <v>165265755</v>
      </c>
      <c r="Y91" s="21">
        <f t="shared" si="91"/>
        <v>71438145</v>
      </c>
      <c r="Z91" s="169">
        <f t="shared" si="91"/>
        <v>16987350</v>
      </c>
      <c r="AA91" s="20">
        <f t="shared" si="91"/>
        <v>88425495</v>
      </c>
      <c r="AB91" s="21">
        <f t="shared" si="91"/>
        <v>71438145</v>
      </c>
      <c r="AC91" s="169">
        <f t="shared" si="91"/>
        <v>16987350</v>
      </c>
      <c r="AD91" s="20">
        <f t="shared" si="91"/>
        <v>88425495</v>
      </c>
      <c r="AE91" s="21">
        <f t="shared" si="91"/>
        <v>64162607</v>
      </c>
      <c r="AF91" s="169">
        <f t="shared" si="91"/>
        <v>14037787</v>
      </c>
      <c r="AG91" s="20">
        <f t="shared" si="91"/>
        <v>78200394</v>
      </c>
      <c r="AH91" s="21">
        <f t="shared" si="91"/>
        <v>76840260</v>
      </c>
      <c r="AI91" s="17">
        <f t="shared" si="91"/>
        <v>76840260</v>
      </c>
      <c r="AJ91" s="18">
        <f t="shared" si="91"/>
        <v>87065361</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+IF(SEPTIEMBRE!A92=0,"",SEPTIEMBRE!A92)</f>
        <v>1130207</v>
      </c>
      <c r="B92" s="563" t="s">
        <v>482</v>
      </c>
      <c r="C92" s="456">
        <f>+ENERO!C92</f>
        <v>0</v>
      </c>
      <c r="D92" s="456">
        <f>SEPTIEMBRE!D92+OCTUBRE!P92</f>
        <v>0</v>
      </c>
      <c r="E92" s="456">
        <f>SEPTIEMBRE!E92+OCTUBRE!Q92</f>
        <v>0</v>
      </c>
      <c r="F92" s="170">
        <f t="shared" si="85"/>
        <v>0</v>
      </c>
      <c r="G92" s="283">
        <f>SEPTIEMBRE!I92</f>
        <v>0</v>
      </c>
      <c r="H92" s="457">
        <v>0</v>
      </c>
      <c r="I92" s="170">
        <f t="shared" si="86"/>
        <v>0</v>
      </c>
      <c r="J92" s="283">
        <f>SEPTIEMBRE!L92</f>
        <v>0</v>
      </c>
      <c r="K92" s="457">
        <v>0</v>
      </c>
      <c r="L92" s="170">
        <f t="shared" si="87"/>
        <v>0</v>
      </c>
      <c r="M92" s="283">
        <f t="shared" si="88"/>
        <v>0</v>
      </c>
      <c r="N92" s="170">
        <f t="shared" si="89"/>
        <v>0</v>
      </c>
      <c r="O92" s="467"/>
      <c r="P92" s="455">
        <v>0</v>
      </c>
      <c r="Q92" s="458">
        <v>0</v>
      </c>
      <c r="R92" s="32"/>
      <c r="S92" s="156" t="str">
        <f>+IF(SEPTIEMBRE!S92=0,"",SEPTIEMBRE!S92)</f>
        <v>1020301-1</v>
      </c>
      <c r="T92" s="55" t="str">
        <f>+IF(SEPTIEMBRE!T92=0,"",SEPTIEMBRE!T92)</f>
        <v>Aportes a E.P.S.- Sin sit. Fondos</v>
      </c>
      <c r="U92" s="29">
        <f>+ENERO!U92</f>
        <v>72234575</v>
      </c>
      <c r="V92" s="17">
        <f>SEPTIEMBRE!V92+OCTUBRE!AL92</f>
        <v>0</v>
      </c>
      <c r="W92" s="17">
        <f>SEPTIEMBRE!W92+OCTUBRE!AM92</f>
        <v>0</v>
      </c>
      <c r="X92" s="20">
        <f>SUM(U92:W92)</f>
        <v>72234575</v>
      </c>
      <c r="Y92" s="21">
        <f>SEPTIEMBRE!AA92</f>
        <v>34283335</v>
      </c>
      <c r="Z92" s="457">
        <v>6910650</v>
      </c>
      <c r="AA92" s="20">
        <f>SUM(Y92:Z92)</f>
        <v>41193985</v>
      </c>
      <c r="AB92" s="21">
        <f>SEPTIEMBRE!AD92</f>
        <v>34283335</v>
      </c>
      <c r="AC92" s="457">
        <v>6910650</v>
      </c>
      <c r="AD92" s="20">
        <f>SUM(AB92:AC92)</f>
        <v>41193985</v>
      </c>
      <c r="AE92" s="21">
        <f>SEPTIEMBRE!AG92</f>
        <v>33359727</v>
      </c>
      <c r="AF92" s="457">
        <v>5699758</v>
      </c>
      <c r="AG92" s="20">
        <f>SUM(AE92:AF92)</f>
        <v>39059485</v>
      </c>
      <c r="AH92" s="21">
        <f>X92-AA92</f>
        <v>31040590</v>
      </c>
      <c r="AI92" s="17">
        <f>X92-AD92</f>
        <v>31040590</v>
      </c>
      <c r="AJ92" s="18">
        <f>X92-AG92</f>
        <v>33175090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+IF(SEPTIEMBRE!A93=0,"",SEPTIEMBRE!A93)</f>
        <v>1130209</v>
      </c>
      <c r="B93" s="170" t="str">
        <f>+IF(SEPTIEMBRE!B93=0,"",SEPTIEMBRE!B93)</f>
        <v>OTROS</v>
      </c>
      <c r="C93" s="172">
        <f t="shared" ref="C93:N93" si="92">SUM(C94:C97)</f>
        <v>111626604</v>
      </c>
      <c r="D93" s="172">
        <f t="shared" si="92"/>
        <v>0</v>
      </c>
      <c r="E93" s="172">
        <f t="shared" si="92"/>
        <v>0</v>
      </c>
      <c r="F93" s="173">
        <f t="shared" si="92"/>
        <v>111626604</v>
      </c>
      <c r="G93" s="171">
        <f t="shared" si="92"/>
        <v>97510328</v>
      </c>
      <c r="H93" s="172">
        <f t="shared" si="92"/>
        <v>7563033</v>
      </c>
      <c r="I93" s="173">
        <f t="shared" si="92"/>
        <v>105073361</v>
      </c>
      <c r="J93" s="171">
        <f t="shared" si="92"/>
        <v>97510328</v>
      </c>
      <c r="K93" s="172">
        <f t="shared" si="92"/>
        <v>7563033</v>
      </c>
      <c r="L93" s="173">
        <f t="shared" si="92"/>
        <v>105073361</v>
      </c>
      <c r="M93" s="171">
        <f t="shared" si="92"/>
        <v>6553243</v>
      </c>
      <c r="N93" s="173">
        <f t="shared" si="92"/>
        <v>6553243</v>
      </c>
      <c r="O93" s="467"/>
      <c r="P93" s="171">
        <f>SUM(P94:P97)</f>
        <v>0</v>
      </c>
      <c r="Q93" s="173">
        <f>SUM(Q94:Q97)</f>
        <v>0</v>
      </c>
      <c r="R93" s="32"/>
      <c r="S93" s="156" t="str">
        <f>+IF(SEPTIEMBRE!S93=0,"",SEPTIEMBRE!S93)</f>
        <v>1020301-2</v>
      </c>
      <c r="T93" s="55" t="str">
        <f>+IF(SEPTIEMBRE!T93=0,"",SEPTIEMBRE!T93)</f>
        <v>Aportes Fondos Pensionales - Sin Sit. Fondos</v>
      </c>
      <c r="U93" s="29">
        <f>+ENERO!U93</f>
        <v>78026691</v>
      </c>
      <c r="V93" s="17">
        <f>SEPTIEMBRE!V93+OCTUBRE!AL93</f>
        <v>0</v>
      </c>
      <c r="W93" s="17">
        <f>SEPTIEMBRE!W93+OCTUBRE!AM93</f>
        <v>0</v>
      </c>
      <c r="X93" s="20">
        <f>SUM(U93:W93)</f>
        <v>78026691</v>
      </c>
      <c r="Y93" s="21">
        <f>SEPTIEMBRE!AA93</f>
        <v>30802880</v>
      </c>
      <c r="Z93" s="457">
        <v>10076700</v>
      </c>
      <c r="AA93" s="20">
        <f>SUM(Y93:Z93)</f>
        <v>40879580</v>
      </c>
      <c r="AB93" s="21">
        <f>SEPTIEMBRE!AD93</f>
        <v>30802880</v>
      </c>
      <c r="AC93" s="457">
        <v>10076700</v>
      </c>
      <c r="AD93" s="20">
        <f>SUM(AB93:AC93)</f>
        <v>40879580</v>
      </c>
      <c r="AE93" s="21">
        <f>SEPTIEMBRE!AG93</f>
        <v>30802880</v>
      </c>
      <c r="AF93" s="457">
        <v>7063200</v>
      </c>
      <c r="AG93" s="20">
        <f>SUM(AE93:AF93)</f>
        <v>37866080</v>
      </c>
      <c r="AH93" s="21">
        <f>X93-AA93</f>
        <v>37147111</v>
      </c>
      <c r="AI93" s="17">
        <f>X93-AD93</f>
        <v>37147111</v>
      </c>
      <c r="AJ93" s="18">
        <f>X93-AG93</f>
        <v>40160611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+IF(SEPTIEMBRE!A94=0,"",SEPTIEMBRE!A94)</f>
        <v>1130209 - 1</v>
      </c>
      <c r="B94" s="58" t="str">
        <f>+IF(SEPTIEMBRE!B94=0,"",SEPTIEMBRE!B94)</f>
        <v>Bienestar Social</v>
      </c>
      <c r="C94" s="456">
        <f>+ENERO!C94</f>
        <v>6347410</v>
      </c>
      <c r="D94" s="456">
        <f>SEPTIEMBRE!D94+OCTUBRE!P94</f>
        <v>0</v>
      </c>
      <c r="E94" s="456">
        <f>SEPTIEMBRE!E94+OCTUBRE!Q94</f>
        <v>0</v>
      </c>
      <c r="F94" s="170">
        <f>SUM(C94:E94)</f>
        <v>6347410</v>
      </c>
      <c r="G94" s="283">
        <f>SEPTIEMBRE!I94</f>
        <v>0</v>
      </c>
      <c r="H94" s="457">
        <v>0</v>
      </c>
      <c r="I94" s="170">
        <f>SUM(G94:H94)</f>
        <v>0</v>
      </c>
      <c r="J94" s="283">
        <f>SEPTIEMBRE!L94</f>
        <v>0</v>
      </c>
      <c r="K94" s="457">
        <v>0</v>
      </c>
      <c r="L94" s="170">
        <f>SUM(J94:K94)</f>
        <v>0</v>
      </c>
      <c r="M94" s="283">
        <f>F94-I94</f>
        <v>6347410</v>
      </c>
      <c r="N94" s="170">
        <f>F94-L94</f>
        <v>6347410</v>
      </c>
      <c r="O94" s="467"/>
      <c r="P94" s="455">
        <v>0</v>
      </c>
      <c r="Q94" s="458">
        <v>0</v>
      </c>
      <c r="R94" s="32"/>
      <c r="S94" s="156" t="str">
        <f>+IF(SEPTIEMBRE!S94=0,"",SEPTIEMBRE!S94)</f>
        <v>1020301-3</v>
      </c>
      <c r="T94" s="55" t="str">
        <f>+IF(SEPTIEMBRE!T94=0,"",SEPTIEMBRE!T94)</f>
        <v xml:space="preserve">Aportes a Fondos de Cesantia - Sin Sit. de Fondos </v>
      </c>
      <c r="U94" s="29">
        <f>+ENERO!U94</f>
        <v>15004488</v>
      </c>
      <c r="V94" s="17">
        <f>SEPTIEMBRE!V94+OCTUBRE!AL94</f>
        <v>0</v>
      </c>
      <c r="W94" s="17">
        <f>SEPTIEMBRE!W94+OCTUBRE!AM94</f>
        <v>0</v>
      </c>
      <c r="X94" s="20">
        <f>SUM(U94:W94)</f>
        <v>15004488</v>
      </c>
      <c r="Y94" s="21">
        <f>SEPTIEMBRE!AA94</f>
        <v>6351930</v>
      </c>
      <c r="Z94" s="457">
        <v>0</v>
      </c>
      <c r="AA94" s="20">
        <f>SUM(Y94:Z94)</f>
        <v>6351930</v>
      </c>
      <c r="AB94" s="21">
        <f>SEPTIEMBRE!AD94</f>
        <v>6351930</v>
      </c>
      <c r="AC94" s="457">
        <v>0</v>
      </c>
      <c r="AD94" s="20">
        <f>SUM(AB94:AC94)</f>
        <v>6351930</v>
      </c>
      <c r="AE94" s="21">
        <f>SEPTIEMBRE!AG94</f>
        <v>0</v>
      </c>
      <c r="AF94" s="457">
        <v>1274829</v>
      </c>
      <c r="AG94" s="20">
        <f>SUM(AE94:AF94)</f>
        <v>1274829</v>
      </c>
      <c r="AH94" s="21">
        <f>X94-AA94</f>
        <v>8652558</v>
      </c>
      <c r="AI94" s="17">
        <f>X94-AD94</f>
        <v>8652558</v>
      </c>
      <c r="AJ94" s="18">
        <f>X94-AG94</f>
        <v>13729659</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+IF(SEPTIEMBRE!A95=0,"",SEPTIEMBRE!A95)</f>
        <v>1130209 - 2</v>
      </c>
      <c r="B95" s="58" t="str">
        <f>+IF(SEPTIEMBRE!B95=0,"",SEPTIEMBRE!B95)</f>
        <v>Fondo de la Vivienda</v>
      </c>
      <c r="C95" s="456">
        <f>+ENERO!C95</f>
        <v>0</v>
      </c>
      <c r="D95" s="456">
        <f>SEPTIEMBRE!D95+OCTUBRE!P95</f>
        <v>0</v>
      </c>
      <c r="E95" s="456">
        <f>SEPTIEMBRE!E95+OCTUBRE!Q95</f>
        <v>0</v>
      </c>
      <c r="F95" s="170">
        <f>SUM(C95:E95)</f>
        <v>0</v>
      </c>
      <c r="G95" s="283">
        <f>SEPTIEMBRE!I95</f>
        <v>0</v>
      </c>
      <c r="H95" s="457">
        <v>0</v>
      </c>
      <c r="I95" s="170">
        <f>SUM(G95:H95)</f>
        <v>0</v>
      </c>
      <c r="J95" s="283">
        <f>SEPTIEMBRE!L95</f>
        <v>0</v>
      </c>
      <c r="K95" s="457">
        <v>0</v>
      </c>
      <c r="L95" s="170">
        <f>SUM(J95:K95)</f>
        <v>0</v>
      </c>
      <c r="M95" s="283">
        <f>F95-I95</f>
        <v>0</v>
      </c>
      <c r="N95" s="170">
        <f>F95-L95</f>
        <v>0</v>
      </c>
      <c r="O95" s="467"/>
      <c r="P95" s="455">
        <v>0</v>
      </c>
      <c r="Q95" s="458">
        <v>0</v>
      </c>
      <c r="R95" s="32"/>
      <c r="S95" s="156" t="str">
        <f>+IF(SEPTIEMBRE!S95=0,"",SEPTIEMBRE!S95)</f>
        <v>1020301-4</v>
      </c>
      <c r="T95" s="55" t="str">
        <f>+IF(SEPTIEMBRE!T95=0,"",SEPTIEMBRE!T95)</f>
        <v>Aporte a ARL. - Sin Sit. de Fondos</v>
      </c>
      <c r="U95" s="29">
        <f>+ENERO!U95</f>
        <v>1</v>
      </c>
      <c r="V95" s="17">
        <f>SEPTIEMBRE!V95+OCTUBRE!AL95</f>
        <v>0</v>
      </c>
      <c r="W95" s="17">
        <f>SEPTIEMBRE!W95+OCTUBRE!AM95</f>
        <v>0</v>
      </c>
      <c r="X95" s="20">
        <f>SUM(U95:W95)</f>
        <v>1</v>
      </c>
      <c r="Y95" s="21">
        <f>SEPTIEMBRE!AA95</f>
        <v>0</v>
      </c>
      <c r="Z95" s="457">
        <v>0</v>
      </c>
      <c r="AA95" s="20">
        <f>SUM(Y95:Z95)</f>
        <v>0</v>
      </c>
      <c r="AB95" s="21">
        <f>SEPTIEMBRE!AD95</f>
        <v>0</v>
      </c>
      <c r="AC95" s="457">
        <v>0</v>
      </c>
      <c r="AD95" s="20">
        <f>SUM(AB95:AC95)</f>
        <v>0</v>
      </c>
      <c r="AE95" s="21">
        <f>SEPTIEMBRE!AG95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+IF(SEPTIEMBRE!A96=0,"",SEPTIEMBRE!A96)</f>
        <v>1130209 - 3</v>
      </c>
      <c r="B96" s="58" t="str">
        <f>+IF(SEPTIEMBRE!B96=0,"",SEPTIEMBRE!B96)</f>
        <v xml:space="preserve">Aprovechamientos </v>
      </c>
      <c r="C96" s="456">
        <f>+ENERO!C96</f>
        <v>105279194</v>
      </c>
      <c r="D96" s="456">
        <f>SEPTIEMBRE!D96+OCTUBRE!P96</f>
        <v>0</v>
      </c>
      <c r="E96" s="456">
        <f>SEPTIEMBRE!E96+OCTUBRE!Q96</f>
        <v>0</v>
      </c>
      <c r="F96" s="170">
        <f>SUM(C96:E96)</f>
        <v>105279194</v>
      </c>
      <c r="G96" s="283">
        <f>SEPTIEMBRE!I96</f>
        <v>97510328</v>
      </c>
      <c r="H96" s="457">
        <v>7563033</v>
      </c>
      <c r="I96" s="170">
        <f>SUM(G96:H96)</f>
        <v>105073361</v>
      </c>
      <c r="J96" s="283">
        <f>SEPTIEMBRE!L96</f>
        <v>97510328</v>
      </c>
      <c r="K96" s="457">
        <v>7563033</v>
      </c>
      <c r="L96" s="170">
        <f>SUM(J96:K96)</f>
        <v>105073361</v>
      </c>
      <c r="M96" s="283">
        <f>F96-I96</f>
        <v>205833</v>
      </c>
      <c r="N96" s="170">
        <f>F96-L96</f>
        <v>205833</v>
      </c>
      <c r="O96" s="467"/>
      <c r="P96" s="455">
        <v>0</v>
      </c>
      <c r="Q96" s="458">
        <v>0</v>
      </c>
      <c r="S96" s="155">
        <f>+IF(SEPTIEMBRE!S96=0,"",SEPTIEMBRE!S96)</f>
        <v>1020302</v>
      </c>
      <c r="T96" s="159" t="str">
        <f>+IF(SEPTIEMBRE!T96=0,"",SEPTIEMBRE!T96)</f>
        <v>Contribuciones - Otros</v>
      </c>
      <c r="U96" s="29">
        <f t="shared" ref="U96:AJ96" si="93">SUM(U97:U101)</f>
        <v>205975248</v>
      </c>
      <c r="V96" s="17">
        <f t="shared" si="93"/>
        <v>0</v>
      </c>
      <c r="W96" s="17">
        <f t="shared" si="93"/>
        <v>0</v>
      </c>
      <c r="X96" s="20">
        <f t="shared" si="93"/>
        <v>205975248</v>
      </c>
      <c r="Y96" s="21">
        <f t="shared" si="93"/>
        <v>174002756</v>
      </c>
      <c r="Z96" s="169">
        <f t="shared" si="93"/>
        <v>5293900</v>
      </c>
      <c r="AA96" s="20">
        <f t="shared" si="93"/>
        <v>179296656</v>
      </c>
      <c r="AB96" s="21">
        <f t="shared" si="93"/>
        <v>174002756</v>
      </c>
      <c r="AC96" s="169">
        <f t="shared" si="93"/>
        <v>5293900</v>
      </c>
      <c r="AD96" s="20">
        <f t="shared" si="93"/>
        <v>179296656</v>
      </c>
      <c r="AE96" s="21">
        <f t="shared" si="93"/>
        <v>160844912</v>
      </c>
      <c r="AF96" s="169">
        <f t="shared" si="93"/>
        <v>12552669</v>
      </c>
      <c r="AG96" s="20">
        <f t="shared" si="93"/>
        <v>173397581</v>
      </c>
      <c r="AH96" s="21">
        <f t="shared" si="93"/>
        <v>26678592</v>
      </c>
      <c r="AI96" s="17">
        <f t="shared" si="93"/>
        <v>26678592</v>
      </c>
      <c r="AJ96" s="18">
        <f t="shared" si="93"/>
        <v>32577667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+IF(SEPTIEMBRE!A97=0,"",SEPTIEMBRE!A97)</f>
        <v>1130209 - 4</v>
      </c>
      <c r="B97" s="219" t="str">
        <f>+IF(SEPTIEMBRE!B97=0,"",SEPTIEMBRE!B97)</f>
        <v>Otros</v>
      </c>
      <c r="C97" s="564">
        <f>+ENERO!C97</f>
        <v>0</v>
      </c>
      <c r="D97" s="564">
        <f>SEPTIEMBRE!D97+OCTUBRE!P97</f>
        <v>0</v>
      </c>
      <c r="E97" s="564">
        <f>SEPTIEMBRE!E97+OCTUBRE!Q97</f>
        <v>0</v>
      </c>
      <c r="F97" s="565">
        <f>SUM(C97:E97)</f>
        <v>0</v>
      </c>
      <c r="G97" s="566">
        <f>SEPTIEMBRE!I97</f>
        <v>0</v>
      </c>
      <c r="H97" s="475">
        <v>0</v>
      </c>
      <c r="I97" s="565">
        <f>SUM(G97:H97)</f>
        <v>0</v>
      </c>
      <c r="J97" s="566">
        <f>SEPTIEMBRE!L97</f>
        <v>0</v>
      </c>
      <c r="K97" s="475">
        <v>0</v>
      </c>
      <c r="L97" s="565">
        <f>SUM(J97:K97)</f>
        <v>0</v>
      </c>
      <c r="M97" s="566">
        <f>F97-I97</f>
        <v>0</v>
      </c>
      <c r="N97" s="565">
        <f>F97-L97</f>
        <v>0</v>
      </c>
      <c r="O97" s="467"/>
      <c r="P97" s="471">
        <v>0</v>
      </c>
      <c r="Q97" s="476">
        <v>0</v>
      </c>
      <c r="R97" s="32"/>
      <c r="S97" s="156" t="str">
        <f>+IF(SEPTIEMBRE!S97=0,"",SEPTIEMBRE!S97)</f>
        <v>1020302-1</v>
      </c>
      <c r="T97" s="55" t="str">
        <f>+IF(SEPTIEMBRE!T97=0,"",SEPTIEMBRE!T97)</f>
        <v>Aportes a E.P.S.- Con sit. Fondos</v>
      </c>
      <c r="U97" s="29">
        <f>+ENERO!U97</f>
        <v>13794433</v>
      </c>
      <c r="V97" s="17">
        <f>SEPTIEMBRE!V97+OCTUBRE!AL97</f>
        <v>0</v>
      </c>
      <c r="W97" s="17">
        <f>SEPTIEMBRE!W97+OCTUBRE!AM97</f>
        <v>0</v>
      </c>
      <c r="X97" s="20">
        <f t="shared" ref="X97:X102" si="94">SUM(U97:W97)</f>
        <v>13794433</v>
      </c>
      <c r="Y97" s="21">
        <f>SEPTIEMBRE!AA97</f>
        <v>12193060</v>
      </c>
      <c r="Z97" s="457">
        <v>0</v>
      </c>
      <c r="AA97" s="20">
        <f t="shared" ref="AA97:AA102" si="95">SUM(Y97:Z97)</f>
        <v>12193060</v>
      </c>
      <c r="AB97" s="21">
        <f>SEPTIEMBRE!AD97</f>
        <v>12193060</v>
      </c>
      <c r="AC97" s="457">
        <v>0</v>
      </c>
      <c r="AD97" s="20">
        <f t="shared" ref="AD97:AD102" si="96">SUM(AB97:AC97)</f>
        <v>12193060</v>
      </c>
      <c r="AE97" s="21">
        <f>SEPTIEMBRE!AG97</f>
        <v>12193060</v>
      </c>
      <c r="AF97" s="457">
        <v>0</v>
      </c>
      <c r="AG97" s="20">
        <f t="shared" ref="AG97:AG102" si="97">SUM(AE97:AF97)</f>
        <v>12193060</v>
      </c>
      <c r="AH97" s="21">
        <f t="shared" ref="AH97:AH102" si="98">X97-AA97</f>
        <v>1601373</v>
      </c>
      <c r="AI97" s="17">
        <f t="shared" ref="AI97:AI102" si="99">X97-AD97</f>
        <v>1601373</v>
      </c>
      <c r="AJ97" s="18">
        <f t="shared" ref="AJ97:AJ102" si="100">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+IF(SEPTIEMBRE!S98=0,"",SEPTIEMBRE!S98)</f>
        <v>1020302-2</v>
      </c>
      <c r="T98" s="55" t="str">
        <f>+IF(SEPTIEMBRE!T98=0,"",SEPTIEMBRE!T98)</f>
        <v>Aportes Fondos Pensionales - Con Sit. Fondos</v>
      </c>
      <c r="U98" s="29">
        <f>+ENERO!U98</f>
        <v>43426005</v>
      </c>
      <c r="V98" s="17">
        <f>SEPTIEMBRE!V98+OCTUBRE!AL98</f>
        <v>0</v>
      </c>
      <c r="W98" s="17">
        <f>SEPTIEMBRE!W98+OCTUBRE!AM98</f>
        <v>0</v>
      </c>
      <c r="X98" s="20">
        <f t="shared" si="94"/>
        <v>43426005</v>
      </c>
      <c r="Y98" s="21">
        <f>SEPTIEMBRE!AA98</f>
        <v>38111173</v>
      </c>
      <c r="Z98" s="457">
        <v>0</v>
      </c>
      <c r="AA98" s="20">
        <f t="shared" si="95"/>
        <v>38111173</v>
      </c>
      <c r="AB98" s="21">
        <f>SEPTIEMBRE!AD98</f>
        <v>38111173</v>
      </c>
      <c r="AC98" s="457">
        <v>0</v>
      </c>
      <c r="AD98" s="20">
        <f t="shared" si="96"/>
        <v>38111173</v>
      </c>
      <c r="AE98" s="21">
        <f>SEPTIEMBRE!AG98</f>
        <v>30950206</v>
      </c>
      <c r="AF98" s="457">
        <v>7160967</v>
      </c>
      <c r="AG98" s="20">
        <f t="shared" si="97"/>
        <v>38111173</v>
      </c>
      <c r="AH98" s="21">
        <f t="shared" si="98"/>
        <v>5314832</v>
      </c>
      <c r="AI98" s="17">
        <f t="shared" si="99"/>
        <v>5314832</v>
      </c>
      <c r="AJ98" s="18">
        <f t="shared" si="100"/>
        <v>5314832</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+IF(SEPTIEMBRE!A99=0,"",SEPTIEMBRE!A99)</f>
        <v>11303</v>
      </c>
      <c r="B99" s="570" t="str">
        <f>+IF(SEPTIEMBRE!B99=0,"",SEPTIEMBRE!B99)</f>
        <v>Aportes no ligados a venta servicios de salud</v>
      </c>
      <c r="C99" s="572">
        <f t="shared" ref="C99:N99" si="101">SUM(C100:C106)</f>
        <v>0</v>
      </c>
      <c r="D99" s="572">
        <f t="shared" si="101"/>
        <v>227076373</v>
      </c>
      <c r="E99" s="572">
        <f t="shared" si="101"/>
        <v>25449068</v>
      </c>
      <c r="F99" s="573">
        <f t="shared" si="101"/>
        <v>252525441</v>
      </c>
      <c r="G99" s="571">
        <f t="shared" si="101"/>
        <v>189394046</v>
      </c>
      <c r="H99" s="572">
        <f t="shared" si="101"/>
        <v>21043822</v>
      </c>
      <c r="I99" s="573">
        <f t="shared" si="101"/>
        <v>210437868</v>
      </c>
      <c r="J99" s="571">
        <f t="shared" si="101"/>
        <v>189394046</v>
      </c>
      <c r="K99" s="572">
        <f t="shared" si="101"/>
        <v>21043822</v>
      </c>
      <c r="L99" s="573">
        <f t="shared" si="101"/>
        <v>210437868</v>
      </c>
      <c r="M99" s="571">
        <f t="shared" si="101"/>
        <v>42087573</v>
      </c>
      <c r="N99" s="573">
        <f t="shared" si="101"/>
        <v>42087573</v>
      </c>
      <c r="P99" s="215">
        <f>SUM(P100:P106)</f>
        <v>0</v>
      </c>
      <c r="Q99" s="216">
        <f>SUM(Q100:Q106)</f>
        <v>0</v>
      </c>
      <c r="R99" s="32"/>
      <c r="S99" s="156" t="str">
        <f>+IF(SEPTIEMBRE!S99=0,"",SEPTIEMBRE!S99)</f>
        <v>1020302-3</v>
      </c>
      <c r="T99" s="55" t="str">
        <f>+IF(SEPTIEMBRE!T99=0,"",SEPTIEMBRE!T99)</f>
        <v xml:space="preserve">Aportes a Fondos de Cesantia - Con Sit. de Fondos </v>
      </c>
      <c r="U99" s="29">
        <f>+ENERO!U99</f>
        <v>78984976</v>
      </c>
      <c r="V99" s="17">
        <f>SEPTIEMBRE!V99+OCTUBRE!AL99</f>
        <v>0</v>
      </c>
      <c r="W99" s="17">
        <f>SEPTIEMBRE!W99+OCTUBRE!AM99</f>
        <v>0</v>
      </c>
      <c r="X99" s="20">
        <f t="shared" si="94"/>
        <v>78984976</v>
      </c>
      <c r="Y99" s="21">
        <f>SEPTIEMBRE!AA99</f>
        <v>77659419</v>
      </c>
      <c r="Z99" s="457">
        <v>0</v>
      </c>
      <c r="AA99" s="20">
        <f t="shared" si="95"/>
        <v>77659419</v>
      </c>
      <c r="AB99" s="21">
        <f>SEPTIEMBRE!AD99</f>
        <v>77659419</v>
      </c>
      <c r="AC99" s="457">
        <v>0</v>
      </c>
      <c r="AD99" s="20">
        <f t="shared" si="96"/>
        <v>77659419</v>
      </c>
      <c r="AE99" s="21">
        <f>SEPTIEMBRE!AG99</f>
        <v>77054244</v>
      </c>
      <c r="AF99" s="457">
        <v>0</v>
      </c>
      <c r="AG99" s="20">
        <f t="shared" si="97"/>
        <v>77054244</v>
      </c>
      <c r="AH99" s="21">
        <f t="shared" si="98"/>
        <v>1325557</v>
      </c>
      <c r="AI99" s="17">
        <f t="shared" si="99"/>
        <v>1325557</v>
      </c>
      <c r="AJ99" s="18">
        <f t="shared" si="100"/>
        <v>1930732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+IF(SEPTIEMBRE!A100=0,"",SEPTIEMBRE!A100)</f>
        <v>11303-1</v>
      </c>
      <c r="B100" s="59" t="str">
        <f>+IF(SEPTIEMBRE!B100=0,"",SEPTIEMBRE!B100)</f>
        <v xml:space="preserve">NACION </v>
      </c>
      <c r="C100" s="574">
        <f>+ENERO!C100</f>
        <v>0</v>
      </c>
      <c r="D100" s="574">
        <f>SEPTIEMBRE!D100+OCTUBRE!P100</f>
        <v>0</v>
      </c>
      <c r="E100" s="574">
        <f>SEPTIEMBRE!E100+OCTUBRE!Q100</f>
        <v>0</v>
      </c>
      <c r="F100" s="575">
        <f t="shared" ref="F100:F106" si="102">SUM(C100:E100)</f>
        <v>0</v>
      </c>
      <c r="G100" s="576">
        <f>SEPTIEMBRE!I100</f>
        <v>0</v>
      </c>
      <c r="H100" s="457">
        <v>0</v>
      </c>
      <c r="I100" s="575">
        <f t="shared" ref="I100:I106" si="103">SUM(G100:H100)</f>
        <v>0</v>
      </c>
      <c r="J100" s="576">
        <f>SEPTIEMBRE!L100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+IF(SEPTIEMBRE!S100=0,"",SEPTIEMBRE!S100)</f>
        <v>1020302-4</v>
      </c>
      <c r="T100" s="55" t="str">
        <f>+IF(SEPTIEMBRE!T100=0,"",SEPTIEMBRE!T100)</f>
        <v>Aporte a ARL. - Con Sit. de Fondos</v>
      </c>
      <c r="U100" s="29">
        <f>+ENERO!U100</f>
        <v>24654894</v>
      </c>
      <c r="V100" s="17">
        <f>SEPTIEMBRE!V100+OCTUBRE!AL100</f>
        <v>0</v>
      </c>
      <c r="W100" s="17">
        <f>SEPTIEMBRE!W100+OCTUBRE!AM100</f>
        <v>0</v>
      </c>
      <c r="X100" s="20">
        <f t="shared" si="94"/>
        <v>24654894</v>
      </c>
      <c r="Y100" s="21">
        <f>SEPTIEMBRE!AA100</f>
        <v>18091400</v>
      </c>
      <c r="Z100" s="457">
        <v>2143400</v>
      </c>
      <c r="AA100" s="20">
        <f t="shared" si="95"/>
        <v>20234800</v>
      </c>
      <c r="AB100" s="21">
        <f>SEPTIEMBRE!AD100</f>
        <v>18091400</v>
      </c>
      <c r="AC100" s="457">
        <v>2143400</v>
      </c>
      <c r="AD100" s="20">
        <f t="shared" si="96"/>
        <v>20234800</v>
      </c>
      <c r="AE100" s="21">
        <f>SEPTIEMBRE!AG100</f>
        <v>15728200</v>
      </c>
      <c r="AF100" s="457">
        <v>2363200</v>
      </c>
      <c r="AG100" s="20">
        <f t="shared" si="97"/>
        <v>18091400</v>
      </c>
      <c r="AH100" s="21">
        <f t="shared" si="98"/>
        <v>4420094</v>
      </c>
      <c r="AI100" s="17">
        <f t="shared" si="99"/>
        <v>4420094</v>
      </c>
      <c r="AJ100" s="18">
        <f t="shared" si="100"/>
        <v>6563494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+IF(SEPTIEMBRE!A101=0,"",SEPTIEMBRE!A101)</f>
        <v>11303-2</v>
      </c>
      <c r="B101" s="59" t="str">
        <f>+IF(SEPTIEMBRE!B101=0,"",SEPTIEMBRE!B101)</f>
        <v>DEPARTAMENTO</v>
      </c>
      <c r="C101" s="574">
        <f>+ENERO!C101</f>
        <v>0</v>
      </c>
      <c r="D101" s="574">
        <f>SEPTIEMBRE!D101+OCTUBRE!P101</f>
        <v>0</v>
      </c>
      <c r="E101" s="574">
        <f>SEPTIEMBRE!E101+OCTUBRE!Q101</f>
        <v>0</v>
      </c>
      <c r="F101" s="575">
        <f t="shared" si="102"/>
        <v>0</v>
      </c>
      <c r="G101" s="576">
        <f>SEPTIEMBRE!I101</f>
        <v>0</v>
      </c>
      <c r="H101" s="457">
        <v>0</v>
      </c>
      <c r="I101" s="575">
        <f t="shared" si="103"/>
        <v>0</v>
      </c>
      <c r="J101" s="576">
        <f>SEPTIEMBRE!L101</f>
        <v>0</v>
      </c>
      <c r="K101" s="457">
        <v>0</v>
      </c>
      <c r="L101" s="575">
        <f t="shared" si="104"/>
        <v>0</v>
      </c>
      <c r="M101" s="576">
        <f t="shared" si="105"/>
        <v>0</v>
      </c>
      <c r="N101" s="575">
        <f t="shared" si="106"/>
        <v>0</v>
      </c>
      <c r="O101" s="562"/>
      <c r="P101" s="455">
        <v>0</v>
      </c>
      <c r="Q101" s="458">
        <v>0</v>
      </c>
      <c r="R101" s="10"/>
      <c r="S101" s="156" t="str">
        <f>+IF(SEPTIEMBRE!S101=0,"",SEPTIEMBRE!S101)</f>
        <v>1020302-5</v>
      </c>
      <c r="T101" s="55" t="str">
        <f>+IF(SEPTIEMBRE!T101=0,"",SEPTIEMBRE!T101)</f>
        <v>Aporte a Caja Compensación Familiar</v>
      </c>
      <c r="U101" s="29">
        <f>+ENERO!U101</f>
        <v>45114940</v>
      </c>
      <c r="V101" s="17">
        <f>SEPTIEMBRE!V101+OCTUBRE!AL101</f>
        <v>0</v>
      </c>
      <c r="W101" s="17">
        <f>SEPTIEMBRE!W101+OCTUBRE!AM101</f>
        <v>0</v>
      </c>
      <c r="X101" s="20">
        <f t="shared" si="94"/>
        <v>45114940</v>
      </c>
      <c r="Y101" s="21">
        <f>SEPTIEMBRE!AA101</f>
        <v>27947704</v>
      </c>
      <c r="Z101" s="457">
        <v>3150500</v>
      </c>
      <c r="AA101" s="20">
        <f t="shared" si="95"/>
        <v>31098204</v>
      </c>
      <c r="AB101" s="21">
        <f>SEPTIEMBRE!AD101</f>
        <v>27947704</v>
      </c>
      <c r="AC101" s="457">
        <v>3150500</v>
      </c>
      <c r="AD101" s="20">
        <f t="shared" si="96"/>
        <v>31098204</v>
      </c>
      <c r="AE101" s="21">
        <f>SEPTIEMBRE!AG101</f>
        <v>24919202</v>
      </c>
      <c r="AF101" s="457">
        <v>3028502</v>
      </c>
      <c r="AG101" s="20">
        <f t="shared" si="97"/>
        <v>27947704</v>
      </c>
      <c r="AH101" s="21">
        <f t="shared" si="98"/>
        <v>14016736</v>
      </c>
      <c r="AI101" s="17">
        <f t="shared" si="99"/>
        <v>14016736</v>
      </c>
      <c r="AJ101" s="18">
        <f t="shared" si="100"/>
        <v>17167236</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+IF(SEPTIEMBRE!A102=0,"",SEPTIEMBRE!A102)</f>
        <v>11303-3</v>
      </c>
      <c r="B102" s="59" t="str">
        <f>+IF(SEPTIEMBRE!B102=0,"",SEPTIEMBRE!B102)</f>
        <v>MUNICIPIO</v>
      </c>
      <c r="C102" s="574">
        <f>+ENERO!C102</f>
        <v>0</v>
      </c>
      <c r="D102" s="574">
        <f>SEPTIEMBRE!D102+OCTUBRE!P102</f>
        <v>0</v>
      </c>
      <c r="E102" s="574">
        <f>SEPTIEMBRE!E102+OCTUBRE!Q102</f>
        <v>0</v>
      </c>
      <c r="F102" s="575">
        <f t="shared" si="102"/>
        <v>0</v>
      </c>
      <c r="G102" s="576">
        <f>SEPTIEMBRE!I102</f>
        <v>0</v>
      </c>
      <c r="H102" s="457">
        <v>0</v>
      </c>
      <c r="I102" s="575">
        <f t="shared" si="103"/>
        <v>0</v>
      </c>
      <c r="J102" s="576">
        <f>SEPTIEMBRE!L102</f>
        <v>0</v>
      </c>
      <c r="K102" s="457">
        <v>0</v>
      </c>
      <c r="L102" s="575">
        <f t="shared" si="104"/>
        <v>0</v>
      </c>
      <c r="M102" s="576">
        <f t="shared" si="105"/>
        <v>0</v>
      </c>
      <c r="N102" s="575">
        <f t="shared" si="106"/>
        <v>0</v>
      </c>
      <c r="O102" s="562"/>
      <c r="P102" s="455">
        <v>0</v>
      </c>
      <c r="Q102" s="458">
        <v>0</v>
      </c>
      <c r="R102" s="10"/>
      <c r="S102" s="155">
        <f>+IF(SEPTIEMBRE!S102=0,"",SEPTIEMBRE!S102)</f>
        <v>1020399</v>
      </c>
      <c r="T102" s="159" t="str">
        <f>+IF(SEPTIEMBRE!T102=0,"",SEPTIEMBRE!T102)</f>
        <v>Vigencias Anteriores</v>
      </c>
      <c r="U102" s="29">
        <f>+ENERO!U102</f>
        <v>0</v>
      </c>
      <c r="V102" s="17">
        <f>SEPTIEMBRE!V102+OCTUBRE!AL102</f>
        <v>0</v>
      </c>
      <c r="W102" s="17">
        <f>SEPTIEMBRE!W102+OCTUBRE!AM102</f>
        <v>5352587</v>
      </c>
      <c r="X102" s="20">
        <f t="shared" si="94"/>
        <v>5352587</v>
      </c>
      <c r="Y102" s="21">
        <f>SEPTIEMBRE!AA102</f>
        <v>5352587</v>
      </c>
      <c r="Z102" s="457">
        <v>0</v>
      </c>
      <c r="AA102" s="20">
        <f t="shared" si="95"/>
        <v>5352587</v>
      </c>
      <c r="AB102" s="21">
        <f>SEPTIEMBRE!AD102</f>
        <v>5352587</v>
      </c>
      <c r="AC102" s="457">
        <v>0</v>
      </c>
      <c r="AD102" s="20">
        <f t="shared" si="96"/>
        <v>5352587</v>
      </c>
      <c r="AE102" s="21">
        <f>SEPTIEMBRE!AG102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+IF(SEPTIEMBRE!A103=0,"",SEPTIEMBRE!A103)</f>
        <v>11303-4</v>
      </c>
      <c r="B103" s="59" t="str">
        <f>+IF(SEPTIEMBRE!B103=0,"",SEPTIEMBRE!B103)</f>
        <v>CONVENIOS (EMPRESTITO)</v>
      </c>
      <c r="C103" s="574">
        <f>+ENERO!C103</f>
        <v>0</v>
      </c>
      <c r="D103" s="574">
        <f>SEPTIEMBRE!D103+OCTUBRE!P103</f>
        <v>0</v>
      </c>
      <c r="E103" s="574">
        <f>SEPTIEMBRE!E103+OCTUBRE!Q103</f>
        <v>0</v>
      </c>
      <c r="F103" s="575">
        <f t="shared" si="102"/>
        <v>0</v>
      </c>
      <c r="G103" s="576">
        <f>SEPTIEMBRE!I103</f>
        <v>0</v>
      </c>
      <c r="H103" s="457">
        <v>0</v>
      </c>
      <c r="I103" s="575">
        <f t="shared" si="103"/>
        <v>0</v>
      </c>
      <c r="J103" s="576">
        <f>SEPTIEMBRE!L103</f>
        <v>0</v>
      </c>
      <c r="K103" s="457">
        <v>0</v>
      </c>
      <c r="L103" s="575">
        <f t="shared" si="104"/>
        <v>0</v>
      </c>
      <c r="M103" s="576">
        <f t="shared" si="105"/>
        <v>0</v>
      </c>
      <c r="N103" s="575">
        <f t="shared" si="106"/>
        <v>0</v>
      </c>
      <c r="O103" s="562"/>
      <c r="P103" s="455">
        <v>0</v>
      </c>
      <c r="Q103" s="458">
        <v>0</v>
      </c>
      <c r="R103" s="10"/>
      <c r="S103" s="448" t="str">
        <f>+IF(SEPTIEMBRE!S103=0,"",SEPTIEMBRE!S103)</f>
        <v/>
      </c>
      <c r="T103" s="649" t="str">
        <f>+IF(SEPTIEMBRE!T103=0,"",SEPTIEMBRE!T103)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+IF(SEPTIEMBRE!A104=0,"",SEPTIEMBRE!A104)</f>
        <v>11303-5</v>
      </c>
      <c r="B104" s="59" t="str">
        <f>+IF(SEPTIEMBRE!B104=0,"",SEPTIEMBRE!B104)</f>
        <v>OTROS CONVENIOS</v>
      </c>
      <c r="C104" s="574">
        <f>+ENERO!C104</f>
        <v>0</v>
      </c>
      <c r="D104" s="574">
        <f>SEPTIEMBRE!D104+OCTUBRE!P104</f>
        <v>0</v>
      </c>
      <c r="E104" s="574">
        <f>SEPTIEMBRE!E104+OCTUBRE!Q104</f>
        <v>0</v>
      </c>
      <c r="F104" s="575">
        <f t="shared" si="102"/>
        <v>0</v>
      </c>
      <c r="G104" s="576">
        <f>SEPTIEMBRE!I104</f>
        <v>0</v>
      </c>
      <c r="H104" s="457">
        <v>0</v>
      </c>
      <c r="I104" s="575">
        <f t="shared" si="103"/>
        <v>0</v>
      </c>
      <c r="J104" s="576">
        <f>SEPTIEMBRE!L104</f>
        <v>0</v>
      </c>
      <c r="K104" s="457">
        <v>0</v>
      </c>
      <c r="L104" s="575">
        <f t="shared" si="104"/>
        <v>0</v>
      </c>
      <c r="M104" s="576">
        <f t="shared" si="105"/>
        <v>0</v>
      </c>
      <c r="N104" s="575">
        <f t="shared" si="106"/>
        <v>0</v>
      </c>
      <c r="O104" s="562"/>
      <c r="P104" s="455">
        <v>0</v>
      </c>
      <c r="Q104" s="458">
        <v>0</v>
      </c>
      <c r="R104" s="10"/>
      <c r="S104" s="34">
        <f>+IF(SEPTIEMBRE!S104=0,"",SEPTIEMBRE!S104)</f>
        <v>1020400</v>
      </c>
      <c r="T104" s="158" t="str">
        <f>+IF(SEPTIEMBRE!T104=0,"",SEPTIEMBRE!T104)</f>
        <v>Contribuciones Inherentes nómina del Sector Publico</v>
      </c>
      <c r="U104" s="157">
        <f t="shared" ref="U104:AJ104" si="107">U105+U108</f>
        <v>56393675</v>
      </c>
      <c r="V104" s="144">
        <f t="shared" si="107"/>
        <v>0</v>
      </c>
      <c r="W104" s="144">
        <f t="shared" si="107"/>
        <v>0</v>
      </c>
      <c r="X104" s="152">
        <f t="shared" si="107"/>
        <v>56393675</v>
      </c>
      <c r="Y104" s="151">
        <f t="shared" si="107"/>
        <v>35641328</v>
      </c>
      <c r="Z104" s="144">
        <f t="shared" si="107"/>
        <v>3936900</v>
      </c>
      <c r="AA104" s="152">
        <f t="shared" si="107"/>
        <v>39578228</v>
      </c>
      <c r="AB104" s="151">
        <f t="shared" si="107"/>
        <v>35641328</v>
      </c>
      <c r="AC104" s="144">
        <f t="shared" si="107"/>
        <v>3936900</v>
      </c>
      <c r="AD104" s="152">
        <f t="shared" si="107"/>
        <v>39578228</v>
      </c>
      <c r="AE104" s="151">
        <f t="shared" si="107"/>
        <v>31710814</v>
      </c>
      <c r="AF104" s="144">
        <f t="shared" si="107"/>
        <v>3930514</v>
      </c>
      <c r="AG104" s="152">
        <f t="shared" si="107"/>
        <v>35641328</v>
      </c>
      <c r="AH104" s="151">
        <f t="shared" si="107"/>
        <v>16815447</v>
      </c>
      <c r="AI104" s="144">
        <f t="shared" si="107"/>
        <v>16815447</v>
      </c>
      <c r="AJ104" s="153">
        <f t="shared" si="107"/>
        <v>20752347</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+IF(SEPTIEMBRE!A105=0,"",SEPTIEMBRE!A105)</f>
        <v>11303-6</v>
      </c>
      <c r="B105" s="59" t="str">
        <f>+IF(SEPTIEMBRE!B105=0,"",SEPTIEMBRE!B105)</f>
        <v>APORTES PATRONALES MUNICIPIO / DEPARTAMENTO</v>
      </c>
      <c r="C105" s="574">
        <f>+ENERO!C105</f>
        <v>0</v>
      </c>
      <c r="D105" s="574">
        <f>SEPTIEMBRE!D105+OCTUBRE!P105</f>
        <v>227076373</v>
      </c>
      <c r="E105" s="574">
        <f>SEPTIEMBRE!E105+OCTUBRE!Q105</f>
        <v>25449068</v>
      </c>
      <c r="F105" s="575">
        <f t="shared" si="102"/>
        <v>252525441</v>
      </c>
      <c r="G105" s="576">
        <f>SEPTIEMBRE!I105</f>
        <v>189394046</v>
      </c>
      <c r="H105" s="457">
        <v>21043822</v>
      </c>
      <c r="I105" s="575">
        <f t="shared" si="103"/>
        <v>210437868</v>
      </c>
      <c r="J105" s="576">
        <f>SEPTIEMBRE!L105</f>
        <v>189394046</v>
      </c>
      <c r="K105" s="457">
        <v>21043822</v>
      </c>
      <c r="L105" s="575">
        <f t="shared" si="104"/>
        <v>210437868</v>
      </c>
      <c r="M105" s="576">
        <f t="shared" si="105"/>
        <v>42087573</v>
      </c>
      <c r="N105" s="575">
        <f t="shared" si="106"/>
        <v>42087573</v>
      </c>
      <c r="O105" s="562"/>
      <c r="P105" s="455">
        <v>0</v>
      </c>
      <c r="Q105" s="458">
        <v>0</v>
      </c>
      <c r="R105" s="10"/>
      <c r="S105" s="155">
        <f>+IF(SEPTIEMBRE!S105=0,"",SEPTIEMBRE!S105)</f>
        <v>1020402</v>
      </c>
      <c r="T105" s="159" t="str">
        <f>+IF(SEPTIEMBRE!T105=0,"",SEPTIEMBRE!T105)</f>
        <v>Contribuciones - Otros</v>
      </c>
      <c r="U105" s="29">
        <f t="shared" ref="U105:AJ105" si="108">SUM(U106:U107)</f>
        <v>56393675</v>
      </c>
      <c r="V105" s="17">
        <f t="shared" si="108"/>
        <v>0</v>
      </c>
      <c r="W105" s="17">
        <f t="shared" si="108"/>
        <v>0</v>
      </c>
      <c r="X105" s="20">
        <f t="shared" si="108"/>
        <v>56393675</v>
      </c>
      <c r="Y105" s="21">
        <f t="shared" si="108"/>
        <v>35641328</v>
      </c>
      <c r="Z105" s="169">
        <f t="shared" si="108"/>
        <v>3936900</v>
      </c>
      <c r="AA105" s="20">
        <f t="shared" si="108"/>
        <v>39578228</v>
      </c>
      <c r="AB105" s="21">
        <f t="shared" si="108"/>
        <v>35641328</v>
      </c>
      <c r="AC105" s="169">
        <f t="shared" si="108"/>
        <v>3936900</v>
      </c>
      <c r="AD105" s="20">
        <f t="shared" si="108"/>
        <v>39578228</v>
      </c>
      <c r="AE105" s="21">
        <f t="shared" si="108"/>
        <v>31710814</v>
      </c>
      <c r="AF105" s="169">
        <f t="shared" si="108"/>
        <v>3930514</v>
      </c>
      <c r="AG105" s="20">
        <f t="shared" si="108"/>
        <v>35641328</v>
      </c>
      <c r="AH105" s="21">
        <f t="shared" si="108"/>
        <v>16815447</v>
      </c>
      <c r="AI105" s="17">
        <f t="shared" si="108"/>
        <v>16815447</v>
      </c>
      <c r="AJ105" s="18">
        <f t="shared" si="108"/>
        <v>20752347</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+IF(SEPTIEMBRE!A106=0,"",SEPTIEMBRE!A106)</f>
        <v>11303-5</v>
      </c>
      <c r="B106" s="578" t="str">
        <f>+IF(SEPTIEMBRE!B106=0,"",SEPTIEMBRE!B106)</f>
        <v>Vigencias Anteriores</v>
      </c>
      <c r="C106" s="564">
        <f>+ENERO!C106</f>
        <v>0</v>
      </c>
      <c r="D106" s="564">
        <f>SEPTIEMBRE!D106+OCTUBRE!P106</f>
        <v>0</v>
      </c>
      <c r="E106" s="564">
        <f>SEPTIEMBRE!E106+OCTUBRE!Q106</f>
        <v>0</v>
      </c>
      <c r="F106" s="565">
        <f t="shared" si="102"/>
        <v>0</v>
      </c>
      <c r="G106" s="566">
        <f>SEPTIEMBRE!I106</f>
        <v>0</v>
      </c>
      <c r="H106" s="475">
        <v>0</v>
      </c>
      <c r="I106" s="565">
        <f t="shared" si="103"/>
        <v>0</v>
      </c>
      <c r="J106" s="566">
        <f>SEPTIEMBRE!L106</f>
        <v>0</v>
      </c>
      <c r="K106" s="475">
        <v>0</v>
      </c>
      <c r="L106" s="565">
        <f t="shared" si="104"/>
        <v>0</v>
      </c>
      <c r="M106" s="566">
        <f t="shared" si="105"/>
        <v>0</v>
      </c>
      <c r="N106" s="565">
        <f t="shared" si="106"/>
        <v>0</v>
      </c>
      <c r="O106" s="562"/>
      <c r="P106" s="471">
        <v>0</v>
      </c>
      <c r="Q106" s="476">
        <v>0</v>
      </c>
      <c r="R106" s="10"/>
      <c r="S106" s="156" t="str">
        <f>+IF(SEPTIEMBRE!S106=0,"",SEPTIEMBRE!S106)</f>
        <v>1020402-1</v>
      </c>
      <c r="T106" s="55" t="str">
        <f>+IF(SEPTIEMBRE!T106=0,"",SEPTIEMBRE!T106)</f>
        <v>S.E.N.A.</v>
      </c>
      <c r="U106" s="29">
        <f>+ENERO!U106</f>
        <v>22557470</v>
      </c>
      <c r="V106" s="17">
        <f>SEPTIEMBRE!V106+OCTUBRE!AL106</f>
        <v>0</v>
      </c>
      <c r="W106" s="17">
        <f>SEPTIEMBRE!W106+OCTUBRE!AM106</f>
        <v>0</v>
      </c>
      <c r="X106" s="20">
        <f>SUM(U106:W106)</f>
        <v>22557470</v>
      </c>
      <c r="Y106" s="21">
        <f>SEPTIEMBRE!AA106</f>
        <v>14306266</v>
      </c>
      <c r="Z106" s="457">
        <v>1574700</v>
      </c>
      <c r="AA106" s="20">
        <f>SUM(Y106:Z106)</f>
        <v>15880966</v>
      </c>
      <c r="AB106" s="21">
        <f>SEPTIEMBRE!AD106</f>
        <v>14306266</v>
      </c>
      <c r="AC106" s="457">
        <v>1574700</v>
      </c>
      <c r="AD106" s="20">
        <f>SUM(AB106:AC106)</f>
        <v>15880966</v>
      </c>
      <c r="AE106" s="21">
        <f>SEPTIEMBRE!AG106</f>
        <v>12730183</v>
      </c>
      <c r="AF106" s="457">
        <v>1576083</v>
      </c>
      <c r="AG106" s="20">
        <f>SUM(AE106:AF106)</f>
        <v>14306266</v>
      </c>
      <c r="AH106" s="21">
        <f>X106-AA106</f>
        <v>6676504</v>
      </c>
      <c r="AI106" s="17">
        <f>X106-AD106</f>
        <v>6676504</v>
      </c>
      <c r="AJ106" s="18">
        <f>X106-AG106</f>
        <v>8251204</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+IF(SEPTIEMBRE!S107=0,"",SEPTIEMBRE!S107)</f>
        <v>1020402-2</v>
      </c>
      <c r="T107" s="55" t="str">
        <f>+IF(SEPTIEMBRE!T107=0,"",SEPTIEMBRE!T107)</f>
        <v>I.C.B.F.</v>
      </c>
      <c r="U107" s="29">
        <f>+ENERO!U107</f>
        <v>33836205</v>
      </c>
      <c r="V107" s="17">
        <f>SEPTIEMBRE!V107+OCTUBRE!AL107</f>
        <v>0</v>
      </c>
      <c r="W107" s="17">
        <f>SEPTIEMBRE!W107+OCTUBRE!AM107</f>
        <v>0</v>
      </c>
      <c r="X107" s="20">
        <f>SUM(U107:W107)</f>
        <v>33836205</v>
      </c>
      <c r="Y107" s="21">
        <f>SEPTIEMBRE!AA107</f>
        <v>21335062</v>
      </c>
      <c r="Z107" s="457">
        <v>2362200</v>
      </c>
      <c r="AA107" s="20">
        <f>SUM(Y107:Z107)</f>
        <v>23697262</v>
      </c>
      <c r="AB107" s="21">
        <f>SEPTIEMBRE!AD107</f>
        <v>21335062</v>
      </c>
      <c r="AC107" s="457">
        <v>2362200</v>
      </c>
      <c r="AD107" s="20">
        <f>SUM(AB107:AC107)</f>
        <v>23697262</v>
      </c>
      <c r="AE107" s="21">
        <f>SEPTIEMBRE!AG107</f>
        <v>18980631</v>
      </c>
      <c r="AF107" s="457">
        <v>2354431</v>
      </c>
      <c r="AG107" s="20">
        <f>SUM(AE107:AF107)</f>
        <v>21335062</v>
      </c>
      <c r="AH107" s="21">
        <f>X107-AA107</f>
        <v>10138943</v>
      </c>
      <c r="AI107" s="17">
        <f>X107-AD107</f>
        <v>10138943</v>
      </c>
      <c r="AJ107" s="18">
        <f>X107-AG107</f>
        <v>12501143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+IF(SEPTIEMBRE!A108=0,"",SEPTIEMBRE!A108)</f>
        <v>2000</v>
      </c>
      <c r="B108" s="439" t="str">
        <f>+IF(SEPTIEMBRE!B108=0,"",SEPTIEMBRE!B108)</f>
        <v>INGRESOS DE CAPITAL</v>
      </c>
      <c r="C108" s="215">
        <f t="shared" ref="C108:N108" si="109">SUM(C109:C117)</f>
        <v>1452387</v>
      </c>
      <c r="D108" s="435">
        <f t="shared" si="109"/>
        <v>0</v>
      </c>
      <c r="E108" s="435">
        <f t="shared" si="109"/>
        <v>149110140</v>
      </c>
      <c r="F108" s="216">
        <f t="shared" si="109"/>
        <v>150562527</v>
      </c>
      <c r="G108" s="215">
        <f t="shared" si="109"/>
        <v>145304326</v>
      </c>
      <c r="H108" s="435">
        <f t="shared" si="109"/>
        <v>375375</v>
      </c>
      <c r="I108" s="216">
        <f t="shared" si="109"/>
        <v>145679701</v>
      </c>
      <c r="J108" s="215">
        <f t="shared" si="109"/>
        <v>145304326</v>
      </c>
      <c r="K108" s="435">
        <f t="shared" si="109"/>
        <v>375377</v>
      </c>
      <c r="L108" s="216">
        <f t="shared" si="109"/>
        <v>145679703</v>
      </c>
      <c r="M108" s="215">
        <f t="shared" si="109"/>
        <v>4882826</v>
      </c>
      <c r="N108" s="216">
        <f t="shared" si="109"/>
        <v>4882824</v>
      </c>
      <c r="O108" s="562"/>
      <c r="P108" s="215">
        <f>SUM(P109:P117)</f>
        <v>0</v>
      </c>
      <c r="Q108" s="216">
        <f>SUM(Q109:Q117)</f>
        <v>0</v>
      </c>
      <c r="R108" s="10"/>
      <c r="S108" s="155">
        <f>+IF(SEPTIEMBRE!S108=0,"",SEPTIEMBRE!S108)</f>
        <v>1020499</v>
      </c>
      <c r="T108" s="159" t="str">
        <f>+IF(SEPTIEMBRE!T108=0,"",SEPTIEMBRE!T108)</f>
        <v>Vigencias Anteriores</v>
      </c>
      <c r="U108" s="29">
        <f>+ENERO!U108</f>
        <v>0</v>
      </c>
      <c r="V108" s="17">
        <f>SEPTIEMBRE!V108+OCTUBRE!AL108</f>
        <v>0</v>
      </c>
      <c r="W108" s="17">
        <f>SEPTIEMBRE!W108+OCTUBRE!AM108</f>
        <v>0</v>
      </c>
      <c r="X108" s="20">
        <f>SUM(U108:W108)</f>
        <v>0</v>
      </c>
      <c r="Y108" s="21">
        <f>SEPTIEMBRE!AA108</f>
        <v>0</v>
      </c>
      <c r="Z108" s="457">
        <v>0</v>
      </c>
      <c r="AA108" s="20">
        <f>SUM(Y108:Z108)</f>
        <v>0</v>
      </c>
      <c r="AB108" s="21">
        <f>SEPTIEMBRE!AD108</f>
        <v>0</v>
      </c>
      <c r="AC108" s="457">
        <v>0</v>
      </c>
      <c r="AD108" s="20">
        <f>SUM(AB108:AC108)</f>
        <v>0</v>
      </c>
      <c r="AE108" s="21">
        <f>SEPTIEMBRE!AG108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+IF(SEPTIEMBRE!A109=0,"",SEPTIEMBRE!A109)</f>
        <v>2100</v>
      </c>
      <c r="B109" s="56" t="str">
        <f>+IF(SEPTIEMBRE!B109=0,"",SEPTIEMBRE!B109)</f>
        <v>CREDITO INTERNO</v>
      </c>
      <c r="C109" s="576">
        <f>+ENERO!C109</f>
        <v>0</v>
      </c>
      <c r="D109" s="574">
        <f>SEPTIEMBRE!D109+OCTUBRE!P109</f>
        <v>0</v>
      </c>
      <c r="E109" s="574">
        <f>SEPTIEMBRE!E109+OCTUBRE!Q109</f>
        <v>0</v>
      </c>
      <c r="F109" s="575">
        <f t="shared" ref="F109:F116" si="110">SUM(C109:E109)</f>
        <v>0</v>
      </c>
      <c r="G109" s="576">
        <f>SEPTIEMBRE!I109</f>
        <v>0</v>
      </c>
      <c r="H109" s="457">
        <v>0</v>
      </c>
      <c r="I109" s="575">
        <f t="shared" ref="I109:I116" si="111">SUM(G109:H109)</f>
        <v>0</v>
      </c>
      <c r="J109" s="576">
        <f>SEPTIEMBRE!L109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+IF(SEPTIEMBRE!S109=0,"",SEPTIEMBRE!S109)</f>
        <v/>
      </c>
      <c r="T109" s="649" t="str">
        <f>+IF(SEPTIEMBRE!T109=0,"",SEPTIEMBRE!T109)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+IF(SEPTIEMBRE!A110=0,"",SEPTIEMBRE!A110)</f>
        <v>2100-1</v>
      </c>
      <c r="B110" s="563" t="s">
        <v>482</v>
      </c>
      <c r="C110" s="576">
        <f>+ENERO!C110</f>
        <v>0</v>
      </c>
      <c r="D110" s="574">
        <f>SEPTIEMBRE!D110+OCTUBRE!P110</f>
        <v>0</v>
      </c>
      <c r="E110" s="574">
        <f>SEPTIEMBRE!E110+OCTUBRE!Q110</f>
        <v>0</v>
      </c>
      <c r="F110" s="575">
        <f t="shared" si="110"/>
        <v>0</v>
      </c>
      <c r="G110" s="576">
        <f>SEPTIEMBRE!I110</f>
        <v>0</v>
      </c>
      <c r="H110" s="457">
        <v>0</v>
      </c>
      <c r="I110" s="575">
        <f t="shared" si="111"/>
        <v>0</v>
      </c>
      <c r="J110" s="576">
        <f>SEPTIEMBRE!L110</f>
        <v>0</v>
      </c>
      <c r="K110" s="457">
        <v>0</v>
      </c>
      <c r="L110" s="575">
        <f t="shared" si="112"/>
        <v>0</v>
      </c>
      <c r="M110" s="576">
        <f t="shared" si="113"/>
        <v>0</v>
      </c>
      <c r="N110" s="575">
        <f t="shared" si="114"/>
        <v>0</v>
      </c>
      <c r="O110" s="562"/>
      <c r="P110" s="455">
        <v>0</v>
      </c>
      <c r="Q110" s="458">
        <v>0</v>
      </c>
      <c r="R110" s="10"/>
      <c r="S110" s="469">
        <f>+IF(SEPTIEMBRE!S110=0,"",SEPTIEMBRE!S110)</f>
        <v>2000000</v>
      </c>
      <c r="T110" s="588" t="str">
        <f>+IF(SEPTIEMBRE!T110=0,"",SEPTIEMBRE!T110)</f>
        <v>GASTOS GENERALES</v>
      </c>
      <c r="U110" s="589">
        <f t="shared" ref="U110:AJ110" si="115">U112+U145</f>
        <v>576550123</v>
      </c>
      <c r="V110" s="590">
        <f t="shared" si="115"/>
        <v>-746499</v>
      </c>
      <c r="W110" s="590">
        <f t="shared" si="115"/>
        <v>193151005</v>
      </c>
      <c r="X110" s="591">
        <f t="shared" si="115"/>
        <v>768954629</v>
      </c>
      <c r="Y110" s="464">
        <f t="shared" si="115"/>
        <v>500837536</v>
      </c>
      <c r="Z110" s="590">
        <f t="shared" si="115"/>
        <v>52403651</v>
      </c>
      <c r="AA110" s="591">
        <f t="shared" si="115"/>
        <v>553241187</v>
      </c>
      <c r="AB110" s="464">
        <f t="shared" si="115"/>
        <v>500567534</v>
      </c>
      <c r="AC110" s="590">
        <f t="shared" si="115"/>
        <v>52403650</v>
      </c>
      <c r="AD110" s="591">
        <f t="shared" si="115"/>
        <v>552971184</v>
      </c>
      <c r="AE110" s="464">
        <f t="shared" si="115"/>
        <v>440730166</v>
      </c>
      <c r="AF110" s="590">
        <f t="shared" si="115"/>
        <v>64755880</v>
      </c>
      <c r="AG110" s="591">
        <f t="shared" si="115"/>
        <v>505486046</v>
      </c>
      <c r="AH110" s="464">
        <f t="shared" si="115"/>
        <v>215713442</v>
      </c>
      <c r="AI110" s="590">
        <f t="shared" si="115"/>
        <v>215983445</v>
      </c>
      <c r="AJ110" s="465">
        <f t="shared" si="115"/>
        <v>263468583</v>
      </c>
      <c r="AK110" s="12"/>
      <c r="AL110" s="151">
        <f>AL112+AL145</f>
        <v>0</v>
      </c>
      <c r="AM110" s="153">
        <f>AM112+AM145</f>
        <v>108700000</v>
      </c>
      <c r="AN110" s="10"/>
      <c r="AO110" s="365"/>
      <c r="AP110" s="365"/>
      <c r="AQ110" s="365"/>
      <c r="AR110" s="365"/>
      <c r="AS110" s="365"/>
      <c r="AT110" s="365"/>
      <c r="AU110" s="365"/>
      <c r="AV110" s="365"/>
      <c r="AW110" s="365"/>
      <c r="AX110" s="365"/>
      <c r="AY110" s="365"/>
      <c r="AZ110" s="365"/>
    </row>
    <row r="111" spans="1:70" s="467" customFormat="1" ht="15.75" x14ac:dyDescent="0.2">
      <c r="A111" s="47">
        <f>+IF(SEPTIEMBRE!A111=0,"",SEPTIEMBRE!A111)</f>
        <v>2200</v>
      </c>
      <c r="B111" s="56" t="str">
        <f>+IF(SEPTIEMBRE!B111=0,"",SEPTIEMBRE!B111)</f>
        <v>CREDITO EXTERNO</v>
      </c>
      <c r="C111" s="576">
        <f>+ENERO!C111</f>
        <v>0</v>
      </c>
      <c r="D111" s="574">
        <f>SEPTIEMBRE!D111+OCTUBRE!P111</f>
        <v>0</v>
      </c>
      <c r="E111" s="574">
        <f>SEPTIEMBRE!E111+OCTUBRE!Q111</f>
        <v>0</v>
      </c>
      <c r="F111" s="575">
        <f t="shared" si="110"/>
        <v>0</v>
      </c>
      <c r="G111" s="576">
        <f>SEPTIEMBRE!I111</f>
        <v>0</v>
      </c>
      <c r="H111" s="457">
        <v>0</v>
      </c>
      <c r="I111" s="575">
        <f t="shared" si="111"/>
        <v>0</v>
      </c>
      <c r="J111" s="576">
        <f>SEPTIEMBRE!L111</f>
        <v>0</v>
      </c>
      <c r="K111" s="457">
        <v>0</v>
      </c>
      <c r="L111" s="575">
        <f t="shared" si="112"/>
        <v>0</v>
      </c>
      <c r="M111" s="576">
        <f t="shared" si="113"/>
        <v>0</v>
      </c>
      <c r="N111" s="575">
        <f t="shared" si="114"/>
        <v>0</v>
      </c>
      <c r="O111" s="562"/>
      <c r="P111" s="455">
        <v>0</v>
      </c>
      <c r="Q111" s="458">
        <v>0</v>
      </c>
      <c r="R111" s="10"/>
      <c r="S111" s="448" t="str">
        <f>+IF(SEPTIEMBRE!S111=0,"",SEPTIEMBRE!S111)</f>
        <v/>
      </c>
      <c r="T111" s="649" t="str">
        <f>+IF(SEPTIEMBRE!T111=0,"",SEPTIEMBRE!T111)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+IF(SEPTIEMBRE!A112=0,"",SEPTIEMBRE!A112)</f>
        <v>2200-1</v>
      </c>
      <c r="B112" s="563" t="s">
        <v>482</v>
      </c>
      <c r="C112" s="576">
        <f>+ENERO!C112</f>
        <v>0</v>
      </c>
      <c r="D112" s="574">
        <f>SEPTIEMBRE!D112+OCTUBRE!P112</f>
        <v>0</v>
      </c>
      <c r="E112" s="574">
        <f>SEPTIEMBRE!E112+OCTUBRE!Q112</f>
        <v>0</v>
      </c>
      <c r="F112" s="575">
        <f t="shared" si="110"/>
        <v>0</v>
      </c>
      <c r="G112" s="576">
        <f>SEPTIEMBRE!I112</f>
        <v>0</v>
      </c>
      <c r="H112" s="457">
        <v>0</v>
      </c>
      <c r="I112" s="575">
        <f t="shared" si="111"/>
        <v>0</v>
      </c>
      <c r="J112" s="576">
        <f>SEPTIEMBRE!L112</f>
        <v>0</v>
      </c>
      <c r="K112" s="457">
        <v>0</v>
      </c>
      <c r="L112" s="575">
        <f t="shared" si="112"/>
        <v>0</v>
      </c>
      <c r="M112" s="576">
        <f t="shared" si="113"/>
        <v>0</v>
      </c>
      <c r="N112" s="575">
        <f t="shared" si="114"/>
        <v>0</v>
      </c>
      <c r="O112" s="562"/>
      <c r="P112" s="455">
        <v>0</v>
      </c>
      <c r="Q112" s="458">
        <v>0</v>
      </c>
      <c r="R112" s="10"/>
      <c r="S112" s="469">
        <f>+IF(SEPTIEMBRE!S112=0,"",SEPTIEMBRE!S112)</f>
        <v>2010000</v>
      </c>
      <c r="T112" s="470" t="str">
        <f>+IF(SEPTIEMBRE!T112=0,"",SEPTIEMBRE!T112)</f>
        <v>Gastos de Administración</v>
      </c>
      <c r="U112" s="157">
        <f t="shared" ref="U112:AJ112" si="116">U114+U123+U141</f>
        <v>198386660</v>
      </c>
      <c r="V112" s="144">
        <f t="shared" si="116"/>
        <v>0</v>
      </c>
      <c r="W112" s="144">
        <f t="shared" si="116"/>
        <v>55963473</v>
      </c>
      <c r="X112" s="152">
        <f t="shared" si="116"/>
        <v>254350133</v>
      </c>
      <c r="Y112" s="151">
        <f t="shared" si="116"/>
        <v>174106294</v>
      </c>
      <c r="Z112" s="144">
        <f t="shared" si="116"/>
        <v>17664574</v>
      </c>
      <c r="AA112" s="152">
        <f t="shared" si="116"/>
        <v>191770868</v>
      </c>
      <c r="AB112" s="151">
        <f t="shared" si="116"/>
        <v>174106292</v>
      </c>
      <c r="AC112" s="144">
        <f t="shared" si="116"/>
        <v>17664574</v>
      </c>
      <c r="AD112" s="152">
        <f t="shared" si="116"/>
        <v>191770866</v>
      </c>
      <c r="AE112" s="151">
        <f t="shared" si="116"/>
        <v>166069362</v>
      </c>
      <c r="AF112" s="144">
        <f t="shared" si="116"/>
        <v>13137056</v>
      </c>
      <c r="AG112" s="152">
        <f t="shared" si="116"/>
        <v>179206418</v>
      </c>
      <c r="AH112" s="151">
        <f t="shared" si="116"/>
        <v>62579265</v>
      </c>
      <c r="AI112" s="144">
        <f t="shared" si="116"/>
        <v>62579267</v>
      </c>
      <c r="AJ112" s="153">
        <f t="shared" si="116"/>
        <v>75143715</v>
      </c>
      <c r="AK112" s="10"/>
      <c r="AL112" s="151">
        <f>AL114+AL123+AL141</f>
        <v>0</v>
      </c>
      <c r="AM112" s="153">
        <f>AM114+AM123+AM141</f>
        <v>49500000</v>
      </c>
      <c r="AN112" s="10"/>
      <c r="AO112" s="365"/>
      <c r="AP112" s="365"/>
      <c r="AQ112" s="365"/>
      <c r="AR112" s="365"/>
      <c r="AS112" s="365"/>
      <c r="AT112" s="365"/>
      <c r="AU112" s="365"/>
      <c r="AV112" s="365"/>
      <c r="AW112" s="365"/>
      <c r="AX112" s="365"/>
      <c r="AY112" s="365"/>
      <c r="AZ112" s="365"/>
    </row>
    <row r="113" spans="1:52" s="467" customFormat="1" ht="15.75" x14ac:dyDescent="0.2">
      <c r="A113" s="47">
        <f>+IF(SEPTIEMBRE!A113=0,"",SEPTIEMBRE!A113)</f>
        <v>2300</v>
      </c>
      <c r="B113" s="56" t="str">
        <f>+IF(SEPTIEMBRE!B113=0,"",SEPTIEMBRE!B113)</f>
        <v>RENDIMIENTOS FINANCIEROS</v>
      </c>
      <c r="C113" s="576">
        <f>+ENERO!C113</f>
        <v>305317</v>
      </c>
      <c r="D113" s="574">
        <f>SEPTIEMBRE!D113+OCTUBRE!P113</f>
        <v>0</v>
      </c>
      <c r="E113" s="574">
        <f>SEPTIEMBRE!E113+OCTUBRE!Q113</f>
        <v>0</v>
      </c>
      <c r="F113" s="575">
        <f t="shared" si="110"/>
        <v>305317</v>
      </c>
      <c r="G113" s="576">
        <f>SEPTIEMBRE!I113</f>
        <v>674732</v>
      </c>
      <c r="H113" s="457">
        <v>44575</v>
      </c>
      <c r="I113" s="575">
        <f t="shared" si="111"/>
        <v>719307</v>
      </c>
      <c r="J113" s="576">
        <f>SEPTIEMBRE!L113</f>
        <v>674732</v>
      </c>
      <c r="K113" s="457">
        <v>44577</v>
      </c>
      <c r="L113" s="575">
        <f t="shared" si="112"/>
        <v>719309</v>
      </c>
      <c r="M113" s="576">
        <f t="shared" si="113"/>
        <v>-413990</v>
      </c>
      <c r="N113" s="575">
        <f t="shared" si="114"/>
        <v>-413992</v>
      </c>
      <c r="O113" s="562"/>
      <c r="P113" s="455">
        <v>0</v>
      </c>
      <c r="Q113" s="458">
        <v>0</v>
      </c>
      <c r="R113" s="10"/>
      <c r="S113" s="448" t="str">
        <f>+IF(SEPTIEMBRE!S113=0,"",SEPTIEMBRE!S113)</f>
        <v/>
      </c>
      <c r="T113" s="649" t="str">
        <f>+IF(SEPTIEMBRE!T113=0,"",SEPTIEMBRE!T113)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+IF(SEPTIEMBRE!A114=0,"",SEPTIEMBRE!A114)</f>
        <v>2400</v>
      </c>
      <c r="B114" s="55" t="str">
        <f>+IF(SEPTIEMBRE!B114=0,"",SEPTIEMBRE!B114)</f>
        <v>VENTA DE ACTIVOS</v>
      </c>
      <c r="C114" s="283">
        <f>+ENERO!C114</f>
        <v>0</v>
      </c>
      <c r="D114" s="456">
        <f>SEPTIEMBRE!D114+OCTUBRE!P114</f>
        <v>0</v>
      </c>
      <c r="E114" s="456">
        <f>SEPTIEMBRE!E114+OCTUBRE!Q114</f>
        <v>0</v>
      </c>
      <c r="F114" s="170">
        <f t="shared" si="110"/>
        <v>0</v>
      </c>
      <c r="G114" s="283">
        <f>SEPTIEMBRE!I114</f>
        <v>0</v>
      </c>
      <c r="H114" s="457">
        <v>0</v>
      </c>
      <c r="I114" s="170">
        <f t="shared" si="111"/>
        <v>0</v>
      </c>
      <c r="J114" s="283">
        <f>SEPTIEMBRE!L114</f>
        <v>0</v>
      </c>
      <c r="K114" s="457">
        <v>0</v>
      </c>
      <c r="L114" s="170">
        <f t="shared" si="112"/>
        <v>0</v>
      </c>
      <c r="M114" s="283">
        <f t="shared" si="113"/>
        <v>0</v>
      </c>
      <c r="N114" s="170">
        <f t="shared" si="114"/>
        <v>0</v>
      </c>
      <c r="O114" s="562"/>
      <c r="P114" s="455">
        <v>0</v>
      </c>
      <c r="Q114" s="458">
        <v>0</v>
      </c>
      <c r="R114" s="10"/>
      <c r="S114" s="34">
        <f>+IF(SEPTIEMBRE!S114=0,"",SEPTIEMBRE!S114)</f>
        <v>2010100</v>
      </c>
      <c r="T114" s="158" t="str">
        <f>+IF(SEPTIEMBRE!T114=0,"",SEPTIEMBRE!T114)</f>
        <v>Adquisición de bienes</v>
      </c>
      <c r="U114" s="157">
        <f t="shared" ref="U114:AJ114" si="117">SUM(U115:U121)</f>
        <v>67419307</v>
      </c>
      <c r="V114" s="144">
        <f t="shared" si="117"/>
        <v>0</v>
      </c>
      <c r="W114" s="144">
        <f t="shared" si="117"/>
        <v>18897432</v>
      </c>
      <c r="X114" s="152">
        <f t="shared" si="117"/>
        <v>86316739</v>
      </c>
      <c r="Y114" s="151">
        <f t="shared" si="117"/>
        <v>67428077</v>
      </c>
      <c r="Z114" s="144">
        <f t="shared" si="117"/>
        <v>890117</v>
      </c>
      <c r="AA114" s="152">
        <f t="shared" si="117"/>
        <v>68318194</v>
      </c>
      <c r="AB114" s="151">
        <f t="shared" si="117"/>
        <v>67428075</v>
      </c>
      <c r="AC114" s="144">
        <f t="shared" si="117"/>
        <v>890117</v>
      </c>
      <c r="AD114" s="152">
        <f t="shared" si="117"/>
        <v>68318192</v>
      </c>
      <c r="AE114" s="151">
        <f t="shared" si="117"/>
        <v>65634793</v>
      </c>
      <c r="AF114" s="144">
        <f t="shared" si="117"/>
        <v>1793282</v>
      </c>
      <c r="AG114" s="152">
        <f t="shared" si="117"/>
        <v>67428075</v>
      </c>
      <c r="AH114" s="151">
        <f t="shared" si="117"/>
        <v>17998545</v>
      </c>
      <c r="AI114" s="144">
        <f t="shared" si="117"/>
        <v>17998547</v>
      </c>
      <c r="AJ114" s="153">
        <f t="shared" si="117"/>
        <v>18888664</v>
      </c>
      <c r="AK114" s="10"/>
      <c r="AL114" s="151">
        <f>SUM(AL115:AL121)</f>
        <v>0</v>
      </c>
      <c r="AM114" s="153">
        <f>SUM(AM115:AM121)</f>
        <v>17500000</v>
      </c>
      <c r="AN114" s="10"/>
      <c r="AO114" s="365"/>
      <c r="AP114" s="365"/>
      <c r="AQ114" s="365"/>
      <c r="AR114" s="365"/>
      <c r="AS114" s="365"/>
      <c r="AT114" s="365"/>
      <c r="AU114" s="365"/>
      <c r="AV114" s="365"/>
      <c r="AW114" s="365"/>
      <c r="AX114" s="365"/>
      <c r="AY114" s="365"/>
      <c r="AZ114" s="365"/>
    </row>
    <row r="115" spans="1:52" s="467" customFormat="1" x14ac:dyDescent="0.2">
      <c r="A115" s="48">
        <f>+IF(SEPTIEMBRE!A115=0,"",SEPTIEMBRE!A115)</f>
        <v>2500</v>
      </c>
      <c r="B115" s="55" t="str">
        <f>+IF(SEPTIEMBRE!B115=0,"",SEPTIEMBRE!B115)</f>
        <v>DONACIONES</v>
      </c>
      <c r="C115" s="283">
        <f>+ENERO!C115</f>
        <v>0</v>
      </c>
      <c r="D115" s="456">
        <f>SEPTIEMBRE!D115+OCTUBRE!P115</f>
        <v>0</v>
      </c>
      <c r="E115" s="456">
        <f>SEPTIEMBRE!E115+OCTUBRE!Q115</f>
        <v>0</v>
      </c>
      <c r="F115" s="170">
        <f t="shared" si="110"/>
        <v>0</v>
      </c>
      <c r="G115" s="283">
        <f>SEPTIEMBRE!I115</f>
        <v>0</v>
      </c>
      <c r="H115" s="457">
        <v>0</v>
      </c>
      <c r="I115" s="170">
        <f t="shared" si="111"/>
        <v>0</v>
      </c>
      <c r="J115" s="283">
        <f>SEPTIEMBRE!L115</f>
        <v>0</v>
      </c>
      <c r="K115" s="457">
        <v>0</v>
      </c>
      <c r="L115" s="170">
        <f t="shared" si="112"/>
        <v>0</v>
      </c>
      <c r="M115" s="283">
        <f t="shared" si="113"/>
        <v>0</v>
      </c>
      <c r="N115" s="170">
        <f t="shared" si="114"/>
        <v>0</v>
      </c>
      <c r="P115" s="455">
        <v>0</v>
      </c>
      <c r="Q115" s="458">
        <v>0</v>
      </c>
      <c r="R115" s="10"/>
      <c r="S115" s="155" t="str">
        <f>+IF(SEPTIEMBRE!S115=0,"",SEPTIEMBRE!S115)</f>
        <v>2010100-1</v>
      </c>
      <c r="T115" s="159" t="str">
        <f>+IF(SEPTIEMBRE!T115=0,"",SEPTIEMBRE!T115)</f>
        <v>Compra de Equipos</v>
      </c>
      <c r="U115" s="29">
        <f>+ENERO!U115</f>
        <v>42018487</v>
      </c>
      <c r="V115" s="17">
        <f>SEPTIEMBRE!V115+OCTUBRE!AL115</f>
        <v>0</v>
      </c>
      <c r="W115" s="17">
        <f>SEPTIEMBRE!W115+OCTUBRE!AM115</f>
        <v>10000000</v>
      </c>
      <c r="X115" s="20">
        <f t="shared" ref="X115:X121" si="118">SUM(U115:W115)</f>
        <v>52018487</v>
      </c>
      <c r="Y115" s="21">
        <f>SEPTIEMBRE!AA115</f>
        <v>41250742</v>
      </c>
      <c r="Z115" s="457">
        <v>0</v>
      </c>
      <c r="AA115" s="20">
        <f t="shared" ref="AA115:AA121" si="119">SUM(Y115:Z115)</f>
        <v>41250742</v>
      </c>
      <c r="AB115" s="21">
        <f>SEPTIEMBRE!AD115</f>
        <v>41250742</v>
      </c>
      <c r="AC115" s="457">
        <v>0</v>
      </c>
      <c r="AD115" s="20">
        <f t="shared" ref="AD115:AD121" si="120">SUM(AB115:AC115)</f>
        <v>41250742</v>
      </c>
      <c r="AE115" s="21">
        <f>SEPTIEMBRE!AG115</f>
        <v>41250742</v>
      </c>
      <c r="AF115" s="457">
        <v>0</v>
      </c>
      <c r="AG115" s="20">
        <f t="shared" ref="AG115:AG121" si="121">SUM(AE115:AF115)</f>
        <v>41250742</v>
      </c>
      <c r="AH115" s="21">
        <f t="shared" ref="AH115:AH121" si="122">X115-AA115</f>
        <v>10767745</v>
      </c>
      <c r="AI115" s="17">
        <f t="shared" ref="AI115:AI121" si="123">X115-AD115</f>
        <v>10767745</v>
      </c>
      <c r="AJ115" s="18">
        <f t="shared" ref="AJ115:AJ121" si="124">X115-AG115</f>
        <v>10767745</v>
      </c>
      <c r="AK115" s="10"/>
      <c r="AL115" s="455">
        <v>0</v>
      </c>
      <c r="AM115" s="458">
        <v>10000000</v>
      </c>
      <c r="AN115" s="10"/>
      <c r="AO115" s="365"/>
      <c r="AP115" s="365"/>
      <c r="AQ115" s="365"/>
      <c r="AR115" s="365"/>
      <c r="AS115" s="365"/>
      <c r="AT115" s="365"/>
      <c r="AU115" s="365"/>
      <c r="AV115" s="365"/>
      <c r="AW115" s="365"/>
      <c r="AX115" s="365"/>
      <c r="AY115" s="365"/>
      <c r="AZ115" s="365"/>
    </row>
    <row r="116" spans="1:52" s="467" customFormat="1" x14ac:dyDescent="0.2">
      <c r="A116" s="48">
        <f>+IF(SEPTIEMBRE!A116=0,"",SEPTIEMBRE!A116)</f>
        <v>2600</v>
      </c>
      <c r="B116" s="55" t="str">
        <f>+IF(SEPTIEMBRE!B116=0,"",SEPTIEMBRE!B116)</f>
        <v>RECUPERACIÓN DE CARTERA (AÑO 2012 Y ANTERIORES)</v>
      </c>
      <c r="C116" s="283">
        <f>+ENERO!C116</f>
        <v>1147070</v>
      </c>
      <c r="D116" s="456">
        <f>SEPTIEMBRE!D116+OCTUBRE!P116</f>
        <v>0</v>
      </c>
      <c r="E116" s="456">
        <f>SEPTIEMBRE!E116+OCTUBRE!Q116</f>
        <v>0</v>
      </c>
      <c r="F116" s="170">
        <f t="shared" si="110"/>
        <v>1147070</v>
      </c>
      <c r="G116" s="283">
        <f>SEPTIEMBRE!I116</f>
        <v>2229411</v>
      </c>
      <c r="H116" s="457">
        <v>330800</v>
      </c>
      <c r="I116" s="170">
        <f t="shared" si="111"/>
        <v>2560211</v>
      </c>
      <c r="J116" s="283">
        <f>SEPTIEMBRE!L116</f>
        <v>2229411</v>
      </c>
      <c r="K116" s="457">
        <v>330800</v>
      </c>
      <c r="L116" s="170">
        <f t="shared" si="112"/>
        <v>2560211</v>
      </c>
      <c r="M116" s="283">
        <f t="shared" si="113"/>
        <v>-1413141</v>
      </c>
      <c r="N116" s="170">
        <f t="shared" si="114"/>
        <v>-1413141</v>
      </c>
      <c r="P116" s="455">
        <v>0</v>
      </c>
      <c r="Q116" s="458">
        <v>0</v>
      </c>
      <c r="R116" s="10"/>
      <c r="S116" s="155" t="str">
        <f>+IF(SEPTIEMBRE!S116=0,"",SEPTIEMBRE!S116)</f>
        <v>2010100-2</v>
      </c>
      <c r="T116" s="159" t="str">
        <f>+IF(SEPTIEMBRE!T116=0,"",SEPTIEMBRE!T116)</f>
        <v>Materiales</v>
      </c>
      <c r="U116" s="29">
        <f>+ENERO!U116</f>
        <v>23400820</v>
      </c>
      <c r="V116" s="17">
        <f>SEPTIEMBRE!V116+OCTUBRE!AL116</f>
        <v>0</v>
      </c>
      <c r="W116" s="17">
        <f>SEPTIEMBRE!W116+OCTUBRE!AM116</f>
        <v>7500000</v>
      </c>
      <c r="X116" s="20">
        <f t="shared" si="118"/>
        <v>30900820</v>
      </c>
      <c r="Y116" s="21">
        <f>SEPTIEMBRE!AA116</f>
        <v>22780903</v>
      </c>
      <c r="Z116" s="457">
        <v>890117</v>
      </c>
      <c r="AA116" s="20">
        <f t="shared" si="119"/>
        <v>23671020</v>
      </c>
      <c r="AB116" s="21">
        <f>SEPTIEMBRE!AD116</f>
        <v>22780901</v>
      </c>
      <c r="AC116" s="457">
        <v>890117</v>
      </c>
      <c r="AD116" s="20">
        <f t="shared" si="120"/>
        <v>23671018</v>
      </c>
      <c r="AE116" s="21">
        <f>SEPTIEMBRE!AG116</f>
        <v>20987619</v>
      </c>
      <c r="AF116" s="457">
        <v>1793282</v>
      </c>
      <c r="AG116" s="20">
        <f t="shared" si="121"/>
        <v>22780901</v>
      </c>
      <c r="AH116" s="21">
        <f t="shared" si="122"/>
        <v>7229800</v>
      </c>
      <c r="AI116" s="17">
        <f t="shared" si="123"/>
        <v>7229802</v>
      </c>
      <c r="AJ116" s="18">
        <f t="shared" si="124"/>
        <v>8119919</v>
      </c>
      <c r="AK116" s="10"/>
      <c r="AL116" s="455">
        <v>0</v>
      </c>
      <c r="AM116" s="458">
        <v>7500000</v>
      </c>
      <c r="AN116" s="10"/>
      <c r="AO116" s="365"/>
      <c r="AP116" s="365"/>
      <c r="AQ116" s="365"/>
      <c r="AR116" s="365"/>
      <c r="AS116" s="365"/>
      <c r="AT116" s="365"/>
      <c r="AU116" s="365"/>
      <c r="AV116" s="365"/>
      <c r="AW116" s="365"/>
      <c r="AX116" s="365"/>
      <c r="AY116" s="365"/>
      <c r="AZ116" s="365"/>
    </row>
    <row r="117" spans="1:52" s="467" customFormat="1" x14ac:dyDescent="0.2">
      <c r="A117" s="48">
        <f>+IF(SEPTIEMBRE!A117=0,"",SEPTIEMBRE!A117)</f>
        <v>2700</v>
      </c>
      <c r="B117" s="55" t="str">
        <f>+IF(SEPTIEMBRE!B117=0,"",SEPTIEMBRE!B117)</f>
        <v>OTROS INGRESOS DE CAPITAL</v>
      </c>
      <c r="C117" s="283">
        <f>SUM(C118:C119)</f>
        <v>0</v>
      </c>
      <c r="D117" s="456">
        <f t="shared" ref="D117:N117" si="125">SUM(D118:D119)</f>
        <v>0</v>
      </c>
      <c r="E117" s="456">
        <f t="shared" si="125"/>
        <v>149110140</v>
      </c>
      <c r="F117" s="170">
        <f t="shared" si="125"/>
        <v>149110140</v>
      </c>
      <c r="G117" s="283">
        <f t="shared" si="125"/>
        <v>142400183</v>
      </c>
      <c r="H117" s="169">
        <f t="shared" si="125"/>
        <v>0</v>
      </c>
      <c r="I117" s="170">
        <f t="shared" si="125"/>
        <v>142400183</v>
      </c>
      <c r="J117" s="283">
        <f t="shared" si="125"/>
        <v>142400183</v>
      </c>
      <c r="K117" s="169">
        <f t="shared" si="125"/>
        <v>0</v>
      </c>
      <c r="L117" s="170">
        <f t="shared" si="125"/>
        <v>142400183</v>
      </c>
      <c r="M117" s="283">
        <f t="shared" si="125"/>
        <v>6709957</v>
      </c>
      <c r="N117" s="170">
        <f t="shared" si="125"/>
        <v>6709957</v>
      </c>
      <c r="P117" s="36">
        <f>SUM(P118:P119)</f>
        <v>0</v>
      </c>
      <c r="Q117" s="37">
        <f>SUM(Q118:Q119)</f>
        <v>0</v>
      </c>
      <c r="R117" s="10"/>
      <c r="S117" s="155" t="str">
        <f>+IF(SEPTIEMBRE!S117=0,"",SEPTIEMBRE!S117)</f>
        <v>2010100-3</v>
      </c>
      <c r="T117" s="159" t="str">
        <f>+IF(SEPTIEMBRE!T117=0,"",SEPTIEMBRE!T117)</f>
        <v>Salud Ocupacional</v>
      </c>
      <c r="U117" s="29">
        <f>+ENERO!U117</f>
        <v>0</v>
      </c>
      <c r="V117" s="17">
        <f>SEPTIEMBRE!V117+OCTUBRE!AL117</f>
        <v>0</v>
      </c>
      <c r="W117" s="17">
        <f>SEPTIEMBRE!W117+OCTUBRE!AM117</f>
        <v>0</v>
      </c>
      <c r="X117" s="20">
        <f t="shared" si="118"/>
        <v>0</v>
      </c>
      <c r="Y117" s="21">
        <f>SEPTIEMBRE!AA117</f>
        <v>0</v>
      </c>
      <c r="Z117" s="457">
        <v>0</v>
      </c>
      <c r="AA117" s="20">
        <f t="shared" si="119"/>
        <v>0</v>
      </c>
      <c r="AB117" s="21">
        <f>SEPTIEMBRE!AD117</f>
        <v>0</v>
      </c>
      <c r="AC117" s="457">
        <v>0</v>
      </c>
      <c r="AD117" s="20">
        <f t="shared" si="120"/>
        <v>0</v>
      </c>
      <c r="AE117" s="21">
        <f>SEPTIEMBRE!AG117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+IF(SEPTIEMBRE!A118=0,"",SEPTIEMBRE!A118)</f>
        <v>2700-1</v>
      </c>
      <c r="B118" s="58" t="str">
        <f>+IF(SEPTIEMBRE!B118=0,"",SEPTIEMBRE!B118)</f>
        <v>Descuentos por pronto pago</v>
      </c>
      <c r="C118" s="283">
        <f>+ENERO!C118</f>
        <v>0</v>
      </c>
      <c r="D118" s="456">
        <f>SEPTIEMBRE!D118+OCTUBRE!P118</f>
        <v>0</v>
      </c>
      <c r="E118" s="456">
        <f>SEPTIEMBRE!E118+OCTUBRE!Q118</f>
        <v>149110140</v>
      </c>
      <c r="F118" s="170">
        <f>SUM(C118:E118)</f>
        <v>149110140</v>
      </c>
      <c r="G118" s="283">
        <f>SEPTIEMBRE!I118</f>
        <v>142400183</v>
      </c>
      <c r="H118" s="457">
        <v>0</v>
      </c>
      <c r="I118" s="170">
        <f>SUM(G118:H118)</f>
        <v>142400183</v>
      </c>
      <c r="J118" s="283">
        <f>SEPTIEMBRE!L118</f>
        <v>142400183</v>
      </c>
      <c r="K118" s="457">
        <v>0</v>
      </c>
      <c r="L118" s="170">
        <f>SUM(J118:K118)</f>
        <v>142400183</v>
      </c>
      <c r="M118" s="283">
        <f>F118-I118</f>
        <v>6709957</v>
      </c>
      <c r="N118" s="170">
        <f>F118-L118</f>
        <v>6709957</v>
      </c>
      <c r="P118" s="455">
        <v>0</v>
      </c>
      <c r="Q118" s="458">
        <v>0</v>
      </c>
      <c r="R118" s="10"/>
      <c r="S118" s="155" t="str">
        <f>+IF(SEPTIEMBRE!S118=0,"",SEPTIEMBRE!S118)</f>
        <v>2010100-4</v>
      </c>
      <c r="T118" s="159" t="str">
        <f>+IF(SEPTIEMBRE!T118=0,"",SEPTIEMBRE!T118)</f>
        <v/>
      </c>
      <c r="U118" s="29">
        <f>+ENERO!U118</f>
        <v>0</v>
      </c>
      <c r="V118" s="17">
        <f>SEPTIEMBRE!V118+OCTUBRE!AL118</f>
        <v>0</v>
      </c>
      <c r="W118" s="17">
        <f>SEPTIEMBRE!W118+OCTUBRE!AM118</f>
        <v>0</v>
      </c>
      <c r="X118" s="20">
        <f t="shared" si="118"/>
        <v>0</v>
      </c>
      <c r="Y118" s="21">
        <f>SEPTIEMBRE!AA118</f>
        <v>0</v>
      </c>
      <c r="Z118" s="457">
        <v>0</v>
      </c>
      <c r="AA118" s="20">
        <f t="shared" si="119"/>
        <v>0</v>
      </c>
      <c r="AB118" s="21">
        <f>SEPTIEMBRE!AD118</f>
        <v>0</v>
      </c>
      <c r="AC118" s="457">
        <v>0</v>
      </c>
      <c r="AD118" s="20">
        <f t="shared" si="120"/>
        <v>0</v>
      </c>
      <c r="AE118" s="21">
        <f>SEPTIEMBRE!AG118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+IF(SEPTIEMBRE!A119=0,"",SEPTIEMBRE!A119)</f>
        <v>2700-2</v>
      </c>
      <c r="B119" s="219" t="str">
        <f>+IF(SEPTIEMBRE!B119=0,"",SEPTIEMBRE!B119)</f>
        <v>Otros</v>
      </c>
      <c r="C119" s="474">
        <f>+ENERO!C119</f>
        <v>0</v>
      </c>
      <c r="D119" s="472">
        <f>SEPTIEMBRE!D119+OCTUBRE!P119</f>
        <v>0</v>
      </c>
      <c r="E119" s="472">
        <f>SEPTIEMBRE!E119+OCTUBRE!Q119</f>
        <v>0</v>
      </c>
      <c r="F119" s="473">
        <f>SUM(C119:E119)</f>
        <v>0</v>
      </c>
      <c r="G119" s="474">
        <f>SEPTIEMBRE!I119</f>
        <v>0</v>
      </c>
      <c r="H119" s="475">
        <v>0</v>
      </c>
      <c r="I119" s="473">
        <f>SUM(G119:H119)</f>
        <v>0</v>
      </c>
      <c r="J119" s="474">
        <f>SEPTIEMBRE!L119</f>
        <v>0</v>
      </c>
      <c r="K119" s="475">
        <v>0</v>
      </c>
      <c r="L119" s="473">
        <f>SUM(J119:K119)</f>
        <v>0</v>
      </c>
      <c r="M119" s="474">
        <f>F119-I119</f>
        <v>0</v>
      </c>
      <c r="N119" s="473">
        <f>F119-L119</f>
        <v>0</v>
      </c>
      <c r="P119" s="471">
        <v>0</v>
      </c>
      <c r="Q119" s="476">
        <v>0</v>
      </c>
      <c r="R119" s="10"/>
      <c r="S119" s="155" t="str">
        <f>+IF(SEPTIEMBRE!S119=0,"",SEPTIEMBRE!S119)</f>
        <v>2010100-5</v>
      </c>
      <c r="T119" s="159" t="str">
        <f>+IF(SEPTIEMBRE!T119=0,"",SEPTIEMBRE!T119)</f>
        <v/>
      </c>
      <c r="U119" s="29">
        <f>+ENERO!U119</f>
        <v>0</v>
      </c>
      <c r="V119" s="17">
        <f>SEPTIEMBRE!V119+OCTUBRE!AL119</f>
        <v>0</v>
      </c>
      <c r="W119" s="17">
        <f>SEPTIEMBRE!W119+OCTUBRE!AM119</f>
        <v>0</v>
      </c>
      <c r="X119" s="20">
        <f t="shared" si="118"/>
        <v>0</v>
      </c>
      <c r="Y119" s="21">
        <f>SEPTIEMBRE!AA119</f>
        <v>0</v>
      </c>
      <c r="Z119" s="457">
        <v>0</v>
      </c>
      <c r="AA119" s="20">
        <f t="shared" si="119"/>
        <v>0</v>
      </c>
      <c r="AB119" s="21">
        <f>SEPTIEMBRE!AD119</f>
        <v>0</v>
      </c>
      <c r="AC119" s="457">
        <v>0</v>
      </c>
      <c r="AD119" s="20">
        <f t="shared" si="120"/>
        <v>0</v>
      </c>
      <c r="AE119" s="21">
        <f>SEPTIEMBRE!AG119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+IF(SEPTIEMBRE!S120=0,"",SEPTIEMBRE!S120)</f>
        <v>2010100-6</v>
      </c>
      <c r="T120" s="159" t="str">
        <f>+IF(SEPTIEMBRE!T120=0,"",SEPTIEMBRE!T120)</f>
        <v/>
      </c>
      <c r="U120" s="29">
        <f>+ENERO!U120</f>
        <v>0</v>
      </c>
      <c r="V120" s="17">
        <f>SEPTIEMBRE!V120+OCTUBRE!AL120</f>
        <v>0</v>
      </c>
      <c r="W120" s="17">
        <f>SEPTIEMBRE!W120+OCTUBRE!AM120</f>
        <v>0</v>
      </c>
      <c r="X120" s="20">
        <f t="shared" si="118"/>
        <v>0</v>
      </c>
      <c r="Y120" s="21">
        <f>SEPTIEMBRE!AA120</f>
        <v>0</v>
      </c>
      <c r="Z120" s="457">
        <v>0</v>
      </c>
      <c r="AA120" s="20">
        <f t="shared" si="119"/>
        <v>0</v>
      </c>
      <c r="AB120" s="21">
        <f>SEPTIEMBRE!AD120</f>
        <v>0</v>
      </c>
      <c r="AC120" s="457">
        <v>0</v>
      </c>
      <c r="AD120" s="20">
        <f t="shared" si="120"/>
        <v>0</v>
      </c>
      <c r="AE120" s="21">
        <f>SEPTIEMBRE!AG120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+IF(SEPTIEMBRE!A121=0,"",SEPTIEMBRE!A121)</f>
        <v>TOTAL INGRESOS DIFERENTES A CUENTAS POR COBRAR</v>
      </c>
      <c r="B121" s="682"/>
      <c r="C121" s="605">
        <f t="shared" ref="C121:N121" si="126">C8-C123</f>
        <v>3465783837</v>
      </c>
      <c r="D121" s="603">
        <f t="shared" si="126"/>
        <v>0</v>
      </c>
      <c r="E121" s="603">
        <f t="shared" si="126"/>
        <v>303333323</v>
      </c>
      <c r="F121" s="604">
        <f t="shared" si="126"/>
        <v>3769117160</v>
      </c>
      <c r="G121" s="602">
        <f t="shared" si="126"/>
        <v>2856558653</v>
      </c>
      <c r="H121" s="603">
        <f t="shared" si="126"/>
        <v>313449599</v>
      </c>
      <c r="I121" s="604">
        <f t="shared" si="126"/>
        <v>3170008252</v>
      </c>
      <c r="J121" s="602">
        <f t="shared" si="126"/>
        <v>2417535889</v>
      </c>
      <c r="K121" s="603">
        <f t="shared" si="126"/>
        <v>280045012</v>
      </c>
      <c r="L121" s="604">
        <f t="shared" si="126"/>
        <v>2697580901</v>
      </c>
      <c r="M121" s="602">
        <f t="shared" si="126"/>
        <v>599108908</v>
      </c>
      <c r="N121" s="604">
        <f t="shared" si="126"/>
        <v>1071536259</v>
      </c>
      <c r="P121" s="605">
        <f>P8-P123</f>
        <v>0</v>
      </c>
      <c r="Q121" s="606">
        <f>Q8-Q123</f>
        <v>95700000</v>
      </c>
      <c r="R121" s="10"/>
      <c r="S121" s="155">
        <f>+IF(SEPTIEMBRE!S121=0,"",SEPTIEMBRE!S121)</f>
        <v>2010199</v>
      </c>
      <c r="T121" s="159" t="str">
        <f>+IF(SEPTIEMBRE!T121=0,"",SEPTIEMBRE!T121)</f>
        <v>Vigencias Anteriores</v>
      </c>
      <c r="U121" s="29">
        <f>+ENERO!U121</f>
        <v>2000000</v>
      </c>
      <c r="V121" s="17">
        <f>SEPTIEMBRE!V121+OCTUBRE!AL121</f>
        <v>0</v>
      </c>
      <c r="W121" s="17">
        <f>SEPTIEMBRE!W121+OCTUBRE!AM121</f>
        <v>1397432</v>
      </c>
      <c r="X121" s="20">
        <f t="shared" si="118"/>
        <v>3397432</v>
      </c>
      <c r="Y121" s="21">
        <f>SEPTIEMBRE!AA121</f>
        <v>3396432</v>
      </c>
      <c r="Z121" s="457">
        <v>0</v>
      </c>
      <c r="AA121" s="20">
        <f t="shared" si="119"/>
        <v>3396432</v>
      </c>
      <c r="AB121" s="21">
        <f>SEPTIEMBRE!AD121</f>
        <v>3396432</v>
      </c>
      <c r="AC121" s="457">
        <v>0</v>
      </c>
      <c r="AD121" s="20">
        <f t="shared" si="120"/>
        <v>3396432</v>
      </c>
      <c r="AE121" s="21">
        <f>SEPTIEMBRE!AG121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+IF(SEPTIEMBRE!S122=0,"",SEPTIEMBRE!S122)</f>
        <v/>
      </c>
      <c r="T122" s="649" t="str">
        <f>+IF(SEPTIEMBRE!T122=0,"",SEPTIEMBRE!T122)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+IF(SEPTIEMBRE!A123=0,"",SEPTIEMBRE!A123)</f>
        <v>TOTAL INGRESOS DE VIGENCIAS ANTERIORES</v>
      </c>
      <c r="B123" s="684"/>
      <c r="C123" s="605">
        <f>SUMIF($B8:$B$117,$B$24,C8:C117)+C116</f>
        <v>165717175</v>
      </c>
      <c r="D123" s="685">
        <f>SUMIF($B8:$B$117,$B$24,D8:D117)+D116</f>
        <v>0</v>
      </c>
      <c r="E123" s="685">
        <f>SUMIF($B8:$B$117,$B$24,E8:E117)+E116</f>
        <v>154000000</v>
      </c>
      <c r="F123" s="686">
        <f>SUMIF($B8:$B$117,$B$24,F8:F117)+F116</f>
        <v>319717175</v>
      </c>
      <c r="G123" s="687">
        <f>SUMIF($B8:$B$117,$B$24,G8:G117)+G116</f>
        <v>375760389</v>
      </c>
      <c r="H123" s="685">
        <f>SUMIF($B8:$B$117,$B$24,H8:H117)+H116</f>
        <v>8397681</v>
      </c>
      <c r="I123" s="686">
        <f>SUMIF($B8:$B$117,$B$24,I8:I117)+I116</f>
        <v>384158070</v>
      </c>
      <c r="J123" s="687">
        <f>SUMIF($B8:$B$117,$B$24,J8:J117)+J116</f>
        <v>375760389</v>
      </c>
      <c r="K123" s="685">
        <f>SUMIF($B8:$B$117,$B$24,K8:K117)+K116</f>
        <v>8397681</v>
      </c>
      <c r="L123" s="686">
        <f>SUMIF($B8:$B$117,$B$24,L8:L117)+L116</f>
        <v>384158070</v>
      </c>
      <c r="M123" s="687">
        <f>SUMIF($B8:$B$117,$B$24,M8:M117)+M116</f>
        <v>-64440895</v>
      </c>
      <c r="N123" s="686">
        <f>SUMIF($B8:$B$117,$B$24,N8:N117)+N116</f>
        <v>-64440895</v>
      </c>
      <c r="P123" s="687">
        <f>SUMIF($B8:$B$117,$B$24,P8:P117)+P116</f>
        <v>0</v>
      </c>
      <c r="Q123" s="686">
        <f>SUMIF($B8:$B$117,$B$24,Q8:Q117)+Q116</f>
        <v>154000000</v>
      </c>
      <c r="R123" s="10"/>
      <c r="S123" s="34">
        <f>+IF(SEPTIEMBRE!S123=0,"",SEPTIEMBRE!S123)</f>
        <v>2010200</v>
      </c>
      <c r="T123" s="158" t="str">
        <f>+IF(SEPTIEMBRE!T123=0,"",SEPTIEMBRE!T123)</f>
        <v>Adquisición de Servicios</v>
      </c>
      <c r="U123" s="157">
        <f t="shared" ref="U123:AJ123" si="127">SUM(U124:U139)</f>
        <v>130967353</v>
      </c>
      <c r="V123" s="144">
        <f t="shared" si="127"/>
        <v>0</v>
      </c>
      <c r="W123" s="144">
        <f t="shared" si="127"/>
        <v>36066041</v>
      </c>
      <c r="X123" s="152">
        <f t="shared" si="127"/>
        <v>167033394</v>
      </c>
      <c r="Y123" s="151">
        <f t="shared" si="127"/>
        <v>106678217</v>
      </c>
      <c r="Z123" s="144">
        <f t="shared" si="127"/>
        <v>16566857</v>
      </c>
      <c r="AA123" s="152">
        <f t="shared" si="127"/>
        <v>123245074</v>
      </c>
      <c r="AB123" s="151">
        <f t="shared" si="127"/>
        <v>106678217</v>
      </c>
      <c r="AC123" s="144">
        <f t="shared" si="127"/>
        <v>16566857</v>
      </c>
      <c r="AD123" s="152">
        <f t="shared" si="127"/>
        <v>123245074</v>
      </c>
      <c r="AE123" s="151">
        <f t="shared" si="127"/>
        <v>100434569</v>
      </c>
      <c r="AF123" s="144">
        <f t="shared" si="127"/>
        <v>11136174</v>
      </c>
      <c r="AG123" s="152">
        <f t="shared" si="127"/>
        <v>111570743</v>
      </c>
      <c r="AH123" s="151">
        <f t="shared" si="127"/>
        <v>43788320</v>
      </c>
      <c r="AI123" s="144">
        <f t="shared" si="127"/>
        <v>43788320</v>
      </c>
      <c r="AJ123" s="153">
        <f t="shared" si="127"/>
        <v>55462651</v>
      </c>
      <c r="AK123" s="10"/>
      <c r="AL123" s="151">
        <f>SUM(AL124:AL139)</f>
        <v>0</v>
      </c>
      <c r="AM123" s="153">
        <f>SUM(AM124:AM139)</f>
        <v>32000000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+IF(SEPTIEMBRE!S124=0,"",SEPTIEMBRE!S124)</f>
        <v>2010200-1</v>
      </c>
      <c r="T124" s="159" t="str">
        <f>+IF(SEPTIEMBRE!T124=0,"",SEPTIEMBRE!T124)</f>
        <v>Seguros</v>
      </c>
      <c r="U124" s="29">
        <f>+ENERO!U124</f>
        <v>42767476</v>
      </c>
      <c r="V124" s="17">
        <f>SEPTIEMBRE!V124+OCTUBRE!AL124</f>
        <v>0</v>
      </c>
      <c r="W124" s="17">
        <f>SEPTIEMBRE!W124+OCTUBRE!AM124</f>
        <v>10000000</v>
      </c>
      <c r="X124" s="20">
        <f t="shared" ref="X124:X139" si="128">SUM(U124:W124)</f>
        <v>52767476</v>
      </c>
      <c r="Y124" s="21">
        <f>SEPTIEMBRE!AA124</f>
        <v>39895218</v>
      </c>
      <c r="Z124" s="457">
        <v>8267411</v>
      </c>
      <c r="AA124" s="20">
        <f t="shared" ref="AA124:AA139" si="129">SUM(Y124:Z124)</f>
        <v>48162629</v>
      </c>
      <c r="AB124" s="21">
        <f>SEPTIEMBRE!AD124</f>
        <v>39895218</v>
      </c>
      <c r="AC124" s="457">
        <v>8267411</v>
      </c>
      <c r="AD124" s="20">
        <f t="shared" ref="AD124:AD139" si="130">SUM(AB124:AC124)</f>
        <v>48162629</v>
      </c>
      <c r="AE124" s="21">
        <f>SEPTIEMBRE!AG124</f>
        <v>39895218</v>
      </c>
      <c r="AF124" s="457">
        <v>2872258</v>
      </c>
      <c r="AG124" s="20">
        <f t="shared" ref="AG124:AG139" si="131">SUM(AE124:AF124)</f>
        <v>42767476</v>
      </c>
      <c r="AH124" s="21">
        <f t="shared" ref="AH124:AH139" si="132">X124-AA124</f>
        <v>4604847</v>
      </c>
      <c r="AI124" s="17">
        <f t="shared" ref="AI124:AI139" si="133">X124-AD124</f>
        <v>4604847</v>
      </c>
      <c r="AJ124" s="18">
        <f t="shared" ref="AJ124:AJ139" si="134">X124-AG124</f>
        <v>10000000</v>
      </c>
      <c r="AK124" s="10"/>
      <c r="AL124" s="455">
        <v>0</v>
      </c>
      <c r="AM124" s="458">
        <v>10000000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+IF(SEPTIEMBRE!A125=0,"",SEPTIEMBRE!A125)</f>
        <v xml:space="preserve">TOTAL PRESUPUESTO DE INGRESOS </v>
      </c>
      <c r="B125" s="619"/>
      <c r="C125" s="605">
        <f t="shared" ref="C125:N125" si="135">C123+C121</f>
        <v>3631501012</v>
      </c>
      <c r="D125" s="621">
        <f t="shared" si="135"/>
        <v>0</v>
      </c>
      <c r="E125" s="621">
        <f t="shared" si="135"/>
        <v>457333323</v>
      </c>
      <c r="F125" s="622">
        <f t="shared" si="135"/>
        <v>4088834335</v>
      </c>
      <c r="G125" s="620">
        <f t="shared" si="135"/>
        <v>3232319042</v>
      </c>
      <c r="H125" s="621">
        <f t="shared" si="135"/>
        <v>321847280</v>
      </c>
      <c r="I125" s="622">
        <f t="shared" si="135"/>
        <v>3554166322</v>
      </c>
      <c r="J125" s="620">
        <f t="shared" si="135"/>
        <v>2793296278</v>
      </c>
      <c r="K125" s="621">
        <f t="shared" si="135"/>
        <v>288442693</v>
      </c>
      <c r="L125" s="622">
        <f t="shared" si="135"/>
        <v>3081738971</v>
      </c>
      <c r="M125" s="620">
        <f t="shared" si="135"/>
        <v>534668013</v>
      </c>
      <c r="N125" s="622">
        <f t="shared" si="135"/>
        <v>1007095364</v>
      </c>
      <c r="P125" s="605">
        <f>P123+P121</f>
        <v>0</v>
      </c>
      <c r="Q125" s="606">
        <f>Q123+Q121</f>
        <v>249700000</v>
      </c>
      <c r="R125" s="10"/>
      <c r="S125" s="155" t="str">
        <f>+IF(SEPTIEMBRE!S125=0,"",SEPTIEMBRE!S125)</f>
        <v>2010200-2</v>
      </c>
      <c r="T125" s="159" t="str">
        <f>+IF(SEPTIEMBRE!T125=0,"",SEPTIEMBRE!T125)</f>
        <v>Impresos y Publicaciones</v>
      </c>
      <c r="U125" s="29">
        <f>+ENERO!U125</f>
        <v>10257367</v>
      </c>
      <c r="V125" s="17">
        <f>SEPTIEMBRE!V125+OCTUBRE!AL125</f>
        <v>0</v>
      </c>
      <c r="W125" s="17">
        <f>SEPTIEMBRE!W125+OCTUBRE!AM125</f>
        <v>0</v>
      </c>
      <c r="X125" s="20">
        <f t="shared" si="128"/>
        <v>10257367</v>
      </c>
      <c r="Y125" s="21">
        <f>SEPTIEMBRE!AA125</f>
        <v>5728342</v>
      </c>
      <c r="Z125" s="457">
        <v>240000</v>
      </c>
      <c r="AA125" s="20">
        <f t="shared" si="129"/>
        <v>5968342</v>
      </c>
      <c r="AB125" s="21">
        <f>SEPTIEMBRE!AD125</f>
        <v>5728342</v>
      </c>
      <c r="AC125" s="457">
        <v>240000</v>
      </c>
      <c r="AD125" s="20">
        <f t="shared" si="130"/>
        <v>5968342</v>
      </c>
      <c r="AE125" s="21">
        <f>SEPTIEMBRE!AG125</f>
        <v>5390342</v>
      </c>
      <c r="AF125" s="457">
        <v>60000</v>
      </c>
      <c r="AG125" s="20">
        <f t="shared" si="131"/>
        <v>5450342</v>
      </c>
      <c r="AH125" s="21">
        <f t="shared" si="132"/>
        <v>4289025</v>
      </c>
      <c r="AI125" s="17">
        <f t="shared" si="133"/>
        <v>4289025</v>
      </c>
      <c r="AJ125" s="18">
        <f t="shared" si="134"/>
        <v>4807025</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+IF(SEPTIEMBRE!S126=0,"",SEPTIEMBRE!S126)</f>
        <v>2010200-3</v>
      </c>
      <c r="T126" s="159" t="str">
        <f>+IF(SEPTIEMBRE!T126=0,"",SEPTIEMBRE!T126)</f>
        <v xml:space="preserve">Servicios Públicos </v>
      </c>
      <c r="U126" s="29">
        <f>+ENERO!U126</f>
        <v>49280460</v>
      </c>
      <c r="V126" s="17">
        <f>SEPTIEMBRE!V126+OCTUBRE!AL126</f>
        <v>0</v>
      </c>
      <c r="W126" s="17">
        <f>SEPTIEMBRE!W126+OCTUBRE!AM126</f>
        <v>12000000</v>
      </c>
      <c r="X126" s="20">
        <f t="shared" si="128"/>
        <v>61280460</v>
      </c>
      <c r="Y126" s="21">
        <f>SEPTIEMBRE!AA126</f>
        <v>39860573</v>
      </c>
      <c r="Z126" s="814">
        <v>5022997</v>
      </c>
      <c r="AA126" s="20">
        <f t="shared" si="129"/>
        <v>44883570</v>
      </c>
      <c r="AB126" s="21">
        <f>SEPTIEMBRE!AD126</f>
        <v>39860573</v>
      </c>
      <c r="AC126" s="457">
        <v>5022997</v>
      </c>
      <c r="AD126" s="20">
        <f t="shared" si="130"/>
        <v>44883570</v>
      </c>
      <c r="AE126" s="21">
        <f>SEPTIEMBRE!AG126</f>
        <v>39124657</v>
      </c>
      <c r="AF126" s="457">
        <v>5022271</v>
      </c>
      <c r="AG126" s="20">
        <f t="shared" si="131"/>
        <v>44146928</v>
      </c>
      <c r="AH126" s="21">
        <f t="shared" si="132"/>
        <v>16396890</v>
      </c>
      <c r="AI126" s="17">
        <f t="shared" si="133"/>
        <v>16396890</v>
      </c>
      <c r="AJ126" s="18">
        <f t="shared" si="134"/>
        <v>17133532</v>
      </c>
      <c r="AK126" s="10"/>
      <c r="AL126" s="455">
        <v>0</v>
      </c>
      <c r="AM126" s="458">
        <v>12000000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+IF(SEPTIEMBRE!S127=0,"",SEPTIEMBRE!S127)</f>
        <v>2010200-4</v>
      </c>
      <c r="T127" s="159" t="str">
        <f>+IF(SEPTIEMBRE!T127=0,"",SEPTIEMBRE!T127)</f>
        <v>Comunicaciones y Transportes</v>
      </c>
      <c r="U127" s="29">
        <f>+ENERO!U127</f>
        <v>8570980</v>
      </c>
      <c r="V127" s="17">
        <f>SEPTIEMBRE!V127+OCTUBRE!AL127</f>
        <v>0</v>
      </c>
      <c r="W127" s="17">
        <f>SEPTIEMBRE!W127+OCTUBRE!AM127</f>
        <v>5000000</v>
      </c>
      <c r="X127" s="20">
        <f t="shared" si="128"/>
        <v>13570980</v>
      </c>
      <c r="Y127" s="21">
        <f>SEPTIEMBRE!AA127</f>
        <v>7495804</v>
      </c>
      <c r="Z127" s="457">
        <v>1025000</v>
      </c>
      <c r="AA127" s="20">
        <f t="shared" si="129"/>
        <v>8520804</v>
      </c>
      <c r="AB127" s="21">
        <f>SEPTIEMBRE!AD127</f>
        <v>7495804</v>
      </c>
      <c r="AC127" s="457">
        <v>1025000</v>
      </c>
      <c r="AD127" s="20">
        <f t="shared" si="130"/>
        <v>8520804</v>
      </c>
      <c r="AE127" s="21">
        <f>SEPTIEMBRE!AG127</f>
        <v>3433608</v>
      </c>
      <c r="AF127" s="457">
        <v>128196</v>
      </c>
      <c r="AG127" s="20">
        <f t="shared" si="131"/>
        <v>3561804</v>
      </c>
      <c r="AH127" s="21">
        <f t="shared" si="132"/>
        <v>5050176</v>
      </c>
      <c r="AI127" s="17">
        <f t="shared" si="133"/>
        <v>5050176</v>
      </c>
      <c r="AJ127" s="18">
        <f t="shared" si="134"/>
        <v>10009176</v>
      </c>
      <c r="AK127" s="10"/>
      <c r="AL127" s="455">
        <v>0</v>
      </c>
      <c r="AM127" s="458">
        <v>5000000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+IF(SEPTIEMBRE!S128=0,"",SEPTIEMBRE!S128)</f>
        <v>2010200-5</v>
      </c>
      <c r="T128" s="159" t="str">
        <f>+IF(SEPTIEMBRE!T128=0,"",SEPTIEMBRE!T128)</f>
        <v>Viáticos y Gastos de Viaje</v>
      </c>
      <c r="U128" s="29">
        <f>+ENERO!U128</f>
        <v>4306574</v>
      </c>
      <c r="V128" s="17">
        <f>SEPTIEMBRE!V128+OCTUBRE!AL128</f>
        <v>0</v>
      </c>
      <c r="W128" s="17">
        <f>SEPTIEMBRE!W128+OCTUBRE!AM128</f>
        <v>5000000</v>
      </c>
      <c r="X128" s="20">
        <f t="shared" si="128"/>
        <v>9306574</v>
      </c>
      <c r="Y128" s="21">
        <f>SEPTIEMBRE!AA128</f>
        <v>612920</v>
      </c>
      <c r="Z128" s="457">
        <v>1768359</v>
      </c>
      <c r="AA128" s="20">
        <f t="shared" si="129"/>
        <v>2381279</v>
      </c>
      <c r="AB128" s="21">
        <f>SEPTIEMBRE!AD128</f>
        <v>612920</v>
      </c>
      <c r="AC128" s="457">
        <v>1768359</v>
      </c>
      <c r="AD128" s="20">
        <f t="shared" si="130"/>
        <v>2381279</v>
      </c>
      <c r="AE128" s="21">
        <f>SEPTIEMBRE!AG128</f>
        <v>612920</v>
      </c>
      <c r="AF128" s="457">
        <v>1768359</v>
      </c>
      <c r="AG128" s="20">
        <f t="shared" si="131"/>
        <v>2381279</v>
      </c>
      <c r="AH128" s="21">
        <f t="shared" si="132"/>
        <v>6925295</v>
      </c>
      <c r="AI128" s="17">
        <f t="shared" si="133"/>
        <v>6925295</v>
      </c>
      <c r="AJ128" s="18">
        <f t="shared" si="134"/>
        <v>6925295</v>
      </c>
      <c r="AK128" s="10"/>
      <c r="AL128" s="455">
        <v>0</v>
      </c>
      <c r="AM128" s="458">
        <v>5000000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+IF(SEPTIEMBRE!S129=0,"",SEPTIEMBRE!S129)</f>
        <v>2010200-6</v>
      </c>
      <c r="T129" s="159" t="str">
        <f>+IF(SEPTIEMBRE!T129=0,"",SEPTIEMBRE!T129)</f>
        <v>Arrendamientos</v>
      </c>
      <c r="U129" s="29">
        <f>+ENERO!U129</f>
        <v>0</v>
      </c>
      <c r="V129" s="17">
        <f>SEPTIEMBRE!V129+OCTUBRE!AL129</f>
        <v>0</v>
      </c>
      <c r="W129" s="17">
        <f>SEPTIEMBRE!W129+OCTUBRE!AM129</f>
        <v>0</v>
      </c>
      <c r="X129" s="20">
        <f t="shared" si="128"/>
        <v>0</v>
      </c>
      <c r="Y129" s="21">
        <f>SEPTIEMBRE!AA129</f>
        <v>0</v>
      </c>
      <c r="Z129" s="457">
        <v>0</v>
      </c>
      <c r="AA129" s="20">
        <f t="shared" si="129"/>
        <v>0</v>
      </c>
      <c r="AB129" s="21">
        <f>SEPTIEMBRE!AD129</f>
        <v>0</v>
      </c>
      <c r="AC129" s="457">
        <v>0</v>
      </c>
      <c r="AD129" s="20">
        <f t="shared" si="130"/>
        <v>0</v>
      </c>
      <c r="AE129" s="21">
        <f>SEPTIEMBRE!AG129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+IF(SEPTIEMBRE!S130=0,"",SEPTIEMBRE!S130)</f>
        <v>2010200-7</v>
      </c>
      <c r="T130" s="159" t="str">
        <f>+IF(SEPTIEMBRE!T130=0,"",SEPTIEMBRE!T130)</f>
        <v>Vigilancia y Aseo</v>
      </c>
      <c r="U130" s="29">
        <f>+ENERO!U130</f>
        <v>0</v>
      </c>
      <c r="V130" s="17">
        <f>SEPTIEMBRE!V130+OCTUBRE!AL130</f>
        <v>0</v>
      </c>
      <c r="W130" s="17">
        <f>SEPTIEMBRE!W130+OCTUBRE!AM130</f>
        <v>0</v>
      </c>
      <c r="X130" s="20">
        <f t="shared" si="128"/>
        <v>0</v>
      </c>
      <c r="Y130" s="21">
        <f>SEPTIEMBRE!AA130</f>
        <v>0</v>
      </c>
      <c r="Z130" s="457">
        <v>0</v>
      </c>
      <c r="AA130" s="20">
        <f t="shared" si="129"/>
        <v>0</v>
      </c>
      <c r="AB130" s="21">
        <f>SEPTIEMBRE!AD130</f>
        <v>0</v>
      </c>
      <c r="AC130" s="457">
        <v>0</v>
      </c>
      <c r="AD130" s="20">
        <f t="shared" si="130"/>
        <v>0</v>
      </c>
      <c r="AE130" s="21">
        <f>SEPTIEMBRE!AG130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+IF(SEPTIEMBRE!S131=0,"",SEPTIEMBRE!S131)</f>
        <v>2010200-8</v>
      </c>
      <c r="T131" s="159" t="str">
        <f>+IF(SEPTIEMBRE!T131=0,"",SEPTIEMBRE!T131)</f>
        <v>Bienestar Social</v>
      </c>
      <c r="U131" s="29">
        <f>+ENERO!U131</f>
        <v>6347410</v>
      </c>
      <c r="V131" s="17">
        <f>SEPTIEMBRE!V131+OCTUBRE!AL131</f>
        <v>0</v>
      </c>
      <c r="W131" s="17">
        <f>SEPTIEMBRE!W131+OCTUBRE!AM131</f>
        <v>0</v>
      </c>
      <c r="X131" s="20">
        <f t="shared" si="128"/>
        <v>6347410</v>
      </c>
      <c r="Y131" s="21">
        <f>SEPTIEMBRE!AA131</f>
        <v>1042000</v>
      </c>
      <c r="Z131" s="457">
        <v>0</v>
      </c>
      <c r="AA131" s="20">
        <f t="shared" si="129"/>
        <v>1042000</v>
      </c>
      <c r="AB131" s="21">
        <f>SEPTIEMBRE!AD131</f>
        <v>1042000</v>
      </c>
      <c r="AC131" s="457">
        <v>0</v>
      </c>
      <c r="AD131" s="20">
        <f t="shared" si="130"/>
        <v>1042000</v>
      </c>
      <c r="AE131" s="21">
        <f>SEPTIEMBRE!AG131</f>
        <v>0</v>
      </c>
      <c r="AF131" s="457">
        <v>1042000</v>
      </c>
      <c r="AG131" s="20">
        <f t="shared" si="131"/>
        <v>1042000</v>
      </c>
      <c r="AH131" s="21">
        <f t="shared" si="132"/>
        <v>5305410</v>
      </c>
      <c r="AI131" s="17">
        <f t="shared" si="133"/>
        <v>5305410</v>
      </c>
      <c r="AJ131" s="18">
        <f t="shared" si="134"/>
        <v>5305410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+IF(SEPTIEMBRE!S132=0,"",SEPTIEMBRE!S132)</f>
        <v>2010200-9</v>
      </c>
      <c r="T132" s="159" t="str">
        <f>+IF(SEPTIEMBRE!T132=0,"",SEPTIEMBRE!T132)</f>
        <v>Capacitación, estimulos, incentivos, programa de calidad</v>
      </c>
      <c r="U132" s="29">
        <f>+ENERO!U132</f>
        <v>4142898</v>
      </c>
      <c r="V132" s="17">
        <f>SEPTIEMBRE!V132+OCTUBRE!AL132</f>
        <v>0</v>
      </c>
      <c r="W132" s="17">
        <f>SEPTIEMBRE!W132+OCTUBRE!AM132</f>
        <v>0</v>
      </c>
      <c r="X132" s="20">
        <f t="shared" si="128"/>
        <v>4142898</v>
      </c>
      <c r="Y132" s="21">
        <f>SEPTIEMBRE!AA132</f>
        <v>3824400</v>
      </c>
      <c r="Z132" s="457">
        <v>0</v>
      </c>
      <c r="AA132" s="20">
        <f t="shared" si="129"/>
        <v>3824400</v>
      </c>
      <c r="AB132" s="21">
        <f>SEPTIEMBRE!AD132</f>
        <v>3824400</v>
      </c>
      <c r="AC132" s="457">
        <v>0</v>
      </c>
      <c r="AD132" s="20">
        <f t="shared" si="130"/>
        <v>3824400</v>
      </c>
      <c r="AE132" s="21">
        <f>SEPTIEMBRE!AG132</f>
        <v>3824400</v>
      </c>
      <c r="AF132" s="457">
        <v>0</v>
      </c>
      <c r="AG132" s="20">
        <f t="shared" si="131"/>
        <v>3824400</v>
      </c>
      <c r="AH132" s="21">
        <f t="shared" si="132"/>
        <v>318498</v>
      </c>
      <c r="AI132" s="17">
        <f t="shared" si="133"/>
        <v>318498</v>
      </c>
      <c r="AJ132" s="18">
        <f t="shared" si="134"/>
        <v>318498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+IF(SEPTIEMBRE!S133=0,"",SEPTIEMBRE!S133)</f>
        <v>2010200-10</v>
      </c>
      <c r="T133" s="159" t="str">
        <f>+IF(SEPTIEMBRE!T133=0,"",SEPTIEMBRE!T133)</f>
        <v>Pagos otras IPS</v>
      </c>
      <c r="U133" s="29">
        <f>+ENERO!U133</f>
        <v>0</v>
      </c>
      <c r="V133" s="17">
        <f>SEPTIEMBRE!V133+OCTUBRE!AL133</f>
        <v>0</v>
      </c>
      <c r="W133" s="17">
        <f>SEPTIEMBRE!W133+OCTUBRE!AM133</f>
        <v>0</v>
      </c>
      <c r="X133" s="20">
        <f t="shared" si="128"/>
        <v>0</v>
      </c>
      <c r="Y133" s="21">
        <f>SEPTIEMBRE!AA133</f>
        <v>0</v>
      </c>
      <c r="Z133" s="457">
        <v>0</v>
      </c>
      <c r="AA133" s="20">
        <f t="shared" si="129"/>
        <v>0</v>
      </c>
      <c r="AB133" s="21">
        <f>SEPTIEMBRE!AD133</f>
        <v>0</v>
      </c>
      <c r="AC133" s="457">
        <v>0</v>
      </c>
      <c r="AD133" s="20">
        <f t="shared" si="130"/>
        <v>0</v>
      </c>
      <c r="AE133" s="21">
        <f>SEPTIEMBRE!AG133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+IF(SEPTIEMBRE!S134=0,"",SEPTIEMBRE!S134)</f>
        <v>2010200-11</v>
      </c>
      <c r="T134" s="159" t="str">
        <f>+IF(SEPTIEMBRE!T134=0,"",SEPTIEMBRE!T134)</f>
        <v>Gastos financieros</v>
      </c>
      <c r="U134" s="29">
        <f>+ENERO!U134</f>
        <v>3294188</v>
      </c>
      <c r="V134" s="17">
        <f>SEPTIEMBRE!V134+OCTUBRE!AL134</f>
        <v>0</v>
      </c>
      <c r="W134" s="17">
        <f>SEPTIEMBRE!W134+OCTUBRE!AM134</f>
        <v>0</v>
      </c>
      <c r="X134" s="20">
        <f t="shared" si="128"/>
        <v>3294188</v>
      </c>
      <c r="Y134" s="21">
        <f>SEPTIEMBRE!AA134</f>
        <v>2152919</v>
      </c>
      <c r="Z134" s="457">
        <v>243090</v>
      </c>
      <c r="AA134" s="20">
        <f t="shared" si="129"/>
        <v>2396009</v>
      </c>
      <c r="AB134" s="21">
        <f>SEPTIEMBRE!AD134</f>
        <v>2152919</v>
      </c>
      <c r="AC134" s="457">
        <v>243090</v>
      </c>
      <c r="AD134" s="20">
        <f t="shared" si="130"/>
        <v>2396009</v>
      </c>
      <c r="AE134" s="21">
        <f>SEPTIEMBRE!AG134</f>
        <v>2152919</v>
      </c>
      <c r="AF134" s="457">
        <v>243090</v>
      </c>
      <c r="AG134" s="20">
        <f t="shared" si="131"/>
        <v>2396009</v>
      </c>
      <c r="AH134" s="21">
        <f t="shared" si="132"/>
        <v>898179</v>
      </c>
      <c r="AI134" s="17">
        <f t="shared" si="133"/>
        <v>898179</v>
      </c>
      <c r="AJ134" s="18">
        <f t="shared" si="134"/>
        <v>898179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+IF(SEPTIEMBRE!S135=0,"",SEPTIEMBRE!S135)</f>
        <v>2010200-12</v>
      </c>
      <c r="T135" s="159" t="str">
        <f>+IF(SEPTIEMBRE!T135=0,"",SEPTIEMBRE!T135)</f>
        <v/>
      </c>
      <c r="U135" s="29">
        <f>+ENERO!U135</f>
        <v>0</v>
      </c>
      <c r="V135" s="17">
        <f>SEPTIEMBRE!V135+OCTUBRE!AL135</f>
        <v>0</v>
      </c>
      <c r="W135" s="17">
        <f>SEPTIEMBRE!W135+OCTUBRE!AM135</f>
        <v>0</v>
      </c>
      <c r="X135" s="20">
        <f t="shared" si="128"/>
        <v>0</v>
      </c>
      <c r="Y135" s="21">
        <f>SEPTIEMBRE!AA135</f>
        <v>0</v>
      </c>
      <c r="Z135" s="457">
        <v>0</v>
      </c>
      <c r="AA135" s="20">
        <f t="shared" si="129"/>
        <v>0</v>
      </c>
      <c r="AB135" s="21">
        <f>SEPTIEMBRE!AD135</f>
        <v>0</v>
      </c>
      <c r="AC135" s="457">
        <v>0</v>
      </c>
      <c r="AD135" s="20">
        <f t="shared" si="130"/>
        <v>0</v>
      </c>
      <c r="AE135" s="21">
        <f>SEPTIEMBRE!AG135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+IF(SEPTIEMBRE!S136=0,"",SEPTIEMBRE!S136)</f>
        <v>2010200-13</v>
      </c>
      <c r="T136" s="159" t="str">
        <f>+IF(SEPTIEMBRE!T136=0,"",SEPTIEMBRE!T136)</f>
        <v/>
      </c>
      <c r="U136" s="29">
        <f>+ENERO!U136</f>
        <v>0</v>
      </c>
      <c r="V136" s="17">
        <f>SEPTIEMBRE!V136+OCTUBRE!AL136</f>
        <v>0</v>
      </c>
      <c r="W136" s="17">
        <f>SEPTIEMBRE!W136+OCTUBRE!AM136</f>
        <v>0</v>
      </c>
      <c r="X136" s="20">
        <f t="shared" si="128"/>
        <v>0</v>
      </c>
      <c r="Y136" s="21">
        <f>SEPTIEMBRE!AA136</f>
        <v>0</v>
      </c>
      <c r="Z136" s="457">
        <v>0</v>
      </c>
      <c r="AA136" s="20">
        <f t="shared" si="129"/>
        <v>0</v>
      </c>
      <c r="AB136" s="21">
        <f>SEPTIEMBRE!AD136</f>
        <v>0</v>
      </c>
      <c r="AC136" s="457">
        <v>0</v>
      </c>
      <c r="AD136" s="20">
        <f t="shared" si="130"/>
        <v>0</v>
      </c>
      <c r="AE136" s="21">
        <f>SEPTIEMBRE!AG136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+IF(SEPTIEMBRE!S137=0,"",SEPTIEMBRE!S137)</f>
        <v>2010020-14</v>
      </c>
      <c r="T137" s="159" t="str">
        <f>+IF(SEPTIEMBRE!T137=0,"",SEPTIEMBRE!T137)</f>
        <v/>
      </c>
      <c r="U137" s="29">
        <f>+ENERO!U137</f>
        <v>0</v>
      </c>
      <c r="V137" s="17">
        <f>SEPTIEMBRE!V137+OCTUBRE!AL137</f>
        <v>0</v>
      </c>
      <c r="W137" s="17">
        <f>SEPTIEMBRE!W137+OCTUBRE!AM137</f>
        <v>0</v>
      </c>
      <c r="X137" s="20">
        <f t="shared" si="128"/>
        <v>0</v>
      </c>
      <c r="Y137" s="21">
        <f>SEPTIEMBRE!AA137</f>
        <v>0</v>
      </c>
      <c r="Z137" s="457">
        <v>0</v>
      </c>
      <c r="AA137" s="20">
        <f t="shared" si="129"/>
        <v>0</v>
      </c>
      <c r="AB137" s="21">
        <f>SEPTIEMBRE!AD137</f>
        <v>0</v>
      </c>
      <c r="AC137" s="457">
        <v>0</v>
      </c>
      <c r="AD137" s="20">
        <f t="shared" si="130"/>
        <v>0</v>
      </c>
      <c r="AE137" s="21">
        <f>SEPTIEMBRE!AG137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+IF(SEPTIEMBRE!S138=0,"",SEPTIEMBRE!S138)</f>
        <v>2010200-15</v>
      </c>
      <c r="T138" s="159" t="str">
        <f>+IF(SEPTIEMBRE!T138=0,"",SEPTIEMBRE!T138)</f>
        <v/>
      </c>
      <c r="U138" s="29">
        <f>+ENERO!U138</f>
        <v>0</v>
      </c>
      <c r="V138" s="17">
        <f>SEPTIEMBRE!V138+OCTUBRE!AL138</f>
        <v>0</v>
      </c>
      <c r="W138" s="17">
        <f>SEPTIEMBRE!W138+OCTUBRE!AM138</f>
        <v>0</v>
      </c>
      <c r="X138" s="20">
        <f t="shared" si="128"/>
        <v>0</v>
      </c>
      <c r="Y138" s="21">
        <f>SEPTIEMBRE!AA138</f>
        <v>0</v>
      </c>
      <c r="Z138" s="457">
        <v>0</v>
      </c>
      <c r="AA138" s="20">
        <f t="shared" si="129"/>
        <v>0</v>
      </c>
      <c r="AB138" s="21">
        <f>SEPTIEMBRE!AD138</f>
        <v>0</v>
      </c>
      <c r="AC138" s="457">
        <v>0</v>
      </c>
      <c r="AD138" s="20">
        <f t="shared" si="130"/>
        <v>0</v>
      </c>
      <c r="AE138" s="21">
        <f>SEPTIEMBRE!AG138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+IF(SEPTIEMBRE!S139=0,"",SEPTIEMBRE!S139)</f>
        <v>2010299</v>
      </c>
      <c r="T139" s="159" t="str">
        <f>+IF(SEPTIEMBRE!T139=0,"",SEPTIEMBRE!T139)</f>
        <v>Vigencias Anteriores</v>
      </c>
      <c r="U139" s="29">
        <f>+ENERO!U139</f>
        <v>2000000</v>
      </c>
      <c r="V139" s="17">
        <f>SEPTIEMBRE!V139+OCTUBRE!AL139</f>
        <v>0</v>
      </c>
      <c r="W139" s="17">
        <f>SEPTIEMBRE!W139+OCTUBRE!AM139</f>
        <v>4066041</v>
      </c>
      <c r="X139" s="20">
        <f t="shared" si="128"/>
        <v>6066041</v>
      </c>
      <c r="Y139" s="21">
        <f>SEPTIEMBRE!AA139</f>
        <v>6066041</v>
      </c>
      <c r="Z139" s="457">
        <v>0</v>
      </c>
      <c r="AA139" s="20">
        <f t="shared" si="129"/>
        <v>6066041</v>
      </c>
      <c r="AB139" s="21">
        <f>SEPTIEMBRE!AD139</f>
        <v>6066041</v>
      </c>
      <c r="AC139" s="457">
        <v>0</v>
      </c>
      <c r="AD139" s="20">
        <f t="shared" si="130"/>
        <v>6066041</v>
      </c>
      <c r="AE139" s="21">
        <f>SEPTIEMBRE!AG139</f>
        <v>6000505</v>
      </c>
      <c r="AF139" s="457">
        <v>0</v>
      </c>
      <c r="AG139" s="20">
        <f t="shared" si="131"/>
        <v>6000505</v>
      </c>
      <c r="AH139" s="21">
        <f t="shared" si="132"/>
        <v>0</v>
      </c>
      <c r="AI139" s="17">
        <f t="shared" si="133"/>
        <v>0</v>
      </c>
      <c r="AJ139" s="18">
        <f t="shared" si="134"/>
        <v>65536</v>
      </c>
      <c r="AK139" s="10"/>
      <c r="AL139" s="455">
        <v>0</v>
      </c>
      <c r="AM139" s="458">
        <v>0</v>
      </c>
      <c r="AN139" s="10"/>
      <c r="AO139" s="365"/>
      <c r="AP139" s="365"/>
      <c r="AQ139" s="365"/>
    </row>
    <row r="140" spans="1:52" s="467" customFormat="1" ht="15.75" x14ac:dyDescent="0.2">
      <c r="A140" s="623"/>
      <c r="N140" s="10"/>
      <c r="R140" s="10"/>
      <c r="S140" s="448" t="str">
        <f>+IF(SEPTIEMBRE!S140=0,"",SEPTIEMBRE!S140)</f>
        <v/>
      </c>
      <c r="T140" s="649" t="str">
        <f>+IF(SEPTIEMBRE!T140=0,"",SEPTIEMBRE!T140)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+IF(SEPTIEMBRE!S141=0,"",SEPTIEMBRE!S141)</f>
        <v>2010300</v>
      </c>
      <c r="T141" s="158" t="str">
        <f>+IF(SEPTIEMBRE!T141=0,"",SEPTIEMBRE!T141)</f>
        <v>Impuestos y Multas</v>
      </c>
      <c r="U141" s="157">
        <f t="shared" ref="U141:AJ141" si="136">U142+U143</f>
        <v>0</v>
      </c>
      <c r="V141" s="144">
        <f t="shared" si="136"/>
        <v>0</v>
      </c>
      <c r="W141" s="144">
        <f t="shared" si="136"/>
        <v>1000000</v>
      </c>
      <c r="X141" s="152">
        <f t="shared" si="136"/>
        <v>1000000</v>
      </c>
      <c r="Y141" s="151">
        <f t="shared" si="136"/>
        <v>0</v>
      </c>
      <c r="Z141" s="144">
        <f t="shared" si="136"/>
        <v>207600</v>
      </c>
      <c r="AA141" s="152">
        <f t="shared" si="136"/>
        <v>207600</v>
      </c>
      <c r="AB141" s="151">
        <f t="shared" si="136"/>
        <v>0</v>
      </c>
      <c r="AC141" s="144">
        <f t="shared" si="136"/>
        <v>207600</v>
      </c>
      <c r="AD141" s="152">
        <f t="shared" si="136"/>
        <v>207600</v>
      </c>
      <c r="AE141" s="151">
        <f t="shared" si="136"/>
        <v>0</v>
      </c>
      <c r="AF141" s="144">
        <f t="shared" si="136"/>
        <v>207600</v>
      </c>
      <c r="AG141" s="152">
        <f t="shared" si="136"/>
        <v>207600</v>
      </c>
      <c r="AH141" s="151">
        <f t="shared" si="136"/>
        <v>792400</v>
      </c>
      <c r="AI141" s="144">
        <f t="shared" si="136"/>
        <v>792400</v>
      </c>
      <c r="AJ141" s="153">
        <f t="shared" si="136"/>
        <v>792400</v>
      </c>
      <c r="AK141" s="12"/>
      <c r="AL141" s="151">
        <f>AL142+AL143</f>
        <v>0</v>
      </c>
      <c r="AM141" s="153">
        <f>AM142+AM143</f>
        <v>0</v>
      </c>
      <c r="AN141" s="10"/>
    </row>
    <row r="142" spans="1:52" s="467" customFormat="1" x14ac:dyDescent="0.2">
      <c r="A142" s="623"/>
      <c r="N142" s="10"/>
      <c r="R142" s="10"/>
      <c r="S142" s="155" t="str">
        <f>+IF(SEPTIEMBRE!S142=0,"",SEPTIEMBRE!S142)</f>
        <v>2010300-1</v>
      </c>
      <c r="T142" s="159" t="str">
        <f>+IF(SEPTIEMBRE!T142=0,"",SEPTIEMBRE!T142)</f>
        <v>Impuestos (Predial, Vehiculos, Otros)</v>
      </c>
      <c r="U142" s="29">
        <f>+ENERO!U142</f>
        <v>0</v>
      </c>
      <c r="V142" s="17">
        <f>SEPTIEMBRE!V142+OCTUBRE!AL142</f>
        <v>0</v>
      </c>
      <c r="W142" s="17">
        <f>SEPTIEMBRE!W142+OCTUBRE!AM142</f>
        <v>1000000</v>
      </c>
      <c r="X142" s="20">
        <f>SUM(U142:W142)</f>
        <v>1000000</v>
      </c>
      <c r="Y142" s="21">
        <f>SEPTIEMBRE!AA142</f>
        <v>0</v>
      </c>
      <c r="Z142" s="457">
        <v>207600</v>
      </c>
      <c r="AA142" s="20">
        <f>SUM(Y142:Z142)</f>
        <v>207600</v>
      </c>
      <c r="AB142" s="21">
        <f>SEPTIEMBRE!AD142</f>
        <v>0</v>
      </c>
      <c r="AC142" s="457">
        <v>207600</v>
      </c>
      <c r="AD142" s="20">
        <f>SUM(AB142:AC142)</f>
        <v>207600</v>
      </c>
      <c r="AE142" s="21">
        <f>SEPTIEMBRE!AG142</f>
        <v>0</v>
      </c>
      <c r="AF142" s="457">
        <v>207600</v>
      </c>
      <c r="AG142" s="20">
        <f>SUM(AE142:AF142)</f>
        <v>207600</v>
      </c>
      <c r="AH142" s="21">
        <f>X142-AA142</f>
        <v>792400</v>
      </c>
      <c r="AI142" s="17">
        <f>X142-AD142</f>
        <v>792400</v>
      </c>
      <c r="AJ142" s="18">
        <f>X142-AG142</f>
        <v>792400</v>
      </c>
      <c r="AK142" s="10"/>
      <c r="AL142" s="455">
        <v>0</v>
      </c>
      <c r="AM142" s="458">
        <v>0</v>
      </c>
      <c r="AN142" s="10"/>
    </row>
    <row r="143" spans="1:52" s="467" customFormat="1" x14ac:dyDescent="0.2">
      <c r="A143" s="623"/>
      <c r="N143" s="10"/>
      <c r="R143" s="10"/>
      <c r="S143" s="155">
        <f>+IF(SEPTIEMBRE!S143=0,"",SEPTIEMBRE!S143)</f>
        <v>2010399</v>
      </c>
      <c r="T143" s="159" t="str">
        <f>+IF(SEPTIEMBRE!T143=0,"",SEPTIEMBRE!T143)</f>
        <v>Vigencias Anteriores</v>
      </c>
      <c r="U143" s="29">
        <f>+ENERO!U143</f>
        <v>0</v>
      </c>
      <c r="V143" s="17">
        <f>SEPTIEMBRE!V143+OCTUBRE!AL143</f>
        <v>0</v>
      </c>
      <c r="W143" s="17">
        <f>SEPTIEMBRE!W143+OCTUBRE!AM143</f>
        <v>0</v>
      </c>
      <c r="X143" s="20">
        <f>SUM(U143:W143)</f>
        <v>0</v>
      </c>
      <c r="Y143" s="21">
        <f>SEPTIEMBRE!AA143</f>
        <v>0</v>
      </c>
      <c r="Z143" s="457">
        <v>0</v>
      </c>
      <c r="AA143" s="20">
        <f>SUM(Y143:Z143)</f>
        <v>0</v>
      </c>
      <c r="AB143" s="21">
        <f>SEPTIEMBRE!AD143</f>
        <v>0</v>
      </c>
      <c r="AC143" s="457">
        <v>0</v>
      </c>
      <c r="AD143" s="20">
        <f>SUM(AB143:AC143)</f>
        <v>0</v>
      </c>
      <c r="AE143" s="21">
        <f>SEPTIEMBRE!AG143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+IF(SEPTIEMBRE!S144=0,"",SEPTIEMBRE!S144)</f>
        <v/>
      </c>
      <c r="T144" s="649" t="str">
        <f>+IF(SEPTIEMBRE!T144=0,"",SEPTIEMBRE!T144)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+IF(SEPTIEMBRE!S145=0,"",SEPTIEMBRE!S145)</f>
        <v>2020010</v>
      </c>
      <c r="T145" s="470" t="str">
        <f>+IF(SEPTIEMBRE!T145=0,"",SEPTIEMBRE!T145)</f>
        <v>Gastos de Operación</v>
      </c>
      <c r="U145" s="157">
        <f t="shared" ref="U145:AJ145" si="137">U147+U155</f>
        <v>378163463</v>
      </c>
      <c r="V145" s="144">
        <f t="shared" si="137"/>
        <v>-746499</v>
      </c>
      <c r="W145" s="144">
        <f t="shared" si="137"/>
        <v>137187532</v>
      </c>
      <c r="X145" s="152">
        <f t="shared" si="137"/>
        <v>514604496</v>
      </c>
      <c r="Y145" s="151">
        <f t="shared" si="137"/>
        <v>326731242</v>
      </c>
      <c r="Z145" s="144">
        <f t="shared" si="137"/>
        <v>34739077</v>
      </c>
      <c r="AA145" s="152">
        <f t="shared" si="137"/>
        <v>361470319</v>
      </c>
      <c r="AB145" s="151">
        <f t="shared" si="137"/>
        <v>326461242</v>
      </c>
      <c r="AC145" s="144">
        <f t="shared" si="137"/>
        <v>34739076</v>
      </c>
      <c r="AD145" s="152">
        <f t="shared" si="137"/>
        <v>361200318</v>
      </c>
      <c r="AE145" s="151">
        <f t="shared" si="137"/>
        <v>274660804</v>
      </c>
      <c r="AF145" s="144">
        <f t="shared" si="137"/>
        <v>51618824</v>
      </c>
      <c r="AG145" s="152">
        <f t="shared" si="137"/>
        <v>326279628</v>
      </c>
      <c r="AH145" s="151">
        <f t="shared" si="137"/>
        <v>153134177</v>
      </c>
      <c r="AI145" s="144">
        <f t="shared" si="137"/>
        <v>153404178</v>
      </c>
      <c r="AJ145" s="153">
        <f t="shared" si="137"/>
        <v>188324868</v>
      </c>
      <c r="AK145" s="12"/>
      <c r="AL145" s="151">
        <f>AL147+AL155</f>
        <v>0</v>
      </c>
      <c r="AM145" s="153">
        <f>AM147+AM155</f>
        <v>59200000</v>
      </c>
      <c r="AN145" s="10"/>
    </row>
    <row r="146" spans="1:40" s="467" customFormat="1" x14ac:dyDescent="0.2">
      <c r="A146" s="623"/>
      <c r="N146" s="10"/>
      <c r="R146" s="10"/>
      <c r="S146" s="11" t="str">
        <f>+IF(SEPTIEMBRE!S146=0,"",SEPTIEMBRE!S146)</f>
        <v/>
      </c>
      <c r="T146" s="55" t="str">
        <f>+IF(SEPTIEMBRE!T146=0,"",SEPTIEMBRE!T146)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+IF(SEPTIEMBRE!S147=0,"",SEPTIEMBRE!S147)</f>
        <v>2020100</v>
      </c>
      <c r="T147" s="158" t="str">
        <f>+IF(SEPTIEMBRE!T147=0,"",SEPTIEMBRE!T147)</f>
        <v>Adquisición de bienes</v>
      </c>
      <c r="U147" s="157">
        <f t="shared" ref="U147:AJ147" si="138">SUM(U148:U149)+U153</f>
        <v>164034265</v>
      </c>
      <c r="V147" s="144">
        <f t="shared" si="138"/>
        <v>1294826</v>
      </c>
      <c r="W147" s="144">
        <f t="shared" si="138"/>
        <v>74587532</v>
      </c>
      <c r="X147" s="152">
        <f t="shared" si="138"/>
        <v>239916623</v>
      </c>
      <c r="Y147" s="151">
        <f t="shared" si="138"/>
        <v>147058124</v>
      </c>
      <c r="Z147" s="144">
        <f t="shared" si="138"/>
        <v>15591399</v>
      </c>
      <c r="AA147" s="152">
        <f t="shared" si="138"/>
        <v>162649523</v>
      </c>
      <c r="AB147" s="151">
        <f t="shared" si="138"/>
        <v>147058124</v>
      </c>
      <c r="AC147" s="144">
        <f t="shared" si="138"/>
        <v>15591398</v>
      </c>
      <c r="AD147" s="152">
        <f t="shared" si="138"/>
        <v>162649522</v>
      </c>
      <c r="AE147" s="151">
        <f t="shared" si="138"/>
        <v>130233669</v>
      </c>
      <c r="AF147" s="144">
        <f t="shared" si="138"/>
        <v>22161882</v>
      </c>
      <c r="AG147" s="152">
        <f t="shared" si="138"/>
        <v>152395551</v>
      </c>
      <c r="AH147" s="151">
        <f t="shared" si="138"/>
        <v>77267100</v>
      </c>
      <c r="AI147" s="144">
        <f t="shared" si="138"/>
        <v>77267101</v>
      </c>
      <c r="AJ147" s="153">
        <f t="shared" si="138"/>
        <v>87521072</v>
      </c>
      <c r="AK147" s="10"/>
      <c r="AL147" s="151">
        <f>SUM(AL148:AL149)+AL153</f>
        <v>0</v>
      </c>
      <c r="AM147" s="153">
        <f>SUM(AM148:AM149)+AM153</f>
        <v>27500000</v>
      </c>
      <c r="AN147" s="10"/>
    </row>
    <row r="148" spans="1:40" s="467" customFormat="1" x14ac:dyDescent="0.2">
      <c r="A148" s="623"/>
      <c r="N148" s="10"/>
      <c r="R148" s="10"/>
      <c r="S148" s="155">
        <f>+IF(SEPTIEMBRE!S148=0,"",SEPTIEMBRE!S148)</f>
        <v>2020101</v>
      </c>
      <c r="T148" s="159" t="str">
        <f>+IF(SEPTIEMBRE!T148=0,"",SEPTIEMBRE!T148)</f>
        <v>Mantenimiento Hospitalario</v>
      </c>
      <c r="U148" s="29">
        <f>+ENERO!U148</f>
        <v>73185858</v>
      </c>
      <c r="V148" s="17">
        <f>SEPTIEMBRE!V148+OCTUBRE!AL148</f>
        <v>0</v>
      </c>
      <c r="W148" s="17">
        <f>SEPTIEMBRE!W148+OCTUBRE!AM148</f>
        <v>29400000</v>
      </c>
      <c r="X148" s="20">
        <f>SUM(U148:W148)</f>
        <v>102585858</v>
      </c>
      <c r="Y148" s="21">
        <f>SEPTIEMBRE!AA148</f>
        <v>62739787</v>
      </c>
      <c r="Z148" s="457">
        <v>1710507</v>
      </c>
      <c r="AA148" s="20">
        <f>SUM(Y148:Z148)</f>
        <v>64450294</v>
      </c>
      <c r="AB148" s="21">
        <f>SEPTIEMBRE!AD148</f>
        <v>62739787</v>
      </c>
      <c r="AC148" s="457">
        <v>1710507</v>
      </c>
      <c r="AD148" s="20">
        <f>SUM(AB148:AC148)</f>
        <v>64450294</v>
      </c>
      <c r="AE148" s="21">
        <f>SEPTIEMBRE!AG148</f>
        <v>58960594</v>
      </c>
      <c r="AF148" s="457">
        <v>3286744</v>
      </c>
      <c r="AG148" s="20">
        <f>SUM(AE148:AF148)</f>
        <v>62247338</v>
      </c>
      <c r="AH148" s="21">
        <f>X148-AA148</f>
        <v>38135564</v>
      </c>
      <c r="AI148" s="17">
        <f>X148-AD148</f>
        <v>38135564</v>
      </c>
      <c r="AJ148" s="18">
        <f>X148-AG148</f>
        <v>40338520</v>
      </c>
      <c r="AK148" s="10"/>
      <c r="AL148" s="455">
        <v>0</v>
      </c>
      <c r="AM148" s="458">
        <v>0</v>
      </c>
      <c r="AN148" s="10"/>
    </row>
    <row r="149" spans="1:40" s="467" customFormat="1" x14ac:dyDescent="0.2">
      <c r="A149" s="623"/>
      <c r="N149" s="10"/>
      <c r="R149" s="10"/>
      <c r="S149" s="155">
        <f>+IF(SEPTIEMBRE!S149=0,"",SEPTIEMBRE!S149)</f>
        <v>2020102</v>
      </c>
      <c r="T149" s="159" t="str">
        <f>+IF(SEPTIEMBRE!T149=0,"",SEPTIEMBRE!T149)</f>
        <v>Otros</v>
      </c>
      <c r="U149" s="29">
        <f t="shared" ref="U149:AJ149" si="139">SUM(U150:U152)</f>
        <v>86848407</v>
      </c>
      <c r="V149" s="17">
        <f t="shared" si="139"/>
        <v>-3075665</v>
      </c>
      <c r="W149" s="17">
        <f t="shared" si="139"/>
        <v>35900000</v>
      </c>
      <c r="X149" s="20">
        <f t="shared" si="139"/>
        <v>119672742</v>
      </c>
      <c r="Y149" s="21">
        <f t="shared" si="139"/>
        <v>66660314</v>
      </c>
      <c r="Z149" s="169">
        <f t="shared" si="139"/>
        <v>13880892</v>
      </c>
      <c r="AA149" s="20">
        <f t="shared" si="139"/>
        <v>80541206</v>
      </c>
      <c r="AB149" s="21">
        <f t="shared" si="139"/>
        <v>66660314</v>
      </c>
      <c r="AC149" s="169">
        <f t="shared" si="139"/>
        <v>13880891</v>
      </c>
      <c r="AD149" s="20">
        <f t="shared" si="139"/>
        <v>80541205</v>
      </c>
      <c r="AE149" s="21">
        <f t="shared" si="139"/>
        <v>54431416</v>
      </c>
      <c r="AF149" s="169">
        <f t="shared" si="139"/>
        <v>18875138</v>
      </c>
      <c r="AG149" s="20">
        <f t="shared" si="139"/>
        <v>73306554</v>
      </c>
      <c r="AH149" s="21">
        <f t="shared" si="139"/>
        <v>39131536</v>
      </c>
      <c r="AI149" s="17">
        <f t="shared" si="139"/>
        <v>39131537</v>
      </c>
      <c r="AJ149" s="18">
        <f t="shared" si="139"/>
        <v>46366188</v>
      </c>
      <c r="AK149" s="10"/>
      <c r="AL149" s="31">
        <f>SUM(AL150:AL152)</f>
        <v>0</v>
      </c>
      <c r="AM149" s="28">
        <f>SUM(AM150:AM152)</f>
        <v>27500000</v>
      </c>
      <c r="AN149" s="10"/>
    </row>
    <row r="150" spans="1:40" s="467" customFormat="1" x14ac:dyDescent="0.2">
      <c r="A150" s="623"/>
      <c r="N150" s="10"/>
      <c r="R150" s="10"/>
      <c r="S150" s="156" t="str">
        <f>+IF(SEPTIEMBRE!S150=0,"",SEPTIEMBRE!S150)</f>
        <v>2020102-1</v>
      </c>
      <c r="T150" s="159" t="str">
        <f>+IF(SEPTIEMBRE!T150=0,"",SEPTIEMBRE!T150)</f>
        <v>Compra de Equipo e Instr. Mco. y Laborat.</v>
      </c>
      <c r="U150" s="29">
        <f>+ENERO!U150</f>
        <v>36341462</v>
      </c>
      <c r="V150" s="17">
        <f>SEPTIEMBRE!V150+OCTUBRE!AL150</f>
        <v>-3075665</v>
      </c>
      <c r="W150" s="17">
        <f>SEPTIEMBRE!W150+OCTUBRE!AM150</f>
        <v>15000000</v>
      </c>
      <c r="X150" s="20">
        <f>SUM(U150:W150)</f>
        <v>48265797</v>
      </c>
      <c r="Y150" s="21">
        <f>SEPTIEMBRE!AA150</f>
        <v>16087800</v>
      </c>
      <c r="Z150" s="457">
        <v>6747901</v>
      </c>
      <c r="AA150" s="20">
        <f>SUM(Y150:Z150)</f>
        <v>22835701</v>
      </c>
      <c r="AB150" s="21">
        <f>SEPTIEMBRE!AD150</f>
        <v>16087800</v>
      </c>
      <c r="AC150" s="457">
        <v>6747900</v>
      </c>
      <c r="AD150" s="20">
        <f>SUM(AB150:AC150)</f>
        <v>22835700</v>
      </c>
      <c r="AE150" s="21">
        <f>SEPTIEMBRE!AG150</f>
        <v>11023800</v>
      </c>
      <c r="AF150" s="457">
        <v>11108240</v>
      </c>
      <c r="AG150" s="20">
        <f>SUM(AE150:AF150)</f>
        <v>22132040</v>
      </c>
      <c r="AH150" s="21">
        <f>X150-AA150</f>
        <v>25430096</v>
      </c>
      <c r="AI150" s="17">
        <f>X150-AD150</f>
        <v>25430097</v>
      </c>
      <c r="AJ150" s="18">
        <f>X150-AG150</f>
        <v>26133757</v>
      </c>
      <c r="AK150" s="10"/>
      <c r="AL150" s="455">
        <v>0</v>
      </c>
      <c r="AM150" s="458">
        <v>10000000</v>
      </c>
      <c r="AN150" s="10"/>
    </row>
    <row r="151" spans="1:40" s="467" customFormat="1" x14ac:dyDescent="0.2">
      <c r="A151" s="623"/>
      <c r="N151" s="10"/>
      <c r="R151" s="10"/>
      <c r="S151" s="156" t="str">
        <f>+IF(SEPTIEMBRE!S151=0,"",SEPTIEMBRE!S151)</f>
        <v>2020102-2</v>
      </c>
      <c r="T151" s="159" t="str">
        <f>+IF(SEPTIEMBRE!T151=0,"",SEPTIEMBRE!T151)</f>
        <v>Materiales</v>
      </c>
      <c r="U151" s="29">
        <f>+ENERO!U151</f>
        <v>17885632</v>
      </c>
      <c r="V151" s="17">
        <f>SEPTIEMBRE!V151+OCTUBRE!AL151</f>
        <v>0</v>
      </c>
      <c r="W151" s="17">
        <f>SEPTIEMBRE!W151+OCTUBRE!AM151</f>
        <v>10900000</v>
      </c>
      <c r="X151" s="20">
        <f>SUM(U151:W151)</f>
        <v>28785632</v>
      </c>
      <c r="Y151" s="21">
        <f>SEPTIEMBRE!AA151</f>
        <v>17951201</v>
      </c>
      <c r="Z151" s="457">
        <v>3347021</v>
      </c>
      <c r="AA151" s="20">
        <f>SUM(Y151:Z151)</f>
        <v>21298222</v>
      </c>
      <c r="AB151" s="21">
        <f>SEPTIEMBRE!AD151</f>
        <v>17951201</v>
      </c>
      <c r="AC151" s="457">
        <v>3347021</v>
      </c>
      <c r="AD151" s="20">
        <f>SUM(AB151:AC151)</f>
        <v>21298222</v>
      </c>
      <c r="AE151" s="21">
        <f>SEPTIEMBRE!AG151</f>
        <v>16864116</v>
      </c>
      <c r="AF151" s="457">
        <v>1689085</v>
      </c>
      <c r="AG151" s="20">
        <f>SUM(AE151:AF151)</f>
        <v>18553201</v>
      </c>
      <c r="AH151" s="21">
        <f>X151-AA151</f>
        <v>7487410</v>
      </c>
      <c r="AI151" s="17">
        <f>X151-AD151</f>
        <v>7487410</v>
      </c>
      <c r="AJ151" s="18">
        <f>X151-AG151</f>
        <v>10232431</v>
      </c>
      <c r="AK151" s="10"/>
      <c r="AL151" s="455">
        <v>0</v>
      </c>
      <c r="AM151" s="458">
        <v>7500000</v>
      </c>
      <c r="AN151" s="10"/>
    </row>
    <row r="152" spans="1:40" s="467" customFormat="1" x14ac:dyDescent="0.2">
      <c r="A152" s="623"/>
      <c r="N152" s="10"/>
      <c r="R152" s="10"/>
      <c r="S152" s="156" t="str">
        <f>+IF(SEPTIEMBRE!S152=0,"",SEPTIEMBRE!S152)</f>
        <v>2020102-3</v>
      </c>
      <c r="T152" s="159" t="str">
        <f>+IF(SEPTIEMBRE!T152=0,"",SEPTIEMBRE!T152)</f>
        <v>Combustible</v>
      </c>
      <c r="U152" s="29">
        <f>+ENERO!U152</f>
        <v>32621313</v>
      </c>
      <c r="V152" s="17">
        <f>SEPTIEMBRE!V152+OCTUBRE!AL152</f>
        <v>0</v>
      </c>
      <c r="W152" s="17">
        <f>SEPTIEMBRE!W152+OCTUBRE!AM152</f>
        <v>10000000</v>
      </c>
      <c r="X152" s="20">
        <f>SUM(U152:W152)</f>
        <v>42621313</v>
      </c>
      <c r="Y152" s="21">
        <f>SEPTIEMBRE!AA152</f>
        <v>32621313</v>
      </c>
      <c r="Z152" s="457">
        <v>3785970</v>
      </c>
      <c r="AA152" s="20">
        <f>SUM(Y152:Z152)</f>
        <v>36407283</v>
      </c>
      <c r="AB152" s="21">
        <f>SEPTIEMBRE!AD152</f>
        <v>32621313</v>
      </c>
      <c r="AC152" s="457">
        <v>3785970</v>
      </c>
      <c r="AD152" s="20">
        <f>SUM(AB152:AC152)</f>
        <v>36407283</v>
      </c>
      <c r="AE152" s="21">
        <f>SEPTIEMBRE!AG152</f>
        <v>26543500</v>
      </c>
      <c r="AF152" s="457">
        <v>6077813</v>
      </c>
      <c r="AG152" s="20">
        <f>SUM(AE152:AF152)</f>
        <v>32621313</v>
      </c>
      <c r="AH152" s="21">
        <f>X152-AA152</f>
        <v>6214030</v>
      </c>
      <c r="AI152" s="17">
        <f>X152-AD152</f>
        <v>6214030</v>
      </c>
      <c r="AJ152" s="18">
        <f>X152-AG152</f>
        <v>10000000</v>
      </c>
      <c r="AK152" s="10"/>
      <c r="AL152" s="455">
        <v>0</v>
      </c>
      <c r="AM152" s="458">
        <v>10000000</v>
      </c>
      <c r="AN152" s="10"/>
    </row>
    <row r="153" spans="1:40" s="467" customFormat="1" x14ac:dyDescent="0.2">
      <c r="A153" s="623"/>
      <c r="N153" s="10"/>
      <c r="R153" s="10"/>
      <c r="S153" s="155">
        <f>+IF(SEPTIEMBRE!S153=0,"",SEPTIEMBRE!S153)</f>
        <v>2020199</v>
      </c>
      <c r="T153" s="159" t="str">
        <f>+IF(SEPTIEMBRE!T153=0,"",SEPTIEMBRE!T153)</f>
        <v>Vigencias Anteriores</v>
      </c>
      <c r="U153" s="29">
        <f>+ENERO!U153</f>
        <v>4000000</v>
      </c>
      <c r="V153" s="17">
        <f>SEPTIEMBRE!V153+OCTUBRE!AL153</f>
        <v>4370491</v>
      </c>
      <c r="W153" s="17">
        <f>SEPTIEMBRE!W153+OCTUBRE!AM153</f>
        <v>9287532</v>
      </c>
      <c r="X153" s="20">
        <f>SUM(U153:W153)</f>
        <v>17658023</v>
      </c>
      <c r="Y153" s="21">
        <f>SEPTIEMBRE!AA153</f>
        <v>17658023</v>
      </c>
      <c r="Z153" s="457">
        <v>0</v>
      </c>
      <c r="AA153" s="20">
        <f>SUM(Y153:Z153)</f>
        <v>17658023</v>
      </c>
      <c r="AB153" s="21">
        <f>SEPTIEMBRE!AD153</f>
        <v>17658023</v>
      </c>
      <c r="AC153" s="457">
        <v>0</v>
      </c>
      <c r="AD153" s="20">
        <f>SUM(AB153:AC153)</f>
        <v>17658023</v>
      </c>
      <c r="AE153" s="21">
        <f>SEPTIEMBRE!AG153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+IF(SEPTIEMBRE!S154=0,"",SEPTIEMBRE!S154)</f>
        <v/>
      </c>
      <c r="T154" s="649" t="str">
        <f>+IF(SEPTIEMBRE!T154=0,"",SEPTIEMBRE!T154)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+IF(SEPTIEMBRE!S155=0,"",SEPTIEMBRE!S155)</f>
        <v>2020200</v>
      </c>
      <c r="T155" s="158" t="str">
        <f>+IF(SEPTIEMBRE!T155=0,"",SEPTIEMBRE!T155)</f>
        <v>Adquisición de Servicios</v>
      </c>
      <c r="U155" s="157">
        <f t="shared" ref="U155:AJ155" si="140">SUM(U156:U157)+U168</f>
        <v>214129198</v>
      </c>
      <c r="V155" s="144">
        <f t="shared" si="140"/>
        <v>-2041325</v>
      </c>
      <c r="W155" s="144">
        <f t="shared" si="140"/>
        <v>62600000</v>
      </c>
      <c r="X155" s="152">
        <f t="shared" si="140"/>
        <v>274687873</v>
      </c>
      <c r="Y155" s="151">
        <f t="shared" si="140"/>
        <v>179673118</v>
      </c>
      <c r="Z155" s="144">
        <f t="shared" si="140"/>
        <v>19147678</v>
      </c>
      <c r="AA155" s="152">
        <f t="shared" si="140"/>
        <v>198820796</v>
      </c>
      <c r="AB155" s="151">
        <f t="shared" si="140"/>
        <v>179403118</v>
      </c>
      <c r="AC155" s="144">
        <f t="shared" si="140"/>
        <v>19147678</v>
      </c>
      <c r="AD155" s="152">
        <f t="shared" si="140"/>
        <v>198550796</v>
      </c>
      <c r="AE155" s="151">
        <f t="shared" si="140"/>
        <v>144427135</v>
      </c>
      <c r="AF155" s="144">
        <f t="shared" si="140"/>
        <v>29456942</v>
      </c>
      <c r="AG155" s="152">
        <f t="shared" si="140"/>
        <v>173884077</v>
      </c>
      <c r="AH155" s="151">
        <f t="shared" si="140"/>
        <v>75867077</v>
      </c>
      <c r="AI155" s="144">
        <f t="shared" si="140"/>
        <v>76137077</v>
      </c>
      <c r="AJ155" s="153">
        <f t="shared" si="140"/>
        <v>100803796</v>
      </c>
      <c r="AK155" s="10"/>
      <c r="AL155" s="151">
        <f>SUM(AL156:AL157)+AL168</f>
        <v>0</v>
      </c>
      <c r="AM155" s="153">
        <f>SUM(AM156:AM157)+AM168</f>
        <v>31700000</v>
      </c>
      <c r="AN155" s="10"/>
    </row>
    <row r="156" spans="1:40" s="467" customFormat="1" x14ac:dyDescent="0.2">
      <c r="A156" s="623"/>
      <c r="N156" s="10"/>
      <c r="P156" s="10"/>
      <c r="Q156" s="10"/>
      <c r="R156" s="10"/>
      <c r="S156" s="155">
        <f>+IF(SEPTIEMBRE!S156=0,"",SEPTIEMBRE!S156)</f>
        <v>2020201</v>
      </c>
      <c r="T156" s="159" t="str">
        <f>+IF(SEPTIEMBRE!T156=0,"",SEPTIEMBRE!T156)</f>
        <v>Mantenimiento Hospitalario</v>
      </c>
      <c r="U156" s="29">
        <f>+ENERO!U156</f>
        <v>89449384</v>
      </c>
      <c r="V156" s="17">
        <f>SEPTIEMBRE!V156+OCTUBRE!AL156</f>
        <v>0</v>
      </c>
      <c r="W156" s="17">
        <f>SEPTIEMBRE!W156+OCTUBRE!AM156</f>
        <v>30900000</v>
      </c>
      <c r="X156" s="20">
        <f>SUM(U156:W156)</f>
        <v>120349384</v>
      </c>
      <c r="Y156" s="21">
        <f>SEPTIEMBRE!AA156</f>
        <v>93947637</v>
      </c>
      <c r="Z156" s="457">
        <v>9457308</v>
      </c>
      <c r="AA156" s="20">
        <f>SUM(Y156:Z156)</f>
        <v>103404945</v>
      </c>
      <c r="AB156" s="21">
        <f>SEPTIEMBRE!AD156</f>
        <v>93677637</v>
      </c>
      <c r="AC156" s="457">
        <v>9457308</v>
      </c>
      <c r="AD156" s="20">
        <f>SUM(AB156:AC156)</f>
        <v>103134945</v>
      </c>
      <c r="AE156" s="21">
        <f>SEPTIEMBRE!AG156</f>
        <v>76439936</v>
      </c>
      <c r="AF156" s="457">
        <v>14971876</v>
      </c>
      <c r="AG156" s="20">
        <f>SUM(AE156:AF156)</f>
        <v>91411812</v>
      </c>
      <c r="AH156" s="21">
        <f>X156-AA156</f>
        <v>16944439</v>
      </c>
      <c r="AI156" s="17">
        <f>X156-AD156</f>
        <v>17214439</v>
      </c>
      <c r="AJ156" s="18">
        <f>X156-AG156</f>
        <v>28937572</v>
      </c>
      <c r="AK156" s="10"/>
      <c r="AL156" s="455">
        <v>0</v>
      </c>
      <c r="AM156" s="458">
        <v>0</v>
      </c>
      <c r="AN156" s="10"/>
    </row>
    <row r="157" spans="1:40" s="467" customFormat="1" x14ac:dyDescent="0.2">
      <c r="A157" s="623"/>
      <c r="N157" s="10"/>
      <c r="P157" s="10"/>
      <c r="Q157" s="10"/>
      <c r="R157" s="10"/>
      <c r="S157" s="155">
        <f>+IF(SEPTIEMBRE!S157=0,"",SEPTIEMBRE!S157)</f>
        <v>2020202</v>
      </c>
      <c r="T157" s="159" t="str">
        <f>+IF(SEPTIEMBRE!T157=0,"",SEPTIEMBRE!T157)</f>
        <v>Otros</v>
      </c>
      <c r="U157" s="29">
        <f t="shared" ref="U157:AJ157" si="141">SUM(U158:U167)</f>
        <v>111949655</v>
      </c>
      <c r="V157" s="17">
        <f t="shared" si="141"/>
        <v>0</v>
      </c>
      <c r="W157" s="17">
        <f t="shared" si="141"/>
        <v>31700000</v>
      </c>
      <c r="X157" s="20">
        <f t="shared" si="141"/>
        <v>143649655</v>
      </c>
      <c r="Y157" s="21">
        <f t="shared" si="141"/>
        <v>75036647</v>
      </c>
      <c r="Z157" s="169">
        <f t="shared" si="141"/>
        <v>9690370</v>
      </c>
      <c r="AA157" s="20">
        <f t="shared" si="141"/>
        <v>84727017</v>
      </c>
      <c r="AB157" s="21">
        <f t="shared" si="141"/>
        <v>75036647</v>
      </c>
      <c r="AC157" s="169">
        <f t="shared" si="141"/>
        <v>9690370</v>
      </c>
      <c r="AD157" s="20">
        <f t="shared" si="141"/>
        <v>84727017</v>
      </c>
      <c r="AE157" s="21">
        <f t="shared" si="141"/>
        <v>57298365</v>
      </c>
      <c r="AF157" s="169">
        <f t="shared" si="141"/>
        <v>14485066</v>
      </c>
      <c r="AG157" s="20">
        <f t="shared" si="141"/>
        <v>71783431</v>
      </c>
      <c r="AH157" s="21">
        <f t="shared" si="141"/>
        <v>58922638</v>
      </c>
      <c r="AI157" s="17">
        <f t="shared" si="141"/>
        <v>58922638</v>
      </c>
      <c r="AJ157" s="18">
        <f t="shared" si="141"/>
        <v>71866224</v>
      </c>
      <c r="AK157" s="12"/>
      <c r="AL157" s="31">
        <f>SUM(AL158:AL167)</f>
        <v>0</v>
      </c>
      <c r="AM157" s="28">
        <f>SUM(AM158:AM167)</f>
        <v>31700000</v>
      </c>
      <c r="AN157" s="10"/>
    </row>
    <row r="158" spans="1:40" s="467" customFormat="1" x14ac:dyDescent="0.2">
      <c r="A158" s="623"/>
      <c r="N158" s="10"/>
      <c r="P158" s="10"/>
      <c r="Q158" s="10"/>
      <c r="R158" s="10"/>
      <c r="S158" s="156" t="str">
        <f>+IF(SEPTIEMBRE!S158=0,"",SEPTIEMBRE!S158)</f>
        <v>2020202-1</v>
      </c>
      <c r="T158" s="55" t="str">
        <f>+IF(SEPTIEMBRE!T158=0,"",SEPTIEMBRE!T158)</f>
        <v>Seguros</v>
      </c>
      <c r="U158" s="29">
        <f>+ENERO!U158</f>
        <v>10500000</v>
      </c>
      <c r="V158" s="17">
        <f>SEPTIEMBRE!V158+OCTUBRE!AL158</f>
        <v>0</v>
      </c>
      <c r="W158" s="17">
        <f>SEPTIEMBRE!W158+OCTUBRE!AM158</f>
        <v>10000000</v>
      </c>
      <c r="X158" s="20">
        <f t="shared" ref="X158:X168" si="142">SUM(U158:W158)</f>
        <v>20500000</v>
      </c>
      <c r="Y158" s="21">
        <f>SEPTIEMBRE!AA158</f>
        <v>8372702</v>
      </c>
      <c r="Z158" s="457">
        <v>2127298</v>
      </c>
      <c r="AA158" s="20">
        <f t="shared" ref="AA158:AA168" si="143">SUM(Y158:Z158)</f>
        <v>10500000</v>
      </c>
      <c r="AB158" s="21">
        <f>SEPTIEMBRE!AD158</f>
        <v>8372702</v>
      </c>
      <c r="AC158" s="457">
        <v>2127298</v>
      </c>
      <c r="AD158" s="20">
        <f t="shared" ref="AD158:AD168" si="144">SUM(AB158:AC158)</f>
        <v>10500000</v>
      </c>
      <c r="AE158" s="21">
        <f>SEPTIEMBRE!AG158</f>
        <v>8372702</v>
      </c>
      <c r="AF158" s="457">
        <v>2127298</v>
      </c>
      <c r="AG158" s="20">
        <f t="shared" ref="AG158:AG168" si="145">SUM(AE158:AF158)</f>
        <v>10500000</v>
      </c>
      <c r="AH158" s="21">
        <f t="shared" ref="AH158:AH168" si="146">X158-AA158</f>
        <v>10000000</v>
      </c>
      <c r="AI158" s="17">
        <f t="shared" ref="AI158:AI168" si="147">X158-AD158</f>
        <v>10000000</v>
      </c>
      <c r="AJ158" s="18">
        <f t="shared" ref="AJ158:AJ168" si="148">X158-AG158</f>
        <v>10000000</v>
      </c>
      <c r="AK158" s="10"/>
      <c r="AL158" s="455">
        <v>0</v>
      </c>
      <c r="AM158" s="458">
        <v>10000000</v>
      </c>
      <c r="AN158" s="10"/>
    </row>
    <row r="159" spans="1:40" s="467" customFormat="1" x14ac:dyDescent="0.2">
      <c r="A159" s="623"/>
      <c r="N159" s="10"/>
      <c r="P159" s="10"/>
      <c r="Q159" s="10"/>
      <c r="R159" s="10"/>
      <c r="S159" s="156" t="str">
        <f>+IF(SEPTIEMBRE!S159=0,"",SEPTIEMBRE!S159)</f>
        <v>2020202-2</v>
      </c>
      <c r="T159" s="55" t="str">
        <f>+IF(SEPTIEMBRE!T159=0,"",SEPTIEMBRE!T159)</f>
        <v>Impresos y Publicaciones</v>
      </c>
      <c r="U159" s="29">
        <f>+ENERO!U159</f>
        <v>6697601</v>
      </c>
      <c r="V159" s="17">
        <f>SEPTIEMBRE!V159+OCTUBRE!AL159</f>
        <v>0</v>
      </c>
      <c r="W159" s="17">
        <f>SEPTIEMBRE!W159+OCTUBRE!AM159</f>
        <v>4000000</v>
      </c>
      <c r="X159" s="20">
        <f t="shared" si="142"/>
        <v>10697601</v>
      </c>
      <c r="Y159" s="21">
        <f>SEPTIEMBRE!AA159</f>
        <v>4726173</v>
      </c>
      <c r="Z159" s="457">
        <v>2071640</v>
      </c>
      <c r="AA159" s="20">
        <f t="shared" si="143"/>
        <v>6797813</v>
      </c>
      <c r="AB159" s="21">
        <f>SEPTIEMBRE!AD159</f>
        <v>4726173</v>
      </c>
      <c r="AC159" s="457">
        <v>2071640</v>
      </c>
      <c r="AD159" s="20">
        <f t="shared" si="144"/>
        <v>6797813</v>
      </c>
      <c r="AE159" s="21">
        <f>SEPTIEMBRE!AG159</f>
        <v>4529173</v>
      </c>
      <c r="AF159" s="457">
        <v>197000</v>
      </c>
      <c r="AG159" s="20">
        <f t="shared" si="145"/>
        <v>4726173</v>
      </c>
      <c r="AH159" s="21">
        <f t="shared" si="146"/>
        <v>3899788</v>
      </c>
      <c r="AI159" s="17">
        <f t="shared" si="147"/>
        <v>3899788</v>
      </c>
      <c r="AJ159" s="18">
        <f t="shared" si="148"/>
        <v>5971428</v>
      </c>
      <c r="AK159" s="10"/>
      <c r="AL159" s="455">
        <v>0</v>
      </c>
      <c r="AM159" s="458">
        <v>4000000</v>
      </c>
      <c r="AN159" s="10"/>
    </row>
    <row r="160" spans="1:40" s="467" customFormat="1" x14ac:dyDescent="0.2">
      <c r="A160" s="623"/>
      <c r="N160" s="10"/>
      <c r="P160" s="10"/>
      <c r="Q160" s="10"/>
      <c r="R160" s="10"/>
      <c r="S160" s="156" t="str">
        <f>+IF(SEPTIEMBRE!S160=0,"",SEPTIEMBRE!S160)</f>
        <v>2020202-3</v>
      </c>
      <c r="T160" s="55" t="str">
        <f>+IF(SEPTIEMBRE!T160=0,"",SEPTIEMBRE!T160)</f>
        <v>Pago a otras IPS</v>
      </c>
      <c r="U160" s="29">
        <f>+ENERO!U160</f>
        <v>11458020</v>
      </c>
      <c r="V160" s="17">
        <f>SEPTIEMBRE!V160+OCTUBRE!AL160</f>
        <v>0</v>
      </c>
      <c r="W160" s="17">
        <f>SEPTIEMBRE!W160+OCTUBRE!AM160</f>
        <v>0</v>
      </c>
      <c r="X160" s="20">
        <f t="shared" si="142"/>
        <v>11458020</v>
      </c>
      <c r="Y160" s="21">
        <f>SEPTIEMBRE!AA160</f>
        <v>2835414</v>
      </c>
      <c r="Z160" s="457">
        <v>59700</v>
      </c>
      <c r="AA160" s="20">
        <f t="shared" si="143"/>
        <v>2895114</v>
      </c>
      <c r="AB160" s="21">
        <f>SEPTIEMBRE!AD160</f>
        <v>2835414</v>
      </c>
      <c r="AC160" s="457">
        <v>59700</v>
      </c>
      <c r="AD160" s="20">
        <f t="shared" si="144"/>
        <v>2895114</v>
      </c>
      <c r="AE160" s="21">
        <f>SEPTIEMBRE!AG160</f>
        <v>204349</v>
      </c>
      <c r="AF160" s="457">
        <v>582400</v>
      </c>
      <c r="AG160" s="20">
        <f t="shared" si="145"/>
        <v>786749</v>
      </c>
      <c r="AH160" s="21">
        <f t="shared" si="146"/>
        <v>8562906</v>
      </c>
      <c r="AI160" s="17">
        <f t="shared" si="147"/>
        <v>8562906</v>
      </c>
      <c r="AJ160" s="18">
        <f t="shared" si="148"/>
        <v>10671271</v>
      </c>
      <c r="AK160" s="10"/>
      <c r="AL160" s="455">
        <v>0</v>
      </c>
      <c r="AM160" s="458">
        <v>0</v>
      </c>
      <c r="AN160" s="10"/>
    </row>
    <row r="161" spans="1:40" s="467" customFormat="1" x14ac:dyDescent="0.2">
      <c r="A161" s="623"/>
      <c r="N161" s="10"/>
      <c r="P161" s="10"/>
      <c r="Q161" s="10"/>
      <c r="R161" s="10"/>
      <c r="S161" s="156" t="str">
        <f>+IF(SEPTIEMBRE!S161=0,"",SEPTIEMBRE!S161)</f>
        <v>2020202-4</v>
      </c>
      <c r="T161" s="55" t="str">
        <f>+IF(SEPTIEMBRE!T161=0,"",SEPTIEMBRE!T161)</f>
        <v>Comunicaciones y Transportes</v>
      </c>
      <c r="U161" s="29">
        <f>+ENERO!U161</f>
        <v>14340084</v>
      </c>
      <c r="V161" s="17">
        <f>SEPTIEMBRE!V161+OCTUBRE!AL161</f>
        <v>0</v>
      </c>
      <c r="W161" s="17">
        <f>SEPTIEMBRE!W161+OCTUBRE!AM161</f>
        <v>6000000</v>
      </c>
      <c r="X161" s="20">
        <f t="shared" si="142"/>
        <v>20340084</v>
      </c>
      <c r="Y161" s="21">
        <f>SEPTIEMBRE!AA161</f>
        <v>11903673</v>
      </c>
      <c r="Z161" s="457">
        <v>2351097</v>
      </c>
      <c r="AA161" s="20">
        <f t="shared" si="143"/>
        <v>14254770</v>
      </c>
      <c r="AB161" s="21">
        <f>SEPTIEMBRE!AD161</f>
        <v>11903673</v>
      </c>
      <c r="AC161" s="457">
        <v>2351097</v>
      </c>
      <c r="AD161" s="20">
        <f t="shared" si="144"/>
        <v>14254770</v>
      </c>
      <c r="AE161" s="21">
        <f>SEPTIEMBRE!AG161</f>
        <v>10183678</v>
      </c>
      <c r="AF161" s="457">
        <v>2115592</v>
      </c>
      <c r="AG161" s="20">
        <f t="shared" si="145"/>
        <v>12299270</v>
      </c>
      <c r="AH161" s="21">
        <f t="shared" si="146"/>
        <v>6085314</v>
      </c>
      <c r="AI161" s="17">
        <f t="shared" si="147"/>
        <v>6085314</v>
      </c>
      <c r="AJ161" s="18">
        <f t="shared" si="148"/>
        <v>8040814</v>
      </c>
      <c r="AK161" s="10"/>
      <c r="AL161" s="455">
        <v>0</v>
      </c>
      <c r="AM161" s="458">
        <v>6000000</v>
      </c>
      <c r="AN161" s="10"/>
    </row>
    <row r="162" spans="1:40" s="467" customFormat="1" x14ac:dyDescent="0.2">
      <c r="A162" s="623"/>
      <c r="N162" s="10"/>
      <c r="P162" s="10"/>
      <c r="Q162" s="10"/>
      <c r="R162" s="10"/>
      <c r="S162" s="156" t="str">
        <f>+IF(SEPTIEMBRE!S162=0,"",SEPTIEMBRE!S162)</f>
        <v>2020202-5</v>
      </c>
      <c r="T162" s="55" t="str">
        <f>+IF(SEPTIEMBRE!T162=0,"",SEPTIEMBRE!T162)</f>
        <v>Viáticos y Gastos de Viaje</v>
      </c>
      <c r="U162" s="29">
        <f>+ENERO!U162</f>
        <v>23894636</v>
      </c>
      <c r="V162" s="17">
        <f>SEPTIEMBRE!V162+OCTUBRE!AL162</f>
        <v>0</v>
      </c>
      <c r="W162" s="17">
        <f>SEPTIEMBRE!W162+OCTUBRE!AM162</f>
        <v>6000000</v>
      </c>
      <c r="X162" s="20">
        <f t="shared" si="142"/>
        <v>29894636</v>
      </c>
      <c r="Y162" s="21">
        <f>SEPTIEMBRE!AA162</f>
        <v>19766240</v>
      </c>
      <c r="Z162" s="457">
        <v>343987</v>
      </c>
      <c r="AA162" s="20">
        <f t="shared" si="143"/>
        <v>20110227</v>
      </c>
      <c r="AB162" s="21">
        <f>SEPTIEMBRE!AD162</f>
        <v>19766240</v>
      </c>
      <c r="AC162" s="457">
        <v>343987</v>
      </c>
      <c r="AD162" s="20">
        <f t="shared" si="144"/>
        <v>20110227</v>
      </c>
      <c r="AE162" s="21">
        <f>SEPTIEMBRE!AG162</f>
        <v>18511240</v>
      </c>
      <c r="AF162" s="457">
        <v>1598987</v>
      </c>
      <c r="AG162" s="20">
        <f t="shared" si="145"/>
        <v>20110227</v>
      </c>
      <c r="AH162" s="21">
        <f t="shared" si="146"/>
        <v>9784409</v>
      </c>
      <c r="AI162" s="17">
        <f t="shared" si="147"/>
        <v>9784409</v>
      </c>
      <c r="AJ162" s="18">
        <f t="shared" si="148"/>
        <v>9784409</v>
      </c>
      <c r="AK162" s="10"/>
      <c r="AL162" s="455">
        <v>0</v>
      </c>
      <c r="AM162" s="458">
        <v>6000000</v>
      </c>
      <c r="AN162" s="10"/>
    </row>
    <row r="163" spans="1:40" s="467" customFormat="1" x14ac:dyDescent="0.2">
      <c r="A163" s="623"/>
      <c r="N163" s="10"/>
      <c r="P163" s="10"/>
      <c r="Q163" s="10"/>
      <c r="R163" s="10"/>
      <c r="S163" s="156" t="str">
        <f>+IF(SEPTIEMBRE!S163=0,"",SEPTIEMBRE!S163)</f>
        <v>2020202-6</v>
      </c>
      <c r="T163" s="55" t="str">
        <f>+IF(SEPTIEMBRE!T163=0,"",SEPTIEMBRE!T163)</f>
        <v>Plan Integral de Manejo de Residuos Sólidos Hospitalarios</v>
      </c>
      <c r="U163" s="29">
        <f>+ENERO!U163</f>
        <v>8565804</v>
      </c>
      <c r="V163" s="17">
        <f>SEPTIEMBRE!V163+OCTUBRE!AL163</f>
        <v>0</v>
      </c>
      <c r="W163" s="17">
        <f>SEPTIEMBRE!W163+OCTUBRE!AM163</f>
        <v>2700000</v>
      </c>
      <c r="X163" s="20">
        <f t="shared" si="142"/>
        <v>11265804</v>
      </c>
      <c r="Y163" s="21">
        <f>SEPTIEMBRE!AA163</f>
        <v>5353245</v>
      </c>
      <c r="Z163" s="457">
        <v>1123448</v>
      </c>
      <c r="AA163" s="20">
        <f t="shared" si="143"/>
        <v>6476693</v>
      </c>
      <c r="AB163" s="21">
        <f>SEPTIEMBRE!AD163</f>
        <v>5353245</v>
      </c>
      <c r="AC163" s="457">
        <v>1123448</v>
      </c>
      <c r="AD163" s="20">
        <f t="shared" si="144"/>
        <v>6476693</v>
      </c>
      <c r="AE163" s="21">
        <f>SEPTIEMBRE!AG163</f>
        <v>3659656</v>
      </c>
      <c r="AF163" s="457">
        <v>608756</v>
      </c>
      <c r="AG163" s="20">
        <f t="shared" si="145"/>
        <v>4268412</v>
      </c>
      <c r="AH163" s="21">
        <f t="shared" si="146"/>
        <v>4789111</v>
      </c>
      <c r="AI163" s="17">
        <f t="shared" si="147"/>
        <v>4789111</v>
      </c>
      <c r="AJ163" s="18">
        <f t="shared" si="148"/>
        <v>6997392</v>
      </c>
      <c r="AK163" s="10"/>
      <c r="AL163" s="455">
        <v>0</v>
      </c>
      <c r="AM163" s="458">
        <v>2700000</v>
      </c>
      <c r="AN163" s="10"/>
    </row>
    <row r="164" spans="1:40" s="467" customFormat="1" x14ac:dyDescent="0.2">
      <c r="A164" s="623"/>
      <c r="N164" s="10"/>
      <c r="P164" s="10"/>
      <c r="Q164" s="10"/>
      <c r="R164" s="10"/>
      <c r="S164" s="156" t="str">
        <f>+IF(SEPTIEMBRE!S164=0,"",SEPTIEMBRE!S164)</f>
        <v>2020202-7</v>
      </c>
      <c r="T164" s="55" t="str">
        <f>+IF(SEPTIEMBRE!T164=0,"",SEPTIEMBRE!T164)</f>
        <v>Servicios de Laboratorio contratados con terceros</v>
      </c>
      <c r="U164" s="29">
        <f>+ENERO!U164</f>
        <v>12000000</v>
      </c>
      <c r="V164" s="17">
        <f>SEPTIEMBRE!V164+OCTUBRE!AL164</f>
        <v>0</v>
      </c>
      <c r="W164" s="17">
        <f>SEPTIEMBRE!W164+OCTUBRE!AM164</f>
        <v>0</v>
      </c>
      <c r="X164" s="20">
        <f t="shared" si="142"/>
        <v>12000000</v>
      </c>
      <c r="Y164" s="21">
        <f>SEPTIEMBRE!AA164</f>
        <v>3127200</v>
      </c>
      <c r="Z164" s="457">
        <v>378200</v>
      </c>
      <c r="AA164" s="20">
        <f t="shared" si="143"/>
        <v>3505400</v>
      </c>
      <c r="AB164" s="21">
        <f>SEPTIEMBRE!AD164</f>
        <v>3127200</v>
      </c>
      <c r="AC164" s="457">
        <v>378200</v>
      </c>
      <c r="AD164" s="20">
        <f t="shared" si="144"/>
        <v>3505400</v>
      </c>
      <c r="AE164" s="21">
        <f>SEPTIEMBRE!AG164</f>
        <v>988900</v>
      </c>
      <c r="AF164" s="457">
        <v>399700</v>
      </c>
      <c r="AG164" s="20">
        <f t="shared" si="145"/>
        <v>1388600</v>
      </c>
      <c r="AH164" s="21">
        <f t="shared" si="146"/>
        <v>8494600</v>
      </c>
      <c r="AI164" s="17">
        <f t="shared" si="147"/>
        <v>8494600</v>
      </c>
      <c r="AJ164" s="18">
        <f t="shared" si="148"/>
        <v>10611400</v>
      </c>
      <c r="AK164" s="10"/>
      <c r="AL164" s="455">
        <v>0</v>
      </c>
      <c r="AM164" s="458">
        <v>0</v>
      </c>
      <c r="AN164" s="10"/>
    </row>
    <row r="165" spans="1:40" s="467" customFormat="1" x14ac:dyDescent="0.2">
      <c r="A165" s="623"/>
      <c r="N165" s="10"/>
      <c r="P165" s="10"/>
      <c r="Q165" s="10"/>
      <c r="R165" s="10"/>
      <c r="S165" s="156" t="str">
        <f>+IF(SEPTIEMBRE!S165=0,"",SEPTIEMBRE!S165)</f>
        <v>2020202-8</v>
      </c>
      <c r="T165" s="55" t="str">
        <f>+IF(SEPTIEMBRE!T165=0,"",SEPTIEMBRE!T165)</f>
        <v>Servicios de Rayos X e Imaginología contratado con terceros</v>
      </c>
      <c r="U165" s="29">
        <f>+ENERO!U165</f>
        <v>19000000</v>
      </c>
      <c r="V165" s="17">
        <f>SEPTIEMBRE!V165+OCTUBRE!AL165</f>
        <v>0</v>
      </c>
      <c r="W165" s="17">
        <f>SEPTIEMBRE!W165+OCTUBRE!AM165</f>
        <v>0</v>
      </c>
      <c r="X165" s="20">
        <f t="shared" si="142"/>
        <v>19000000</v>
      </c>
      <c r="Y165" s="21">
        <f>SEPTIEMBRE!AA165</f>
        <v>13637000</v>
      </c>
      <c r="Z165" s="457">
        <v>1235000</v>
      </c>
      <c r="AA165" s="20">
        <f t="shared" si="143"/>
        <v>14872000</v>
      </c>
      <c r="AB165" s="21">
        <f>SEPTIEMBRE!AD165</f>
        <v>13637000</v>
      </c>
      <c r="AC165" s="457">
        <v>1235000</v>
      </c>
      <c r="AD165" s="20">
        <f t="shared" si="144"/>
        <v>14872000</v>
      </c>
      <c r="AE165" s="21">
        <f>SEPTIEMBRE!AG165</f>
        <v>7436000</v>
      </c>
      <c r="AF165" s="457">
        <v>4953000</v>
      </c>
      <c r="AG165" s="20">
        <f t="shared" si="145"/>
        <v>12389000</v>
      </c>
      <c r="AH165" s="21">
        <f t="shared" si="146"/>
        <v>4128000</v>
      </c>
      <c r="AI165" s="17">
        <f t="shared" si="147"/>
        <v>4128000</v>
      </c>
      <c r="AJ165" s="18">
        <f t="shared" si="148"/>
        <v>6611000</v>
      </c>
      <c r="AK165" s="10"/>
      <c r="AL165" s="455">
        <v>0</v>
      </c>
      <c r="AM165" s="458">
        <v>0</v>
      </c>
      <c r="AN165" s="10"/>
    </row>
    <row r="166" spans="1:40" s="467" customFormat="1" x14ac:dyDescent="0.2">
      <c r="A166" s="623"/>
      <c r="N166" s="10"/>
      <c r="P166" s="10"/>
      <c r="Q166" s="10"/>
      <c r="R166" s="10"/>
      <c r="S166" s="156" t="str">
        <f>+IF(SEPTIEMBRE!S166=0,"",SEPTIEMBRE!S166)</f>
        <v>2020202-9</v>
      </c>
      <c r="T166" s="55" t="str">
        <f>+IF(SEPTIEMBRE!T166=0,"",SEPTIEMBRE!T166)</f>
        <v>Arrendamientos</v>
      </c>
      <c r="U166" s="29">
        <f>+ENERO!U166</f>
        <v>5493510</v>
      </c>
      <c r="V166" s="17">
        <f>SEPTIEMBRE!V166+OCTUBRE!AL166</f>
        <v>0</v>
      </c>
      <c r="W166" s="17">
        <f>SEPTIEMBRE!W166+OCTUBRE!AM166</f>
        <v>3000000</v>
      </c>
      <c r="X166" s="20">
        <f t="shared" si="142"/>
        <v>8493510</v>
      </c>
      <c r="Y166" s="21">
        <f>SEPTIEMBRE!AA166</f>
        <v>5315000</v>
      </c>
      <c r="Z166" s="457">
        <v>0</v>
      </c>
      <c r="AA166" s="20">
        <f t="shared" si="143"/>
        <v>5315000</v>
      </c>
      <c r="AB166" s="21">
        <f>SEPTIEMBRE!AD166</f>
        <v>5315000</v>
      </c>
      <c r="AC166" s="457">
        <v>0</v>
      </c>
      <c r="AD166" s="20">
        <f t="shared" si="144"/>
        <v>5315000</v>
      </c>
      <c r="AE166" s="21">
        <f>SEPTIEMBRE!AG166</f>
        <v>3412667</v>
      </c>
      <c r="AF166" s="457">
        <v>1902333</v>
      </c>
      <c r="AG166" s="20">
        <f t="shared" si="145"/>
        <v>5315000</v>
      </c>
      <c r="AH166" s="21">
        <f t="shared" si="146"/>
        <v>3178510</v>
      </c>
      <c r="AI166" s="17">
        <f t="shared" si="147"/>
        <v>3178510</v>
      </c>
      <c r="AJ166" s="18">
        <f t="shared" si="148"/>
        <v>3178510</v>
      </c>
      <c r="AK166" s="10"/>
      <c r="AL166" s="455">
        <v>0</v>
      </c>
      <c r="AM166" s="458">
        <v>3000000</v>
      </c>
      <c r="AN166" s="10"/>
    </row>
    <row r="167" spans="1:40" s="467" customFormat="1" x14ac:dyDescent="0.2">
      <c r="A167" s="623"/>
      <c r="N167" s="10"/>
      <c r="P167" s="10"/>
      <c r="Q167" s="10"/>
      <c r="R167" s="10"/>
      <c r="S167" s="156" t="str">
        <f>+IF(SEPTIEMBRE!S167=0,"",SEPTIEMBRE!S167)</f>
        <v>2020202-10</v>
      </c>
      <c r="T167" s="55" t="str">
        <f>+IF(SEPTIEMBRE!T167=0,"",SEPTIEMBRE!T167)</f>
        <v>Servicios Públicos</v>
      </c>
      <c r="U167" s="29">
        <f>+ENERO!U167</f>
        <v>0</v>
      </c>
      <c r="V167" s="17">
        <f>SEPTIEMBRE!V167+OCTUBRE!AL167</f>
        <v>0</v>
      </c>
      <c r="W167" s="17">
        <f>SEPTIEMBRE!W167+OCTUBRE!AM167</f>
        <v>0</v>
      </c>
      <c r="X167" s="20">
        <f>SUM(U167:W167)</f>
        <v>0</v>
      </c>
      <c r="Y167" s="21">
        <f>SEPTIEMBRE!AA167</f>
        <v>0</v>
      </c>
      <c r="Z167" s="457">
        <v>0</v>
      </c>
      <c r="AA167" s="20">
        <f>SUM(Y167:Z167)</f>
        <v>0</v>
      </c>
      <c r="AB167" s="21">
        <f>SEPTIEMBRE!AD167</f>
        <v>0</v>
      </c>
      <c r="AC167" s="457">
        <v>0</v>
      </c>
      <c r="AD167" s="20">
        <f>SUM(AB167:AC167)</f>
        <v>0</v>
      </c>
      <c r="AE167" s="21">
        <f>SEPTIEMBRE!AG167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+IF(SEPTIEMBRE!S168=0,"",SEPTIEMBRE!S168)</f>
        <v>2020299</v>
      </c>
      <c r="T168" s="159" t="str">
        <f>+IF(SEPTIEMBRE!T168=0,"",SEPTIEMBRE!T168)</f>
        <v>Vigencias Anteriores</v>
      </c>
      <c r="U168" s="29">
        <f>+ENERO!U168</f>
        <v>12730159</v>
      </c>
      <c r="V168" s="17">
        <f>SEPTIEMBRE!V168+OCTUBRE!AL168</f>
        <v>-2041325</v>
      </c>
      <c r="W168" s="17">
        <f>SEPTIEMBRE!W168+OCTUBRE!AM168</f>
        <v>0</v>
      </c>
      <c r="X168" s="20">
        <f t="shared" si="142"/>
        <v>10688834</v>
      </c>
      <c r="Y168" s="21">
        <f>SEPTIEMBRE!AA168</f>
        <v>10688834</v>
      </c>
      <c r="Z168" s="457">
        <v>0</v>
      </c>
      <c r="AA168" s="20">
        <f t="shared" si="143"/>
        <v>10688834</v>
      </c>
      <c r="AB168" s="21">
        <f>SEPTIEMBRE!AD168</f>
        <v>10688834</v>
      </c>
      <c r="AC168" s="457">
        <v>0</v>
      </c>
      <c r="AD168" s="20">
        <f t="shared" si="144"/>
        <v>10688834</v>
      </c>
      <c r="AE168" s="21">
        <f>SEPTIEMBRE!AG168</f>
        <v>10688834</v>
      </c>
      <c r="AF168" s="457">
        <v>0</v>
      </c>
      <c r="AG168" s="20">
        <f t="shared" si="145"/>
        <v>10688834</v>
      </c>
      <c r="AH168" s="21">
        <f t="shared" si="146"/>
        <v>0</v>
      </c>
      <c r="AI168" s="17">
        <f t="shared" si="147"/>
        <v>0</v>
      </c>
      <c r="AJ168" s="18">
        <f t="shared" si="148"/>
        <v>0</v>
      </c>
      <c r="AK168" s="10"/>
      <c r="AL168" s="455">
        <v>0</v>
      </c>
      <c r="AM168" s="458">
        <v>0</v>
      </c>
      <c r="AN168" s="10"/>
    </row>
    <row r="169" spans="1:40" s="467" customFormat="1" ht="15.75" x14ac:dyDescent="0.2">
      <c r="A169" s="623"/>
      <c r="N169" s="10"/>
      <c r="P169" s="10"/>
      <c r="Q169" s="10"/>
      <c r="R169" s="10"/>
      <c r="S169" s="448" t="str">
        <f>+IF(SEPTIEMBRE!S169=0,"",SEPTIEMBRE!S169)</f>
        <v/>
      </c>
      <c r="T169" s="649" t="str">
        <f>+IF(SEPTIEMBRE!T169=0,"",SEPTIEMBRE!T169)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+IF(SEPTIEMBRE!S170=0,"",SEPTIEMBRE!S170)</f>
        <v>3000000</v>
      </c>
      <c r="T170" s="588" t="str">
        <f>+IF(SEPTIEMBRE!T170=0,"",SEPTIEMBRE!T170)</f>
        <v>TRANSFERENCIAS CORRIENTES</v>
      </c>
      <c r="U170" s="589">
        <f t="shared" ref="U170:AJ170" si="149">U172+U176+U185</f>
        <v>217489235</v>
      </c>
      <c r="V170" s="590">
        <f t="shared" si="149"/>
        <v>-12907692</v>
      </c>
      <c r="W170" s="590">
        <f t="shared" si="149"/>
        <v>1000000</v>
      </c>
      <c r="X170" s="591">
        <f t="shared" si="149"/>
        <v>205581543</v>
      </c>
      <c r="Y170" s="464">
        <f t="shared" si="149"/>
        <v>103644992</v>
      </c>
      <c r="Z170" s="590">
        <f t="shared" si="149"/>
        <v>7943856</v>
      </c>
      <c r="AA170" s="591">
        <f t="shared" si="149"/>
        <v>111588848</v>
      </c>
      <c r="AB170" s="464">
        <f t="shared" si="149"/>
        <v>103644992</v>
      </c>
      <c r="AC170" s="590">
        <f t="shared" si="149"/>
        <v>7943856</v>
      </c>
      <c r="AD170" s="591">
        <f t="shared" si="149"/>
        <v>111588848</v>
      </c>
      <c r="AE170" s="464">
        <f t="shared" si="149"/>
        <v>100683934</v>
      </c>
      <c r="AF170" s="590">
        <f t="shared" si="149"/>
        <v>8406025</v>
      </c>
      <c r="AG170" s="591">
        <f t="shared" si="149"/>
        <v>109089959</v>
      </c>
      <c r="AH170" s="464">
        <f t="shared" si="149"/>
        <v>93992695</v>
      </c>
      <c r="AI170" s="590">
        <f t="shared" si="149"/>
        <v>93992695</v>
      </c>
      <c r="AJ170" s="465">
        <f t="shared" si="149"/>
        <v>96491584</v>
      </c>
      <c r="AK170" s="10"/>
      <c r="AL170" s="151">
        <f>AL172+AL176+AL185</f>
        <v>0</v>
      </c>
      <c r="AM170" s="153">
        <f>AM172+AM176+AM185</f>
        <v>1000000</v>
      </c>
      <c r="AN170" s="10"/>
    </row>
    <row r="171" spans="1:40" s="467" customFormat="1" ht="15.75" x14ac:dyDescent="0.2">
      <c r="A171" s="623"/>
      <c r="N171" s="10"/>
      <c r="P171" s="10"/>
      <c r="Q171" s="10"/>
      <c r="R171" s="10"/>
      <c r="S171" s="448" t="str">
        <f>+IF(SEPTIEMBRE!S171=0,"",SEPTIEMBRE!S171)</f>
        <v/>
      </c>
      <c r="T171" s="649" t="str">
        <f>+IF(SEPTIEMBRE!T171=0,"",SEPTIEMBRE!T171)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+IF(SEPTIEMBRE!S172=0,"",SEPTIEMBRE!S172)</f>
        <v>3100000</v>
      </c>
      <c r="T172" s="158" t="str">
        <f>+IF(SEPTIEMBRE!T172=0,"",SEPTIEMBRE!T172)</f>
        <v>Transferencias al Sector Público</v>
      </c>
      <c r="U172" s="157">
        <f t="shared" ref="U172:AJ172" si="150">SUM(U173:U174)</f>
        <v>2689964</v>
      </c>
      <c r="V172" s="144">
        <f t="shared" si="150"/>
        <v>746499</v>
      </c>
      <c r="W172" s="144">
        <f t="shared" si="150"/>
        <v>0</v>
      </c>
      <c r="X172" s="152">
        <f t="shared" si="150"/>
        <v>3436463</v>
      </c>
      <c r="Y172" s="151">
        <f t="shared" si="150"/>
        <v>1662546</v>
      </c>
      <c r="Z172" s="144">
        <f t="shared" si="150"/>
        <v>101783</v>
      </c>
      <c r="AA172" s="152">
        <f t="shared" si="150"/>
        <v>1764329</v>
      </c>
      <c r="AB172" s="151">
        <f t="shared" si="150"/>
        <v>1662546</v>
      </c>
      <c r="AC172" s="144">
        <f t="shared" si="150"/>
        <v>101783</v>
      </c>
      <c r="AD172" s="152">
        <f t="shared" si="150"/>
        <v>1764329</v>
      </c>
      <c r="AE172" s="151">
        <f t="shared" si="150"/>
        <v>1357197</v>
      </c>
      <c r="AF172" s="144">
        <f t="shared" si="150"/>
        <v>305349</v>
      </c>
      <c r="AG172" s="152">
        <f t="shared" si="150"/>
        <v>1662546</v>
      </c>
      <c r="AH172" s="151">
        <f t="shared" si="150"/>
        <v>1672134</v>
      </c>
      <c r="AI172" s="144">
        <f t="shared" si="150"/>
        <v>1672134</v>
      </c>
      <c r="AJ172" s="153">
        <f t="shared" si="150"/>
        <v>1773917</v>
      </c>
      <c r="AK172" s="10"/>
      <c r="AL172" s="151">
        <f>SUM(AL173:AL174)</f>
        <v>0</v>
      </c>
      <c r="AM172" s="153">
        <f>SUM(AM173:AM174)</f>
        <v>0</v>
      </c>
      <c r="AN172" s="10"/>
    </row>
    <row r="173" spans="1:40" s="467" customFormat="1" x14ac:dyDescent="0.2">
      <c r="A173" s="623"/>
      <c r="N173" s="10"/>
      <c r="P173" s="10"/>
      <c r="Q173" s="10"/>
      <c r="R173" s="10"/>
      <c r="S173" s="155">
        <f>+IF(SEPTIEMBRE!S173=0,"",SEPTIEMBRE!S173)</f>
        <v>3100003</v>
      </c>
      <c r="T173" s="159" t="str">
        <f>+IF(SEPTIEMBRE!T173=0,"",SEPTIEMBRE!T173)</f>
        <v>Entidades Públicas (Contraloria, Supersalud,…)</v>
      </c>
      <c r="U173" s="29">
        <f>+ENERO!U173</f>
        <v>2689964</v>
      </c>
      <c r="V173" s="17">
        <f>SEPTIEMBRE!V173+OCTUBRE!AL173</f>
        <v>0</v>
      </c>
      <c r="W173" s="17">
        <f>SEPTIEMBRE!W173+OCTUBRE!AM173</f>
        <v>0</v>
      </c>
      <c r="X173" s="20">
        <f>SUM(U173:W173)</f>
        <v>2689964</v>
      </c>
      <c r="Y173" s="21">
        <f>SEPTIEMBRE!AA173</f>
        <v>916047</v>
      </c>
      <c r="Z173" s="457">
        <v>101783</v>
      </c>
      <c r="AA173" s="20">
        <f>SUM(Y173:Z173)</f>
        <v>1017830</v>
      </c>
      <c r="AB173" s="21">
        <f>SEPTIEMBRE!AD173</f>
        <v>916047</v>
      </c>
      <c r="AC173" s="457">
        <v>101783</v>
      </c>
      <c r="AD173" s="20">
        <f>SUM(AB173:AC173)</f>
        <v>1017830</v>
      </c>
      <c r="AE173" s="21">
        <f>SEPTIEMBRE!AG173</f>
        <v>610698</v>
      </c>
      <c r="AF173" s="457">
        <v>305349</v>
      </c>
      <c r="AG173" s="20">
        <f>SUM(AE173:AF173)</f>
        <v>916047</v>
      </c>
      <c r="AH173" s="21">
        <f>X173-AA173</f>
        <v>1672134</v>
      </c>
      <c r="AI173" s="17">
        <f>X173-AD173</f>
        <v>1672134</v>
      </c>
      <c r="AJ173" s="18">
        <f>X173-AG173</f>
        <v>1773917</v>
      </c>
      <c r="AK173" s="10"/>
      <c r="AL173" s="455">
        <v>0</v>
      </c>
      <c r="AM173" s="458">
        <v>0</v>
      </c>
      <c r="AN173" s="10"/>
    </row>
    <row r="174" spans="1:40" s="467" customFormat="1" x14ac:dyDescent="0.2">
      <c r="A174" s="623"/>
      <c r="N174" s="10"/>
      <c r="P174" s="10"/>
      <c r="Q174" s="10"/>
      <c r="R174" s="10"/>
      <c r="S174" s="155">
        <f>+IF(SEPTIEMBRE!S174=0,"",SEPTIEMBRE!S174)</f>
        <v>3199999</v>
      </c>
      <c r="T174" s="159" t="str">
        <f>+IF(SEPTIEMBRE!T174=0,"",SEPTIEMBRE!T174)</f>
        <v>Vigencias Anteriores</v>
      </c>
      <c r="U174" s="29">
        <f>+ENERO!U174</f>
        <v>0</v>
      </c>
      <c r="V174" s="17">
        <f>SEPTIEMBRE!V174+OCTUBRE!AL174</f>
        <v>746499</v>
      </c>
      <c r="W174" s="17">
        <f>SEPTIEMBRE!W174+OCTUBRE!AM174</f>
        <v>0</v>
      </c>
      <c r="X174" s="20">
        <f>SUM(U174:W174)</f>
        <v>746499</v>
      </c>
      <c r="Y174" s="21">
        <f>SEPTIEMBRE!AA174</f>
        <v>746499</v>
      </c>
      <c r="Z174" s="457">
        <v>0</v>
      </c>
      <c r="AA174" s="20">
        <f>SUM(Y174:Z174)</f>
        <v>746499</v>
      </c>
      <c r="AB174" s="21">
        <f>SEPTIEMBRE!AD174</f>
        <v>746499</v>
      </c>
      <c r="AC174" s="457">
        <v>0</v>
      </c>
      <c r="AD174" s="20">
        <f>SUM(AB174:AC174)</f>
        <v>746499</v>
      </c>
      <c r="AE174" s="21">
        <f>SEPTIEMBRE!AG174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+IF(SEPTIEMBRE!S175=0,"",SEPTIEMBRE!S175)</f>
        <v/>
      </c>
      <c r="T175" s="649" t="str">
        <f>+IF(SEPTIEMBRE!T175=0,"",SEPTIEMBRE!T175)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+IF(SEPTIEMBRE!S176=0,"",SEPTIEMBRE!S176)</f>
        <v>320000</v>
      </c>
      <c r="T176" s="158" t="str">
        <f>+IF(SEPTIEMBRE!T176=0,"",SEPTIEMBRE!T176)</f>
        <v>Transf. Previsión y Seguridad Social</v>
      </c>
      <c r="U176" s="157">
        <f t="shared" ref="U176:AJ176" si="151">SUM(U177:U183)</f>
        <v>213299271</v>
      </c>
      <c r="V176" s="144">
        <f t="shared" si="151"/>
        <v>-14130741</v>
      </c>
      <c r="W176" s="144">
        <f t="shared" si="151"/>
        <v>0</v>
      </c>
      <c r="X176" s="152">
        <f t="shared" si="151"/>
        <v>199168530</v>
      </c>
      <c r="Y176" s="151">
        <f t="shared" si="151"/>
        <v>100682413</v>
      </c>
      <c r="Z176" s="144">
        <f t="shared" si="151"/>
        <v>7458862</v>
      </c>
      <c r="AA176" s="152">
        <f t="shared" si="151"/>
        <v>108141275</v>
      </c>
      <c r="AB176" s="151">
        <f t="shared" si="151"/>
        <v>100682413</v>
      </c>
      <c r="AC176" s="144">
        <f t="shared" si="151"/>
        <v>7458862</v>
      </c>
      <c r="AD176" s="152">
        <f t="shared" si="151"/>
        <v>108141275</v>
      </c>
      <c r="AE176" s="151">
        <f t="shared" si="151"/>
        <v>98710987</v>
      </c>
      <c r="AF176" s="144">
        <f t="shared" si="151"/>
        <v>7670931</v>
      </c>
      <c r="AG176" s="152">
        <f t="shared" si="151"/>
        <v>106381918</v>
      </c>
      <c r="AH176" s="151">
        <f t="shared" si="151"/>
        <v>91027255</v>
      </c>
      <c r="AI176" s="144">
        <f t="shared" si="151"/>
        <v>91027255</v>
      </c>
      <c r="AJ176" s="153">
        <f t="shared" si="151"/>
        <v>92786612</v>
      </c>
      <c r="AK176" s="10"/>
      <c r="AL176" s="151">
        <f>SUM(AL177:AL183)</f>
        <v>0</v>
      </c>
      <c r="AM176" s="153">
        <f>SUM(AM177:AM183)</f>
        <v>0</v>
      </c>
      <c r="AN176" s="10"/>
    </row>
    <row r="177" spans="1:40" s="467" customFormat="1" x14ac:dyDescent="0.2">
      <c r="A177" s="623"/>
      <c r="N177" s="10"/>
      <c r="P177" s="10"/>
      <c r="Q177" s="10"/>
      <c r="R177" s="10"/>
      <c r="S177" s="155">
        <f>+IF(SEPTIEMBRE!S177=0,"",SEPTIEMBRE!S177)</f>
        <v>3200100</v>
      </c>
      <c r="T177" s="159" t="str">
        <f>+IF(SEPTIEMBRE!T177=0,"",SEPTIEMBRE!T177)</f>
        <v>Pensiones y Jubilaciones (Pago Directo)</v>
      </c>
      <c r="U177" s="29">
        <f>+ENERO!U177</f>
        <v>104106866</v>
      </c>
      <c r="V177" s="17">
        <f>SEPTIEMBRE!V177+OCTUBRE!AL177</f>
        <v>0</v>
      </c>
      <c r="W177" s="17">
        <f>SEPTIEMBRE!W177+OCTUBRE!AM177</f>
        <v>0</v>
      </c>
      <c r="X177" s="20">
        <f t="shared" ref="X177:X183" si="152">SUM(U177:W177)</f>
        <v>104106866</v>
      </c>
      <c r="Y177" s="21">
        <f>SEPTIEMBRE!AA177</f>
        <v>73635363</v>
      </c>
      <c r="Z177" s="457">
        <v>7458862</v>
      </c>
      <c r="AA177" s="20">
        <f t="shared" ref="AA177:AA183" si="153">SUM(Y177:Z177)</f>
        <v>81094225</v>
      </c>
      <c r="AB177" s="21">
        <f>SEPTIEMBRE!AD177</f>
        <v>73635363</v>
      </c>
      <c r="AC177" s="457">
        <v>7458862</v>
      </c>
      <c r="AD177" s="20">
        <f t="shared" ref="AD177:AD183" si="154">SUM(AB177:AC177)</f>
        <v>81094225</v>
      </c>
      <c r="AE177" s="21">
        <f>SEPTIEMBRE!AG177</f>
        <v>72503971</v>
      </c>
      <c r="AF177" s="457">
        <v>7458862</v>
      </c>
      <c r="AG177" s="20">
        <f t="shared" ref="AG177:AG183" si="155">SUM(AE177:AF177)</f>
        <v>79962833</v>
      </c>
      <c r="AH177" s="21">
        <f t="shared" ref="AH177:AH183" si="156">X177-AA177</f>
        <v>23012641</v>
      </c>
      <c r="AI177" s="17">
        <f t="shared" ref="AI177:AI183" si="157">X177-AD177</f>
        <v>23012641</v>
      </c>
      <c r="AJ177" s="18">
        <f t="shared" ref="AJ177:AJ183" si="158">X177-AG177</f>
        <v>24144033</v>
      </c>
      <c r="AK177" s="10"/>
      <c r="AL177" s="455">
        <v>0</v>
      </c>
      <c r="AM177" s="458">
        <v>0</v>
      </c>
      <c r="AN177" s="10"/>
    </row>
    <row r="178" spans="1:40" s="467" customFormat="1" x14ac:dyDescent="0.2">
      <c r="A178" s="623"/>
      <c r="N178" s="10"/>
      <c r="P178" s="10"/>
      <c r="Q178" s="10"/>
      <c r="R178" s="10"/>
      <c r="S178" s="155">
        <f>+IF(SEPTIEMBRE!S178=0,"",SEPTIEMBRE!S178)</f>
        <v>3200200</v>
      </c>
      <c r="T178" s="159" t="str">
        <f>+IF(SEPTIEMBRE!T178=0,"",SEPTIEMBRE!T178)</f>
        <v>Cesantías Pago Directo (Pago Directo)</v>
      </c>
      <c r="U178" s="29">
        <f>+ENERO!U178</f>
        <v>22532311</v>
      </c>
      <c r="V178" s="17">
        <f>SEPTIEMBRE!V178+OCTUBRE!AL178</f>
        <v>0</v>
      </c>
      <c r="W178" s="17">
        <f>SEPTIEMBRE!W178+OCTUBRE!AM178</f>
        <v>0</v>
      </c>
      <c r="X178" s="20">
        <f t="shared" si="152"/>
        <v>22532311</v>
      </c>
      <c r="Y178" s="21">
        <f>SEPTIEMBRE!AA178</f>
        <v>5296242</v>
      </c>
      <c r="Z178" s="457">
        <v>0</v>
      </c>
      <c r="AA178" s="20">
        <f t="shared" si="153"/>
        <v>5296242</v>
      </c>
      <c r="AB178" s="21">
        <f>SEPTIEMBRE!AD178</f>
        <v>5296242</v>
      </c>
      <c r="AC178" s="457">
        <v>0</v>
      </c>
      <c r="AD178" s="20">
        <f t="shared" si="154"/>
        <v>5296242</v>
      </c>
      <c r="AE178" s="21">
        <f>SEPTIEMBRE!AG178</f>
        <v>5296242</v>
      </c>
      <c r="AF178" s="457">
        <v>0</v>
      </c>
      <c r="AG178" s="20">
        <f t="shared" si="155"/>
        <v>5296242</v>
      </c>
      <c r="AH178" s="21">
        <f t="shared" si="156"/>
        <v>17236069</v>
      </c>
      <c r="AI178" s="17">
        <f t="shared" si="157"/>
        <v>17236069</v>
      </c>
      <c r="AJ178" s="18">
        <f t="shared" si="158"/>
        <v>17236069</v>
      </c>
      <c r="AK178" s="10"/>
      <c r="AL178" s="455">
        <v>0</v>
      </c>
      <c r="AM178" s="458">
        <v>0</v>
      </c>
      <c r="AN178" s="10"/>
    </row>
    <row r="179" spans="1:40" s="467" customFormat="1" x14ac:dyDescent="0.2">
      <c r="A179" s="623"/>
      <c r="N179" s="10"/>
      <c r="P179" s="10"/>
      <c r="Q179" s="10"/>
      <c r="R179" s="10"/>
      <c r="S179" s="155">
        <f>+IF(SEPTIEMBRE!S179=0,"",SEPTIEMBRE!S179)</f>
        <v>3200300</v>
      </c>
      <c r="T179" s="159" t="str">
        <f>+IF(SEPTIEMBRE!T179=0,"",SEPTIEMBRE!T179)</f>
        <v>Bonos, Cuotas de Bonos y cuotas partes jubilatorias</v>
      </c>
      <c r="U179" s="29">
        <f>+ENERO!U179</f>
        <v>70000000</v>
      </c>
      <c r="V179" s="17">
        <f>SEPTIEMBRE!V179+OCTUBRE!AL179</f>
        <v>-17721746</v>
      </c>
      <c r="W179" s="17">
        <f>SEPTIEMBRE!W179+OCTUBRE!AM179</f>
        <v>0</v>
      </c>
      <c r="X179" s="20">
        <f t="shared" si="152"/>
        <v>52278254</v>
      </c>
      <c r="Y179" s="21">
        <f>SEPTIEMBRE!AA179</f>
        <v>4205715</v>
      </c>
      <c r="Z179" s="457">
        <v>0</v>
      </c>
      <c r="AA179" s="20">
        <f t="shared" si="153"/>
        <v>4205715</v>
      </c>
      <c r="AB179" s="21">
        <f>SEPTIEMBRE!AD179</f>
        <v>4205715</v>
      </c>
      <c r="AC179" s="457">
        <v>0</v>
      </c>
      <c r="AD179" s="20">
        <f t="shared" si="154"/>
        <v>4205715</v>
      </c>
      <c r="AE179" s="21">
        <f>SEPTIEMBRE!AG179</f>
        <v>4205715</v>
      </c>
      <c r="AF179" s="457">
        <v>0</v>
      </c>
      <c r="AG179" s="20">
        <f t="shared" si="155"/>
        <v>4205715</v>
      </c>
      <c r="AH179" s="21">
        <f t="shared" si="156"/>
        <v>48072539</v>
      </c>
      <c r="AI179" s="17">
        <f t="shared" si="157"/>
        <v>48072539</v>
      </c>
      <c r="AJ179" s="18">
        <f t="shared" si="158"/>
        <v>48072539</v>
      </c>
      <c r="AK179" s="10"/>
      <c r="AL179" s="455">
        <v>0</v>
      </c>
      <c r="AM179" s="458">
        <v>0</v>
      </c>
      <c r="AN179" s="10"/>
    </row>
    <row r="180" spans="1:40" s="467" customFormat="1" x14ac:dyDescent="0.2">
      <c r="A180" s="623"/>
      <c r="N180" s="10"/>
      <c r="P180" s="10"/>
      <c r="Q180" s="10"/>
      <c r="R180" s="10"/>
      <c r="S180" s="155">
        <f>+IF(SEPTIEMBRE!S180=0,"",SEPTIEMBRE!S180)</f>
        <v>3200400</v>
      </c>
      <c r="T180" s="159" t="str">
        <f>+IF(SEPTIEMBRE!T180=0,"",SEPTIEMBRE!T180)</f>
        <v>Intereses a las cesantias</v>
      </c>
      <c r="U180" s="29">
        <f>+ENERO!U180</f>
        <v>14660094</v>
      </c>
      <c r="V180" s="17">
        <f>SEPTIEMBRE!V180+OCTUBRE!AL180</f>
        <v>0</v>
      </c>
      <c r="W180" s="17">
        <f>SEPTIEMBRE!W180+OCTUBRE!AM180</f>
        <v>0</v>
      </c>
      <c r="X180" s="20">
        <f t="shared" si="152"/>
        <v>14660094</v>
      </c>
      <c r="Y180" s="21">
        <f>SEPTIEMBRE!AA180</f>
        <v>11954088</v>
      </c>
      <c r="Z180" s="457">
        <v>0</v>
      </c>
      <c r="AA180" s="20">
        <f t="shared" si="153"/>
        <v>11954088</v>
      </c>
      <c r="AB180" s="21">
        <f>SEPTIEMBRE!AD180</f>
        <v>11954088</v>
      </c>
      <c r="AC180" s="457">
        <v>0</v>
      </c>
      <c r="AD180" s="20">
        <f t="shared" si="154"/>
        <v>11954088</v>
      </c>
      <c r="AE180" s="21">
        <f>SEPTIEMBRE!AG180</f>
        <v>11114054</v>
      </c>
      <c r="AF180" s="457">
        <v>212069</v>
      </c>
      <c r="AG180" s="20">
        <f t="shared" si="155"/>
        <v>11326123</v>
      </c>
      <c r="AH180" s="21">
        <f t="shared" si="156"/>
        <v>2706006</v>
      </c>
      <c r="AI180" s="17">
        <f t="shared" si="157"/>
        <v>2706006</v>
      </c>
      <c r="AJ180" s="18">
        <f t="shared" si="158"/>
        <v>3333971</v>
      </c>
      <c r="AK180" s="10"/>
      <c r="AL180" s="455">
        <v>0</v>
      </c>
      <c r="AM180" s="458">
        <v>0</v>
      </c>
      <c r="AN180" s="10"/>
    </row>
    <row r="181" spans="1:40" s="467" customFormat="1" x14ac:dyDescent="0.2">
      <c r="A181" s="623"/>
      <c r="N181" s="10"/>
      <c r="P181" s="10"/>
      <c r="Q181" s="10"/>
      <c r="R181" s="10"/>
      <c r="S181" s="155" t="str">
        <f>+IF(SEPTIEMBRE!S181=0,"",SEPTIEMBRE!S181)</f>
        <v/>
      </c>
      <c r="T181" s="159" t="str">
        <f>+IF(SEPTIEMBRE!T181=0,"",SEPTIEMBRE!T181)</f>
        <v/>
      </c>
      <c r="U181" s="29">
        <f>+ENERO!U181</f>
        <v>0</v>
      </c>
      <c r="V181" s="17">
        <f>SEPTIEMBRE!V181+OCTUBRE!AL181</f>
        <v>0</v>
      </c>
      <c r="W181" s="17">
        <f>SEPTIEMBRE!W181+OCTUBRE!AM181</f>
        <v>0</v>
      </c>
      <c r="X181" s="20">
        <f t="shared" si="152"/>
        <v>0</v>
      </c>
      <c r="Y181" s="21">
        <f>SEPTIEMBRE!AA181</f>
        <v>0</v>
      </c>
      <c r="Z181" s="457">
        <v>0</v>
      </c>
      <c r="AA181" s="20">
        <f t="shared" si="153"/>
        <v>0</v>
      </c>
      <c r="AB181" s="21">
        <f>SEPTIEMBRE!AD181</f>
        <v>0</v>
      </c>
      <c r="AC181" s="457">
        <v>0</v>
      </c>
      <c r="AD181" s="20">
        <f t="shared" si="154"/>
        <v>0</v>
      </c>
      <c r="AE181" s="21">
        <f>SEPTIEMBRE!AG181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N182" s="10"/>
      <c r="P182" s="10"/>
      <c r="Q182" s="10"/>
      <c r="R182" s="10"/>
      <c r="S182" s="155" t="str">
        <f>+IF(SEPTIEMBRE!S182=0,"",SEPTIEMBRE!S182)</f>
        <v/>
      </c>
      <c r="T182" s="159" t="str">
        <f>+IF(SEPTIEMBRE!T182=0,"",SEPTIEMBRE!T182)</f>
        <v/>
      </c>
      <c r="U182" s="29">
        <f>+ENERO!U182</f>
        <v>0</v>
      </c>
      <c r="V182" s="17">
        <f>SEPTIEMBRE!V182+OCTUBRE!AL182</f>
        <v>0</v>
      </c>
      <c r="W182" s="17">
        <f>SEPTIEMBRE!W182+OCTUBRE!AM182</f>
        <v>0</v>
      </c>
      <c r="X182" s="20">
        <f t="shared" si="152"/>
        <v>0</v>
      </c>
      <c r="Y182" s="21">
        <f>SEPTIEMBRE!AA182</f>
        <v>0</v>
      </c>
      <c r="Z182" s="457">
        <v>0</v>
      </c>
      <c r="AA182" s="20">
        <f t="shared" si="153"/>
        <v>0</v>
      </c>
      <c r="AB182" s="21">
        <f>SEPTIEMBRE!AD182</f>
        <v>0</v>
      </c>
      <c r="AC182" s="457">
        <v>0</v>
      </c>
      <c r="AD182" s="20">
        <f t="shared" si="154"/>
        <v>0</v>
      </c>
      <c r="AE182" s="21">
        <f>SEPTIEMBRE!AG182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N183" s="10"/>
      <c r="P183" s="10"/>
      <c r="Q183" s="10"/>
      <c r="R183" s="10"/>
      <c r="S183" s="155">
        <f>+IF(SEPTIEMBRE!S183=0,"",SEPTIEMBRE!S183)</f>
        <v>3299999</v>
      </c>
      <c r="T183" s="159" t="str">
        <f>+IF(SEPTIEMBRE!T183=0,"",SEPTIEMBRE!T183)</f>
        <v>Vigencias Anteriores</v>
      </c>
      <c r="U183" s="29">
        <f>+ENERO!U183</f>
        <v>2000000</v>
      </c>
      <c r="V183" s="17">
        <f>SEPTIEMBRE!V183+OCTUBRE!AL183</f>
        <v>3591005</v>
      </c>
      <c r="W183" s="17">
        <f>SEPTIEMBRE!W183+OCTUBRE!AM183</f>
        <v>0</v>
      </c>
      <c r="X183" s="20">
        <f t="shared" si="152"/>
        <v>5591005</v>
      </c>
      <c r="Y183" s="21">
        <f>SEPTIEMBRE!AA183</f>
        <v>5591005</v>
      </c>
      <c r="Z183" s="457">
        <v>0</v>
      </c>
      <c r="AA183" s="20">
        <f t="shared" si="153"/>
        <v>5591005</v>
      </c>
      <c r="AB183" s="21">
        <f>SEPTIEMBRE!AD183</f>
        <v>5591005</v>
      </c>
      <c r="AC183" s="457">
        <v>0</v>
      </c>
      <c r="AD183" s="20">
        <f t="shared" si="154"/>
        <v>5591005</v>
      </c>
      <c r="AE183" s="21">
        <f>SEPTIEMBRE!AG183</f>
        <v>5591005</v>
      </c>
      <c r="AF183" s="457">
        <v>0</v>
      </c>
      <c r="AG183" s="20">
        <f t="shared" si="155"/>
        <v>5591005</v>
      </c>
      <c r="AH183" s="21">
        <f t="shared" si="156"/>
        <v>0</v>
      </c>
      <c r="AI183" s="17">
        <f t="shared" si="157"/>
        <v>0</v>
      </c>
      <c r="AJ183" s="18">
        <f t="shared" si="158"/>
        <v>0</v>
      </c>
      <c r="AK183" s="10"/>
      <c r="AL183" s="455">
        <v>0</v>
      </c>
      <c r="AM183" s="458">
        <v>0</v>
      </c>
      <c r="AN183" s="10"/>
    </row>
    <row r="184" spans="1:40" s="467" customFormat="1" ht="15.75" x14ac:dyDescent="0.2">
      <c r="A184" s="623"/>
      <c r="N184" s="10"/>
      <c r="P184" s="10"/>
      <c r="Q184" s="10"/>
      <c r="R184" s="10"/>
      <c r="S184" s="448" t="str">
        <f>+IF(SEPTIEMBRE!S184=0,"",SEPTIEMBRE!S184)</f>
        <v/>
      </c>
      <c r="T184" s="649" t="str">
        <f>+IF(SEPTIEMBRE!T184=0,"",SEPTIEMBRE!T184)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+IF(SEPTIEMBRE!S185=0,"",SEPTIEMBRE!S185)</f>
        <v>3300000</v>
      </c>
      <c r="T185" s="158" t="str">
        <f>+IF(SEPTIEMBRE!T185=0,"",SEPTIEMBRE!T185)</f>
        <v>Otras Transferencias</v>
      </c>
      <c r="U185" s="157">
        <f t="shared" ref="U185:AJ185" si="159">U186+U187+U191</f>
        <v>1500000</v>
      </c>
      <c r="V185" s="144">
        <f t="shared" si="159"/>
        <v>476550</v>
      </c>
      <c r="W185" s="144">
        <f t="shared" si="159"/>
        <v>1000000</v>
      </c>
      <c r="X185" s="152">
        <f t="shared" si="159"/>
        <v>2976550</v>
      </c>
      <c r="Y185" s="151">
        <f t="shared" si="159"/>
        <v>1300033</v>
      </c>
      <c r="Z185" s="144">
        <f t="shared" si="159"/>
        <v>383211</v>
      </c>
      <c r="AA185" s="152">
        <f t="shared" si="159"/>
        <v>1683244</v>
      </c>
      <c r="AB185" s="151">
        <f t="shared" si="159"/>
        <v>1300033</v>
      </c>
      <c r="AC185" s="144">
        <f t="shared" si="159"/>
        <v>383211</v>
      </c>
      <c r="AD185" s="152">
        <f t="shared" si="159"/>
        <v>1683244</v>
      </c>
      <c r="AE185" s="151">
        <f t="shared" si="159"/>
        <v>615750</v>
      </c>
      <c r="AF185" s="144">
        <f t="shared" si="159"/>
        <v>429745</v>
      </c>
      <c r="AG185" s="152">
        <f t="shared" si="159"/>
        <v>1045495</v>
      </c>
      <c r="AH185" s="151">
        <f t="shared" si="159"/>
        <v>1293306</v>
      </c>
      <c r="AI185" s="144">
        <f t="shared" si="159"/>
        <v>1293306</v>
      </c>
      <c r="AJ185" s="153">
        <f t="shared" si="159"/>
        <v>1931055</v>
      </c>
      <c r="AK185" s="10"/>
      <c r="AL185" s="151">
        <f>AL186+AL187+AL191</f>
        <v>0</v>
      </c>
      <c r="AM185" s="153">
        <f>AM186+AM187+AM191</f>
        <v>1000000</v>
      </c>
      <c r="AN185" s="10"/>
    </row>
    <row r="186" spans="1:40" s="467" customFormat="1" x14ac:dyDescent="0.2">
      <c r="A186" s="623"/>
      <c r="N186" s="10"/>
      <c r="P186" s="10"/>
      <c r="Q186" s="10"/>
      <c r="R186" s="10"/>
      <c r="S186" s="155">
        <f>+IF(SEPTIEMBRE!S186=0,"",SEPTIEMBRE!S186)</f>
        <v>3300100</v>
      </c>
      <c r="T186" s="159" t="str">
        <f>+IF(SEPTIEMBRE!T186=0,"",SEPTIEMBRE!T186)</f>
        <v>Sentencias y Conciliaciones</v>
      </c>
      <c r="U186" s="29">
        <f>+ENERO!U186</f>
        <v>0</v>
      </c>
      <c r="V186" s="17">
        <f>SEPTIEMBRE!V186+OCTUBRE!AL186</f>
        <v>0</v>
      </c>
      <c r="W186" s="17">
        <f>SEPTIEMBRE!W186+OCTUBRE!AM186</f>
        <v>0</v>
      </c>
      <c r="X186" s="20">
        <f>SUM(U186:W186)</f>
        <v>0</v>
      </c>
      <c r="Y186" s="21">
        <f>SEPTIEMBRE!AA186</f>
        <v>0</v>
      </c>
      <c r="Z186" s="457">
        <v>0</v>
      </c>
      <c r="AA186" s="20">
        <f>SUM(Y186:Z186)</f>
        <v>0</v>
      </c>
      <c r="AB186" s="21">
        <f>SEPTIEMBRE!AD186</f>
        <v>0</v>
      </c>
      <c r="AC186" s="457">
        <v>0</v>
      </c>
      <c r="AD186" s="20">
        <f>SUM(AB186:AC186)</f>
        <v>0</v>
      </c>
      <c r="AE186" s="21">
        <f>SEPTIEMBRE!AG186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+IF(SEPTIEMBRE!S187=0,"",SEPTIEMBRE!S187)</f>
        <v>3300200</v>
      </c>
      <c r="T187" s="159" t="str">
        <f>+IF(SEPTIEMBRE!T187=0,"",SEPTIEMBRE!T187)</f>
        <v>Destinatarios de otras transferencias</v>
      </c>
      <c r="U187" s="29">
        <f t="shared" ref="U187:AM187" si="160">SUM(U188:U190)</f>
        <v>1500000</v>
      </c>
      <c r="V187" s="17">
        <f t="shared" si="160"/>
        <v>0</v>
      </c>
      <c r="W187" s="17">
        <f t="shared" si="160"/>
        <v>1000000</v>
      </c>
      <c r="X187" s="20">
        <f t="shared" si="160"/>
        <v>2500000</v>
      </c>
      <c r="Y187" s="21">
        <f t="shared" si="160"/>
        <v>823483</v>
      </c>
      <c r="Z187" s="169">
        <f t="shared" si="160"/>
        <v>383211</v>
      </c>
      <c r="AA187" s="20">
        <f t="shared" si="160"/>
        <v>1206694</v>
      </c>
      <c r="AB187" s="21">
        <f t="shared" si="160"/>
        <v>823483</v>
      </c>
      <c r="AC187" s="169">
        <f t="shared" si="160"/>
        <v>383211</v>
      </c>
      <c r="AD187" s="20">
        <f t="shared" si="160"/>
        <v>1206694</v>
      </c>
      <c r="AE187" s="21">
        <f t="shared" si="160"/>
        <v>139200</v>
      </c>
      <c r="AF187" s="169">
        <f t="shared" si="160"/>
        <v>429745</v>
      </c>
      <c r="AG187" s="20">
        <f t="shared" si="160"/>
        <v>568945</v>
      </c>
      <c r="AH187" s="21">
        <f t="shared" si="160"/>
        <v>1293306</v>
      </c>
      <c r="AI187" s="17">
        <f t="shared" si="160"/>
        <v>1293306</v>
      </c>
      <c r="AJ187" s="18">
        <f t="shared" si="160"/>
        <v>1931055</v>
      </c>
      <c r="AK187" s="10"/>
      <c r="AL187" s="31">
        <f t="shared" si="160"/>
        <v>0</v>
      </c>
      <c r="AM187" s="28">
        <f t="shared" si="160"/>
        <v>1000000</v>
      </c>
      <c r="AN187" s="10"/>
    </row>
    <row r="188" spans="1:40" s="467" customFormat="1" x14ac:dyDescent="0.2">
      <c r="A188" s="623"/>
      <c r="B188" s="554"/>
      <c r="N188" s="10"/>
      <c r="P188" s="10"/>
      <c r="Q188" s="10"/>
      <c r="R188" s="10"/>
      <c r="S188" s="156" t="str">
        <f>+IF(SEPTIEMBRE!S188=0,"",SEPTIEMBRE!S188)</f>
        <v>3300200-1</v>
      </c>
      <c r="T188" s="159" t="str">
        <f>+IF(SEPTIEMBRE!T188=0,"",SEPTIEMBRE!T188)</f>
        <v>COHAN</v>
      </c>
      <c r="U188" s="29">
        <f>+ENERO!U188</f>
        <v>1500000</v>
      </c>
      <c r="V188" s="17">
        <f>SEPTIEMBRE!V188+OCTUBRE!AL188</f>
        <v>0</v>
      </c>
      <c r="W188" s="17">
        <f>SEPTIEMBRE!W188+OCTUBRE!AM188</f>
        <v>1000000</v>
      </c>
      <c r="X188" s="20">
        <f>SUM(U188:W188)</f>
        <v>2500000</v>
      </c>
      <c r="Y188" s="21">
        <f>SEPTIEMBRE!AA188</f>
        <v>823483</v>
      </c>
      <c r="Z188" s="457">
        <v>383211</v>
      </c>
      <c r="AA188" s="20">
        <f>SUM(Y188:Z188)</f>
        <v>1206694</v>
      </c>
      <c r="AB188" s="21">
        <f>SEPTIEMBRE!AD188</f>
        <v>823483</v>
      </c>
      <c r="AC188" s="457">
        <v>383211</v>
      </c>
      <c r="AD188" s="20">
        <f>SUM(AB188:AC188)</f>
        <v>1206694</v>
      </c>
      <c r="AE188" s="21">
        <f>SEPTIEMBRE!AG188</f>
        <v>139200</v>
      </c>
      <c r="AF188" s="457">
        <v>429745</v>
      </c>
      <c r="AG188" s="20">
        <f>SUM(AE188:AF188)</f>
        <v>568945</v>
      </c>
      <c r="AH188" s="21">
        <f>X188-AA188</f>
        <v>1293306</v>
      </c>
      <c r="AI188" s="17">
        <f>X188-AD188</f>
        <v>1293306</v>
      </c>
      <c r="AJ188" s="18">
        <f>X188-AG188</f>
        <v>1931055</v>
      </c>
      <c r="AK188" s="10"/>
      <c r="AL188" s="455">
        <v>0</v>
      </c>
      <c r="AM188" s="458">
        <v>1000000</v>
      </c>
      <c r="AN188" s="10"/>
    </row>
    <row r="189" spans="1:40" s="467" customFormat="1" x14ac:dyDescent="0.2">
      <c r="A189" s="623"/>
      <c r="B189" s="554"/>
      <c r="N189" s="10"/>
      <c r="P189" s="10"/>
      <c r="Q189" s="10"/>
      <c r="R189" s="10"/>
      <c r="S189" s="156" t="str">
        <f>+IF(SEPTIEMBRE!S189=0,"",SEPTIEMBRE!S189)</f>
        <v>3300200-2</v>
      </c>
      <c r="T189" s="159" t="str">
        <f>+IF(SEPTIEMBRE!T189=0,"",SEPTIEMBRE!T189)</f>
        <v>AESA</v>
      </c>
      <c r="U189" s="29">
        <f>+ENERO!U189</f>
        <v>0</v>
      </c>
      <c r="V189" s="17">
        <f>SEPTIEMBRE!V189+OCTUBRE!AL189</f>
        <v>0</v>
      </c>
      <c r="W189" s="17">
        <f>SEPTIEMBRE!W189+OCTUBRE!AM189</f>
        <v>0</v>
      </c>
      <c r="X189" s="20">
        <f>SUM(U189:W189)</f>
        <v>0</v>
      </c>
      <c r="Y189" s="21">
        <f>SEPTIEMBRE!AA189</f>
        <v>0</v>
      </c>
      <c r="Z189" s="457">
        <v>0</v>
      </c>
      <c r="AA189" s="20">
        <f>SUM(Y189:Z189)</f>
        <v>0</v>
      </c>
      <c r="AB189" s="21">
        <f>SEPTIEMBRE!AD189</f>
        <v>0</v>
      </c>
      <c r="AC189" s="457">
        <v>0</v>
      </c>
      <c r="AD189" s="20">
        <f>SUM(AB189:AC189)</f>
        <v>0</v>
      </c>
      <c r="AE189" s="21">
        <f>SEPTIEMBRE!AG189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+IF(SEPTIEMBRE!S190=0,"",SEPTIEMBRE!S190)</f>
        <v>3300200-3</v>
      </c>
      <c r="T190" s="159" t="str">
        <f>+IF(SEPTIEMBRE!T190=0,"",SEPTIEMBRE!T190)</f>
        <v xml:space="preserve">OTRAS </v>
      </c>
      <c r="U190" s="29">
        <f>+ENERO!U190</f>
        <v>0</v>
      </c>
      <c r="V190" s="17">
        <f>SEPTIEMBRE!V190+OCTUBRE!AL190</f>
        <v>0</v>
      </c>
      <c r="W190" s="17">
        <f>SEPTIEMBRE!W190+OCTUBRE!AM190</f>
        <v>0</v>
      </c>
      <c r="X190" s="20">
        <f>SUM(U190:W190)</f>
        <v>0</v>
      </c>
      <c r="Y190" s="21">
        <f>SEPTIEMBRE!AA190</f>
        <v>0</v>
      </c>
      <c r="Z190" s="457">
        <v>0</v>
      </c>
      <c r="AA190" s="20">
        <f>SUM(Y190:Z190)</f>
        <v>0</v>
      </c>
      <c r="AB190" s="21">
        <f>SEPTIEMBRE!AD190</f>
        <v>0</v>
      </c>
      <c r="AC190" s="457">
        <v>0</v>
      </c>
      <c r="AD190" s="20">
        <f>SUM(AB190:AC190)</f>
        <v>0</v>
      </c>
      <c r="AE190" s="21">
        <f>SEPTIEMBRE!AG190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+IF(SEPTIEMBRE!S191=0,"",SEPTIEMBRE!S191)</f>
        <v>3399999</v>
      </c>
      <c r="T191" s="159" t="str">
        <f>+IF(SEPTIEMBRE!T191=0,"",SEPTIEMBRE!T191)</f>
        <v>Vigencias Anteriores</v>
      </c>
      <c r="U191" s="29">
        <f>+ENERO!U191</f>
        <v>0</v>
      </c>
      <c r="V191" s="17">
        <f>SEPTIEMBRE!V191+OCTUBRE!AL191</f>
        <v>476550</v>
      </c>
      <c r="W191" s="17">
        <f>SEPTIEMBRE!W191+OCTUBRE!AM191</f>
        <v>0</v>
      </c>
      <c r="X191" s="20">
        <f>SUM(U191:W191)</f>
        <v>476550</v>
      </c>
      <c r="Y191" s="21">
        <f>SEPTIEMBRE!AA191</f>
        <v>476550</v>
      </c>
      <c r="Z191" s="457">
        <v>0</v>
      </c>
      <c r="AA191" s="20">
        <f>SUM(Y191:Z191)</f>
        <v>476550</v>
      </c>
      <c r="AB191" s="21">
        <f>SEPTIEMBRE!AD191</f>
        <v>476550</v>
      </c>
      <c r="AC191" s="457">
        <v>0</v>
      </c>
      <c r="AD191" s="20">
        <f>SUM(AB191:AC191)</f>
        <v>476550</v>
      </c>
      <c r="AE191" s="21">
        <f>SEPTIEMBRE!AG191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+IF(SEPTIEMBRE!S192=0,"",SEPTIEMBRE!S192)</f>
        <v/>
      </c>
      <c r="T192" s="649" t="str">
        <f>+IF(SEPTIEMBRE!T192=0,"",SEPTIEMBRE!T192)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+IF(SEPTIEMBRE!S193=0,"",SEPTIEMBRE!S193)</f>
        <v>4000000</v>
      </c>
      <c r="T193" s="588" t="str">
        <f>+IF(SEPTIEMBRE!T193=0,"",SEPTIEMBRE!T193)</f>
        <v>GASTOS  DE PRESTACION DE SERVICIOS</v>
      </c>
      <c r="U193" s="589">
        <f t="shared" ref="U193:AJ193" si="161">U194</f>
        <v>355892858</v>
      </c>
      <c r="V193" s="590">
        <f t="shared" si="161"/>
        <v>15217291</v>
      </c>
      <c r="W193" s="590">
        <f t="shared" si="161"/>
        <v>49783068</v>
      </c>
      <c r="X193" s="591">
        <f t="shared" si="161"/>
        <v>420893217</v>
      </c>
      <c r="Y193" s="464">
        <f t="shared" si="161"/>
        <v>290374340</v>
      </c>
      <c r="Z193" s="590">
        <f t="shared" si="161"/>
        <v>5340778</v>
      </c>
      <c r="AA193" s="591">
        <f t="shared" si="161"/>
        <v>295715118</v>
      </c>
      <c r="AB193" s="464">
        <f t="shared" si="161"/>
        <v>290347026</v>
      </c>
      <c r="AC193" s="590">
        <f t="shared" si="161"/>
        <v>5340778</v>
      </c>
      <c r="AD193" s="591">
        <f t="shared" si="161"/>
        <v>295687804</v>
      </c>
      <c r="AE193" s="464">
        <f t="shared" si="161"/>
        <v>195303804</v>
      </c>
      <c r="AF193" s="590">
        <f t="shared" si="161"/>
        <v>30007115</v>
      </c>
      <c r="AG193" s="591">
        <f t="shared" si="161"/>
        <v>225310919</v>
      </c>
      <c r="AH193" s="464">
        <f t="shared" si="161"/>
        <v>125178099</v>
      </c>
      <c r="AI193" s="590">
        <f t="shared" si="161"/>
        <v>125205413</v>
      </c>
      <c r="AJ193" s="465">
        <f t="shared" si="161"/>
        <v>195582298</v>
      </c>
      <c r="AK193" s="10"/>
      <c r="AL193" s="151">
        <f>AL194</f>
        <v>0</v>
      </c>
      <c r="AM193" s="153">
        <f>AM194</f>
        <v>32000000</v>
      </c>
      <c r="AN193" s="10"/>
    </row>
    <row r="194" spans="1:40" s="467" customFormat="1" ht="15" x14ac:dyDescent="0.2">
      <c r="A194" s="623"/>
      <c r="B194" s="554"/>
      <c r="N194" s="10"/>
      <c r="P194" s="10"/>
      <c r="Q194" s="10"/>
      <c r="R194" s="10"/>
      <c r="S194" s="34">
        <f>+IF(SEPTIEMBRE!S194=0,"",SEPTIEMBRE!S194)</f>
        <v>4100000</v>
      </c>
      <c r="T194" s="158" t="str">
        <f>+IF(SEPTIEMBRE!T194=0,"",SEPTIEMBRE!T194)</f>
        <v>Insumos y Suministros Hospitalarios</v>
      </c>
      <c r="U194" s="157">
        <f t="shared" ref="U194:AJ194" si="162">U195+U203+U205</f>
        <v>355892858</v>
      </c>
      <c r="V194" s="144">
        <f t="shared" si="162"/>
        <v>15217291</v>
      </c>
      <c r="W194" s="144">
        <f t="shared" si="162"/>
        <v>49783068</v>
      </c>
      <c r="X194" s="152">
        <f t="shared" si="162"/>
        <v>420893217</v>
      </c>
      <c r="Y194" s="151">
        <f t="shared" si="162"/>
        <v>290374340</v>
      </c>
      <c r="Z194" s="144">
        <f t="shared" si="162"/>
        <v>5340778</v>
      </c>
      <c r="AA194" s="152">
        <f t="shared" si="162"/>
        <v>295715118</v>
      </c>
      <c r="AB194" s="151">
        <f t="shared" si="162"/>
        <v>290347026</v>
      </c>
      <c r="AC194" s="144">
        <f t="shared" si="162"/>
        <v>5340778</v>
      </c>
      <c r="AD194" s="152">
        <f t="shared" si="162"/>
        <v>295687804</v>
      </c>
      <c r="AE194" s="151">
        <f t="shared" si="162"/>
        <v>195303804</v>
      </c>
      <c r="AF194" s="144">
        <f t="shared" si="162"/>
        <v>30007115</v>
      </c>
      <c r="AG194" s="152">
        <f t="shared" si="162"/>
        <v>225310919</v>
      </c>
      <c r="AH194" s="151">
        <f t="shared" si="162"/>
        <v>125178099</v>
      </c>
      <c r="AI194" s="144">
        <f t="shared" si="162"/>
        <v>125205413</v>
      </c>
      <c r="AJ194" s="153">
        <f t="shared" si="162"/>
        <v>195582298</v>
      </c>
      <c r="AK194" s="12"/>
      <c r="AL194" s="151">
        <f>AL195+AL203+AL205</f>
        <v>0</v>
      </c>
      <c r="AM194" s="153">
        <f>AM195+AM203+AM205</f>
        <v>32000000</v>
      </c>
      <c r="AN194" s="10"/>
    </row>
    <row r="195" spans="1:40" s="467" customFormat="1" x14ac:dyDescent="0.2">
      <c r="A195" s="623"/>
      <c r="B195" s="554"/>
      <c r="N195" s="10"/>
      <c r="P195" s="10"/>
      <c r="Q195" s="10"/>
      <c r="R195" s="10"/>
      <c r="S195" s="155">
        <f>+IF(SEPTIEMBRE!S195=0,"",SEPTIEMBRE!S195)</f>
        <v>4100100</v>
      </c>
      <c r="T195" s="159" t="str">
        <f>+IF(SEPTIEMBRE!T195=0,"",SEPTIEMBRE!T195)</f>
        <v>Compra de Bienes para la Prestacion de servicios</v>
      </c>
      <c r="U195" s="29">
        <f t="shared" ref="U195:AJ195" si="163">SUM(U196:U202)</f>
        <v>282124359</v>
      </c>
      <c r="V195" s="17">
        <f t="shared" si="163"/>
        <v>0</v>
      </c>
      <c r="W195" s="17">
        <f t="shared" si="163"/>
        <v>49783068</v>
      </c>
      <c r="X195" s="20">
        <f t="shared" si="163"/>
        <v>331907427</v>
      </c>
      <c r="Y195" s="21">
        <f t="shared" si="163"/>
        <v>216725509</v>
      </c>
      <c r="Z195" s="169">
        <f t="shared" si="163"/>
        <v>3208582</v>
      </c>
      <c r="AA195" s="20">
        <f t="shared" si="163"/>
        <v>219934091</v>
      </c>
      <c r="AB195" s="21">
        <f t="shared" si="163"/>
        <v>216698195</v>
      </c>
      <c r="AC195" s="169">
        <f t="shared" si="163"/>
        <v>3208582</v>
      </c>
      <c r="AD195" s="20">
        <f t="shared" si="163"/>
        <v>219906777</v>
      </c>
      <c r="AE195" s="21">
        <f t="shared" si="163"/>
        <v>123007783</v>
      </c>
      <c r="AF195" s="169">
        <f t="shared" si="163"/>
        <v>28164993</v>
      </c>
      <c r="AG195" s="20">
        <f t="shared" si="163"/>
        <v>151172776</v>
      </c>
      <c r="AH195" s="21">
        <f t="shared" si="163"/>
        <v>111973336</v>
      </c>
      <c r="AI195" s="17">
        <f t="shared" si="163"/>
        <v>112000650</v>
      </c>
      <c r="AJ195" s="18">
        <f t="shared" si="163"/>
        <v>180734651</v>
      </c>
      <c r="AK195" s="10"/>
      <c r="AL195" s="31">
        <f>SUM(AL196:AL202)</f>
        <v>0</v>
      </c>
      <c r="AM195" s="28">
        <f>SUM(AM196:AM202)</f>
        <v>32000000</v>
      </c>
      <c r="AN195" s="10"/>
    </row>
    <row r="196" spans="1:40" s="467" customFormat="1" x14ac:dyDescent="0.2">
      <c r="A196" s="623"/>
      <c r="B196" s="554"/>
      <c r="N196" s="10"/>
      <c r="P196" s="10"/>
      <c r="Q196" s="10"/>
      <c r="R196" s="10"/>
      <c r="S196" s="156" t="str">
        <f>+IF(SEPTIEMBRE!S196=0,"",SEPTIEMBRE!S196)</f>
        <v>4100100-1</v>
      </c>
      <c r="T196" s="55" t="str">
        <f>+IF(SEPTIEMBRE!T196=0,"",SEPTIEMBRE!T196)</f>
        <v>Productos Farmaceuticos</v>
      </c>
      <c r="U196" s="29">
        <f>+ENERO!U196</f>
        <v>185254982</v>
      </c>
      <c r="V196" s="17">
        <f>SEPTIEMBRE!V196+OCTUBRE!AL196</f>
        <v>0</v>
      </c>
      <c r="W196" s="17">
        <f>SEPTIEMBRE!W196+OCTUBRE!AM196</f>
        <v>22783068</v>
      </c>
      <c r="X196" s="20">
        <f t="shared" ref="X196:X202" si="164">SUM(U196:W196)</f>
        <v>208038050</v>
      </c>
      <c r="Y196" s="21">
        <f>SEPTIEMBRE!AA196</f>
        <v>143440106</v>
      </c>
      <c r="Z196" s="457">
        <v>2727571</v>
      </c>
      <c r="AA196" s="20">
        <f t="shared" ref="AA196:AA202" si="165">SUM(Y196:Z196)</f>
        <v>146167677</v>
      </c>
      <c r="AB196" s="21">
        <f>SEPTIEMBRE!AD196</f>
        <v>143413097</v>
      </c>
      <c r="AC196" s="457">
        <v>2727571</v>
      </c>
      <c r="AD196" s="20">
        <f t="shared" ref="AD196:AD202" si="166">SUM(AB196:AC196)</f>
        <v>146140668</v>
      </c>
      <c r="AE196" s="21">
        <f>SEPTIEMBRE!AG196</f>
        <v>79205481</v>
      </c>
      <c r="AF196" s="457">
        <v>16694527</v>
      </c>
      <c r="AG196" s="20">
        <f t="shared" ref="AG196:AG202" si="167">SUM(AE196:AF196)</f>
        <v>95900008</v>
      </c>
      <c r="AH196" s="21">
        <f t="shared" ref="AH196:AH202" si="168">X196-AA196</f>
        <v>61870373</v>
      </c>
      <c r="AI196" s="17">
        <f t="shared" ref="AI196:AI202" si="169">X196-AD196</f>
        <v>61897382</v>
      </c>
      <c r="AJ196" s="18">
        <f t="shared" ref="AJ196:AJ202" si="170">X196-AG196</f>
        <v>112138042</v>
      </c>
      <c r="AK196" s="10"/>
      <c r="AL196" s="455">
        <v>0</v>
      </c>
      <c r="AM196" s="458">
        <v>5000000</v>
      </c>
      <c r="AN196" s="10"/>
    </row>
    <row r="197" spans="1:40" s="467" customFormat="1" x14ac:dyDescent="0.2">
      <c r="A197" s="623"/>
      <c r="B197" s="554"/>
      <c r="N197" s="10"/>
      <c r="P197" s="10"/>
      <c r="Q197" s="10"/>
      <c r="R197" s="10"/>
      <c r="S197" s="156" t="str">
        <f>+IF(SEPTIEMBRE!S197=0,"",SEPTIEMBRE!S197)</f>
        <v>4100100-2</v>
      </c>
      <c r="T197" s="55" t="str">
        <f>+IF(SEPTIEMBRE!T197=0,"",SEPTIEMBRE!T197)</f>
        <v>Material Médico Quirúrgico</v>
      </c>
      <c r="U197" s="29">
        <f>+ENERO!U197</f>
        <v>45805235</v>
      </c>
      <c r="V197" s="17">
        <f>SEPTIEMBRE!V197+OCTUBRE!AL197</f>
        <v>0</v>
      </c>
      <c r="W197" s="17">
        <f>SEPTIEMBRE!W197+OCTUBRE!AM197</f>
        <v>10000000</v>
      </c>
      <c r="X197" s="20">
        <f t="shared" si="164"/>
        <v>55805235</v>
      </c>
      <c r="Y197" s="21">
        <f>SEPTIEMBRE!AA197</f>
        <v>39752895</v>
      </c>
      <c r="Z197" s="457">
        <v>121011</v>
      </c>
      <c r="AA197" s="20">
        <f t="shared" si="165"/>
        <v>39873906</v>
      </c>
      <c r="AB197" s="21">
        <f>SEPTIEMBRE!AD197</f>
        <v>39752890</v>
      </c>
      <c r="AC197" s="457">
        <v>121011</v>
      </c>
      <c r="AD197" s="20">
        <f t="shared" si="166"/>
        <v>39873901</v>
      </c>
      <c r="AE197" s="21">
        <f>SEPTIEMBRE!AG197</f>
        <v>24139134</v>
      </c>
      <c r="AF197" s="457">
        <v>4125047</v>
      </c>
      <c r="AG197" s="20">
        <f t="shared" si="167"/>
        <v>28264181</v>
      </c>
      <c r="AH197" s="21">
        <f t="shared" si="168"/>
        <v>15931329</v>
      </c>
      <c r="AI197" s="17">
        <f t="shared" si="169"/>
        <v>15931334</v>
      </c>
      <c r="AJ197" s="18">
        <f t="shared" si="170"/>
        <v>27541054</v>
      </c>
      <c r="AK197" s="10"/>
      <c r="AL197" s="455">
        <v>0</v>
      </c>
      <c r="AM197" s="458">
        <v>10000000</v>
      </c>
      <c r="AN197" s="10"/>
    </row>
    <row r="198" spans="1:40" s="467" customFormat="1" x14ac:dyDescent="0.2">
      <c r="A198" s="623"/>
      <c r="B198" s="554"/>
      <c r="N198" s="10"/>
      <c r="P198" s="10"/>
      <c r="Q198" s="10"/>
      <c r="R198" s="10"/>
      <c r="S198" s="156" t="str">
        <f>+IF(SEPTIEMBRE!S198=0,"",SEPTIEMBRE!S198)</f>
        <v>4100100-3</v>
      </c>
      <c r="T198" s="55" t="str">
        <f>+IF(SEPTIEMBRE!T198=0,"",SEPTIEMBRE!T198)</f>
        <v>Material de Laboratorio</v>
      </c>
      <c r="U198" s="29">
        <f>+ENERO!U198</f>
        <v>28507645</v>
      </c>
      <c r="V198" s="17">
        <f>SEPTIEMBRE!V198+OCTUBRE!AL198</f>
        <v>0</v>
      </c>
      <c r="W198" s="17">
        <f>SEPTIEMBRE!W198+OCTUBRE!AM198</f>
        <v>9000000</v>
      </c>
      <c r="X198" s="20">
        <f t="shared" si="164"/>
        <v>37507645</v>
      </c>
      <c r="Y198" s="21">
        <f>SEPTIEMBRE!AA198</f>
        <v>19628026</v>
      </c>
      <c r="Z198" s="457">
        <v>360000</v>
      </c>
      <c r="AA198" s="20">
        <f t="shared" si="165"/>
        <v>19988026</v>
      </c>
      <c r="AB198" s="21">
        <f>SEPTIEMBRE!AD198</f>
        <v>19627726</v>
      </c>
      <c r="AC198" s="457">
        <v>360000</v>
      </c>
      <c r="AD198" s="20">
        <f t="shared" si="166"/>
        <v>19987726</v>
      </c>
      <c r="AE198" s="21">
        <f>SEPTIEMBRE!AG198</f>
        <v>10778010</v>
      </c>
      <c r="AF198" s="457">
        <v>4714819</v>
      </c>
      <c r="AG198" s="20">
        <f t="shared" si="167"/>
        <v>15492829</v>
      </c>
      <c r="AH198" s="21">
        <f t="shared" si="168"/>
        <v>17519619</v>
      </c>
      <c r="AI198" s="17">
        <f t="shared" si="169"/>
        <v>17519919</v>
      </c>
      <c r="AJ198" s="18">
        <f t="shared" si="170"/>
        <v>22014816</v>
      </c>
      <c r="AK198" s="10"/>
      <c r="AL198" s="455">
        <v>0</v>
      </c>
      <c r="AM198" s="458">
        <v>9000000</v>
      </c>
      <c r="AN198" s="10"/>
    </row>
    <row r="199" spans="1:40" s="467" customFormat="1" x14ac:dyDescent="0.2">
      <c r="A199" s="623"/>
      <c r="B199" s="554"/>
      <c r="N199" s="10"/>
      <c r="P199" s="10"/>
      <c r="Q199" s="10"/>
      <c r="R199" s="10"/>
      <c r="S199" s="156" t="str">
        <f>+IF(SEPTIEMBRE!S199=0,"",SEPTIEMBRE!S199)</f>
        <v>4100100-4</v>
      </c>
      <c r="T199" s="55" t="str">
        <f>+IF(SEPTIEMBRE!T199=0,"",SEPTIEMBRE!T199)</f>
        <v>Material para Odontologia</v>
      </c>
      <c r="U199" s="29">
        <f>+ENERO!U199</f>
        <v>13598841</v>
      </c>
      <c r="V199" s="17">
        <f>SEPTIEMBRE!V199+OCTUBRE!AL199</f>
        <v>0</v>
      </c>
      <c r="W199" s="17">
        <f>SEPTIEMBRE!W199+OCTUBRE!AM199</f>
        <v>5000000</v>
      </c>
      <c r="X199" s="20">
        <f t="shared" si="164"/>
        <v>18598841</v>
      </c>
      <c r="Y199" s="21">
        <f>SEPTIEMBRE!AA199</f>
        <v>9996714</v>
      </c>
      <c r="Z199" s="457">
        <v>0</v>
      </c>
      <c r="AA199" s="20">
        <f t="shared" si="165"/>
        <v>9996714</v>
      </c>
      <c r="AB199" s="21">
        <f>SEPTIEMBRE!AD199</f>
        <v>9996714</v>
      </c>
      <c r="AC199" s="457">
        <v>0</v>
      </c>
      <c r="AD199" s="20">
        <f t="shared" si="166"/>
        <v>9996714</v>
      </c>
      <c r="AE199" s="21">
        <f>SEPTIEMBRE!AG199</f>
        <v>4977390</v>
      </c>
      <c r="AF199" s="457">
        <v>2630600</v>
      </c>
      <c r="AG199" s="20">
        <f t="shared" si="167"/>
        <v>7607990</v>
      </c>
      <c r="AH199" s="21">
        <f t="shared" si="168"/>
        <v>8602127</v>
      </c>
      <c r="AI199" s="17">
        <f t="shared" si="169"/>
        <v>8602127</v>
      </c>
      <c r="AJ199" s="18">
        <f t="shared" si="170"/>
        <v>10990851</v>
      </c>
      <c r="AK199" s="10"/>
      <c r="AL199" s="455">
        <v>0</v>
      </c>
      <c r="AM199" s="458">
        <v>5000000</v>
      </c>
      <c r="AN199" s="10"/>
    </row>
    <row r="200" spans="1:40" s="467" customFormat="1" x14ac:dyDescent="0.2">
      <c r="A200" s="623"/>
      <c r="B200" s="554"/>
      <c r="N200" s="10"/>
      <c r="P200" s="10"/>
      <c r="Q200" s="10"/>
      <c r="R200" s="10"/>
      <c r="S200" s="156" t="str">
        <f>+IF(SEPTIEMBRE!S200=0,"",SEPTIEMBRE!S200)</f>
        <v>4100100-5</v>
      </c>
      <c r="T200" s="55" t="str">
        <f>+IF(SEPTIEMBRE!T200=0,"",SEPTIEMBRE!T200)</f>
        <v>Material para Rayos X</v>
      </c>
      <c r="U200" s="29">
        <f>+ENERO!U200</f>
        <v>8957656</v>
      </c>
      <c r="V200" s="17">
        <f>SEPTIEMBRE!V200+OCTUBRE!AL200</f>
        <v>0</v>
      </c>
      <c r="W200" s="17">
        <f>SEPTIEMBRE!W200+OCTUBRE!AM200</f>
        <v>3000000</v>
      </c>
      <c r="X200" s="20">
        <f t="shared" si="164"/>
        <v>11957656</v>
      </c>
      <c r="Y200" s="21">
        <f>SEPTIEMBRE!AA200</f>
        <v>3907768</v>
      </c>
      <c r="Z200" s="457">
        <v>0</v>
      </c>
      <c r="AA200" s="20">
        <f t="shared" si="165"/>
        <v>3907768</v>
      </c>
      <c r="AB200" s="21">
        <f>SEPTIEMBRE!AD200</f>
        <v>3907768</v>
      </c>
      <c r="AC200" s="457">
        <v>0</v>
      </c>
      <c r="AD200" s="20">
        <f t="shared" si="166"/>
        <v>3907768</v>
      </c>
      <c r="AE200" s="21">
        <f>SEPTIEMBRE!AG200</f>
        <v>3907768</v>
      </c>
      <c r="AF200" s="457">
        <v>0</v>
      </c>
      <c r="AG200" s="20">
        <f t="shared" si="167"/>
        <v>3907768</v>
      </c>
      <c r="AH200" s="21">
        <f t="shared" si="168"/>
        <v>8049888</v>
      </c>
      <c r="AI200" s="17">
        <f t="shared" si="169"/>
        <v>8049888</v>
      </c>
      <c r="AJ200" s="18">
        <f t="shared" si="170"/>
        <v>8049888</v>
      </c>
      <c r="AK200" s="10"/>
      <c r="AL200" s="455">
        <v>0</v>
      </c>
      <c r="AM200" s="458">
        <v>3000000</v>
      </c>
      <c r="AN200" s="10"/>
    </row>
    <row r="201" spans="1:40" s="467" customFormat="1" x14ac:dyDescent="0.2">
      <c r="A201" s="623"/>
      <c r="B201" s="554"/>
      <c r="N201" s="10"/>
      <c r="P201" s="10"/>
      <c r="Q201" s="10"/>
      <c r="R201" s="10"/>
      <c r="S201" s="156" t="str">
        <f>+IF(SEPTIEMBRE!S201=0,"",SEPTIEMBRE!S201)</f>
        <v/>
      </c>
      <c r="T201" s="55" t="str">
        <f>+IF(SEPTIEMBRE!T201=0,"",SEPTIEMBRE!T201)</f>
        <v/>
      </c>
      <c r="U201" s="29">
        <f>+ENERO!U201</f>
        <v>0</v>
      </c>
      <c r="V201" s="17">
        <f>SEPTIEMBRE!V201+OCTUBRE!AL201</f>
        <v>0</v>
      </c>
      <c r="W201" s="17">
        <f>SEPTIEMBRE!W201+OCTUBRE!AM201</f>
        <v>0</v>
      </c>
      <c r="X201" s="20">
        <f t="shared" si="164"/>
        <v>0</v>
      </c>
      <c r="Y201" s="21">
        <f>SEPTIEMBRE!AA201</f>
        <v>0</v>
      </c>
      <c r="Z201" s="457">
        <v>0</v>
      </c>
      <c r="AA201" s="20">
        <f t="shared" si="165"/>
        <v>0</v>
      </c>
      <c r="AB201" s="21">
        <f>SEPTIEMBRE!AD201</f>
        <v>0</v>
      </c>
      <c r="AC201" s="457">
        <v>0</v>
      </c>
      <c r="AD201" s="20">
        <f t="shared" si="166"/>
        <v>0</v>
      </c>
      <c r="AE201" s="21">
        <f>SEPTIEMBRE!AG201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N202" s="10"/>
      <c r="P202" s="10"/>
      <c r="Q202" s="10"/>
      <c r="R202" s="10"/>
      <c r="S202" s="156" t="str">
        <f>+IF(SEPTIEMBRE!S202=0,"",SEPTIEMBRE!S202)</f>
        <v/>
      </c>
      <c r="T202" s="55" t="str">
        <f>+IF(SEPTIEMBRE!T202=0,"",SEPTIEMBRE!T202)</f>
        <v/>
      </c>
      <c r="U202" s="29">
        <f>+ENERO!U202</f>
        <v>0</v>
      </c>
      <c r="V202" s="17">
        <f>SEPTIEMBRE!V202+OCTUBRE!AL202</f>
        <v>0</v>
      </c>
      <c r="W202" s="17">
        <f>SEPTIEMBRE!W202+OCTUBRE!AM202</f>
        <v>0</v>
      </c>
      <c r="X202" s="20">
        <f t="shared" si="164"/>
        <v>0</v>
      </c>
      <c r="Y202" s="21">
        <f>SEPTIEMBRE!AA202</f>
        <v>0</v>
      </c>
      <c r="Z202" s="457">
        <v>0</v>
      </c>
      <c r="AA202" s="20">
        <f t="shared" si="165"/>
        <v>0</v>
      </c>
      <c r="AB202" s="21">
        <f>SEPTIEMBRE!AD202</f>
        <v>0</v>
      </c>
      <c r="AC202" s="457">
        <v>0</v>
      </c>
      <c r="AD202" s="20">
        <f t="shared" si="166"/>
        <v>0</v>
      </c>
      <c r="AE202" s="21">
        <f>SEPTIEMBRE!AG202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N203" s="10"/>
      <c r="P203" s="10"/>
      <c r="Q203" s="10"/>
      <c r="R203" s="10"/>
      <c r="S203" s="155">
        <f>+IF(SEPTIEMBRE!S203=0,"",SEPTIEMBRE!S203)</f>
        <v>4100200</v>
      </c>
      <c r="T203" s="159" t="str">
        <f>+IF(SEPTIEMBRE!T203=0,"",SEPTIEMBRE!T203)</f>
        <v>Gastos Complementarios e Intermedios</v>
      </c>
      <c r="U203" s="29">
        <f t="shared" ref="U203:AJ203" si="171">U204</f>
        <v>28768499</v>
      </c>
      <c r="V203" s="17">
        <f t="shared" si="171"/>
        <v>0</v>
      </c>
      <c r="W203" s="17">
        <f t="shared" si="171"/>
        <v>0</v>
      </c>
      <c r="X203" s="20">
        <f t="shared" si="171"/>
        <v>28768499</v>
      </c>
      <c r="Y203" s="21">
        <f t="shared" si="171"/>
        <v>13431540</v>
      </c>
      <c r="Z203" s="169">
        <f t="shared" si="171"/>
        <v>2132196</v>
      </c>
      <c r="AA203" s="20">
        <f t="shared" si="171"/>
        <v>15563736</v>
      </c>
      <c r="AB203" s="21">
        <f t="shared" si="171"/>
        <v>13431540</v>
      </c>
      <c r="AC203" s="169">
        <f t="shared" si="171"/>
        <v>2132196</v>
      </c>
      <c r="AD203" s="20">
        <f t="shared" si="171"/>
        <v>15563736</v>
      </c>
      <c r="AE203" s="21">
        <f t="shared" si="171"/>
        <v>12078730</v>
      </c>
      <c r="AF203" s="169">
        <f t="shared" si="171"/>
        <v>1842122</v>
      </c>
      <c r="AG203" s="20">
        <f t="shared" si="171"/>
        <v>13920852</v>
      </c>
      <c r="AH203" s="21">
        <f t="shared" si="171"/>
        <v>13204763</v>
      </c>
      <c r="AI203" s="17">
        <f t="shared" si="171"/>
        <v>13204763</v>
      </c>
      <c r="AJ203" s="18">
        <f t="shared" si="171"/>
        <v>14847647</v>
      </c>
      <c r="AK203" s="10"/>
      <c r="AL203" s="31">
        <f>AL204</f>
        <v>0</v>
      </c>
      <c r="AM203" s="28">
        <f>AM204</f>
        <v>0</v>
      </c>
      <c r="AN203" s="10"/>
    </row>
    <row r="204" spans="1:40" s="467" customFormat="1" x14ac:dyDescent="0.2">
      <c r="A204" s="623"/>
      <c r="B204" s="554"/>
      <c r="N204" s="10"/>
      <c r="P204" s="10"/>
      <c r="Q204" s="10"/>
      <c r="R204" s="10"/>
      <c r="S204" s="156" t="str">
        <f>+IF(SEPTIEMBRE!S204=0,"",SEPTIEMBRE!S204)</f>
        <v>4100200-1</v>
      </c>
      <c r="T204" s="55" t="str">
        <f>+IF(SEPTIEMBRE!T204=0,"",SEPTIEMBRE!T204)</f>
        <v>Alimentación</v>
      </c>
      <c r="U204" s="29">
        <f>+ENERO!U204</f>
        <v>28768499</v>
      </c>
      <c r="V204" s="17">
        <f>SEPTIEMBRE!V204+OCTUBRE!AL204</f>
        <v>0</v>
      </c>
      <c r="W204" s="17">
        <f>SEPTIEMBRE!W204+OCTUBRE!AM204</f>
        <v>0</v>
      </c>
      <c r="X204" s="20">
        <f>SUM(U204:W204)</f>
        <v>28768499</v>
      </c>
      <c r="Y204" s="21">
        <f>SEPTIEMBRE!AA204</f>
        <v>13431540</v>
      </c>
      <c r="Z204" s="457">
        <v>2132196</v>
      </c>
      <c r="AA204" s="20">
        <f>SUM(Y204:Z204)</f>
        <v>15563736</v>
      </c>
      <c r="AB204" s="21">
        <f>SEPTIEMBRE!AD204</f>
        <v>13431540</v>
      </c>
      <c r="AC204" s="457">
        <v>2132196</v>
      </c>
      <c r="AD204" s="20">
        <f>SUM(AB204:AC204)</f>
        <v>15563736</v>
      </c>
      <c r="AE204" s="21">
        <f>SEPTIEMBRE!AG204</f>
        <v>12078730</v>
      </c>
      <c r="AF204" s="457">
        <v>1842122</v>
      </c>
      <c r="AG204" s="20">
        <f>SUM(AE204:AF204)</f>
        <v>13920852</v>
      </c>
      <c r="AH204" s="21">
        <f>X204-AA204</f>
        <v>13204763</v>
      </c>
      <c r="AI204" s="17">
        <f>X204-AD204</f>
        <v>13204763</v>
      </c>
      <c r="AJ204" s="18">
        <f>X204-AG204</f>
        <v>14847647</v>
      </c>
      <c r="AK204" s="10"/>
      <c r="AL204" s="455">
        <v>0</v>
      </c>
      <c r="AM204" s="458">
        <v>0</v>
      </c>
      <c r="AN204" s="10"/>
    </row>
    <row r="205" spans="1:40" s="467" customFormat="1" ht="13.5" thickBot="1" x14ac:dyDescent="0.25">
      <c r="A205" s="623"/>
      <c r="B205" s="554"/>
      <c r="N205" s="10"/>
      <c r="P205" s="10"/>
      <c r="Q205" s="10"/>
      <c r="R205" s="10"/>
      <c r="S205" s="624">
        <f>+IF(SEPTIEMBRE!S205=0,"",SEPTIEMBRE!S205)</f>
        <v>4199999</v>
      </c>
      <c r="T205" s="625" t="str">
        <f>+IF(SEPTIEMBRE!T205=0,"",SEPTIEMBRE!T205)</f>
        <v>Vigencias Anteriores</v>
      </c>
      <c r="U205" s="160">
        <f>+ENERO!U205</f>
        <v>45000000</v>
      </c>
      <c r="V205" s="143">
        <f>SEPTIEMBRE!V205+OCTUBRE!AL205</f>
        <v>15217291</v>
      </c>
      <c r="W205" s="143">
        <f>SEPTIEMBRE!W205+OCTUBRE!AM205</f>
        <v>0</v>
      </c>
      <c r="X205" s="149">
        <f>SUM(U205:W205)</f>
        <v>60217291</v>
      </c>
      <c r="Y205" s="147">
        <f>SEPTIEMBRE!AA205</f>
        <v>60217291</v>
      </c>
      <c r="Z205" s="475">
        <v>0</v>
      </c>
      <c r="AA205" s="149">
        <f>SUM(Y205:Z205)</f>
        <v>60217291</v>
      </c>
      <c r="AB205" s="147">
        <f>SEPTIEMBRE!AD205</f>
        <v>60217291</v>
      </c>
      <c r="AC205" s="475">
        <v>0</v>
      </c>
      <c r="AD205" s="149">
        <f>SUM(AB205:AC205)</f>
        <v>60217291</v>
      </c>
      <c r="AE205" s="147">
        <f>SEPTIEMBRE!AG205</f>
        <v>60217291</v>
      </c>
      <c r="AF205" s="475">
        <v>0</v>
      </c>
      <c r="AG205" s="149">
        <f>SUM(AE205:AF205)</f>
        <v>60217291</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+IF(SEPTIEMBRE!S206=0,"",SEPTIEMBRE!S206)</f>
        <v/>
      </c>
      <c r="T206" s="628" t="str">
        <f>+IF(SEPTIEMBRE!T206=0,"",SEPTIEMBRE!T206)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+IF(SEPTIEMBRE!S207=0,"",SEPTIEMBRE!S207)</f>
        <v>B</v>
      </c>
      <c r="T207" s="655" t="str">
        <f>+IF(SEPTIEMBRE!T207=0,"",SEPTIEMBRE!T207)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+IF(SEPTIEMBRE!S209=0,"",SEPTIEMBRE!S209)</f>
        <v>5000000</v>
      </c>
      <c r="T209" s="588" t="s">
        <v>480</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N210" s="10"/>
      <c r="P210" s="10"/>
      <c r="Q210" s="10"/>
      <c r="R210" s="10"/>
      <c r="S210" s="34">
        <f>+IF(SEPTIEMBRE!S210=0,"",SEPTIEMBRE!S210)</f>
        <v>5100000</v>
      </c>
      <c r="T210" s="158" t="str">
        <f>+IF(SEPTIEMBRE!T210=0,"",SEPTIEMBRE!T210)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N211" s="10"/>
      <c r="P211" s="10"/>
      <c r="Q211" s="10"/>
      <c r="R211" s="10"/>
      <c r="S211" s="155">
        <f>+IF(SEPTIEMBRE!S211=0,"",SEPTIEMBRE!S211)</f>
        <v>5100100</v>
      </c>
      <c r="T211" s="159" t="str">
        <f>+IF(SEPTIEMBRE!T211=0,"",SEPTIEMBRE!T211)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N212" s="10"/>
      <c r="P212" s="10"/>
      <c r="Q212" s="10"/>
      <c r="R212" s="10"/>
      <c r="S212" s="156" t="str">
        <f>+IF(SEPTIEMBRE!S212=0,"",SEPTIEMBRE!S212)</f>
        <v>5100100-1</v>
      </c>
      <c r="T212" s="55" t="str">
        <f>+IF(SEPTIEMBRE!T212=0,"",SEPTIEMBRE!T212)</f>
        <v>Productos Farmaceuticos</v>
      </c>
      <c r="U212" s="29">
        <f>+ENERO!U212</f>
        <v>0</v>
      </c>
      <c r="V212" s="17">
        <f>SEPTIEMBRE!V212+OCTUBRE!AL212</f>
        <v>0</v>
      </c>
      <c r="W212" s="17">
        <f>SEPTIEMBRE!W212+OCTUBRE!AM212</f>
        <v>0</v>
      </c>
      <c r="X212" s="20">
        <f t="shared" ref="X212:X218" si="176">SUM(U212:W212)</f>
        <v>0</v>
      </c>
      <c r="Y212" s="21">
        <f>SEPTIEMBRE!AA212</f>
        <v>0</v>
      </c>
      <c r="Z212" s="457">
        <v>0</v>
      </c>
      <c r="AA212" s="20">
        <f t="shared" ref="AA212:AA218" si="177">SUM(Y212:Z212)</f>
        <v>0</v>
      </c>
      <c r="AB212" s="21">
        <f>SEPTIEMBRE!AD212</f>
        <v>0</v>
      </c>
      <c r="AC212" s="457">
        <v>0</v>
      </c>
      <c r="AD212" s="20">
        <f t="shared" ref="AD212:AD218" si="178">SUM(AB212:AC212)</f>
        <v>0</v>
      </c>
      <c r="AE212" s="21">
        <f>SEPTIEMBRE!AG212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N213" s="10"/>
      <c r="P213" s="10"/>
      <c r="Q213" s="10"/>
      <c r="R213" s="10"/>
      <c r="S213" s="156" t="str">
        <f>+IF(SEPTIEMBRE!S213=0,"",SEPTIEMBRE!S213)</f>
        <v>5100100-2</v>
      </c>
      <c r="T213" s="55" t="str">
        <f>+IF(SEPTIEMBRE!T213=0,"",SEPTIEMBRE!T213)</f>
        <v>Material Médico Quirúrgico</v>
      </c>
      <c r="U213" s="29">
        <f>+ENERO!U213</f>
        <v>0</v>
      </c>
      <c r="V213" s="17">
        <f>SEPTIEMBRE!V213+OCTUBRE!AL213</f>
        <v>0</v>
      </c>
      <c r="W213" s="17">
        <f>SEPTIEMBRE!W213+OCTUBRE!AM213</f>
        <v>0</v>
      </c>
      <c r="X213" s="20">
        <f t="shared" si="176"/>
        <v>0</v>
      </c>
      <c r="Y213" s="21">
        <f>SEPTIEMBRE!AA213</f>
        <v>0</v>
      </c>
      <c r="Z213" s="457">
        <v>0</v>
      </c>
      <c r="AA213" s="20">
        <f t="shared" si="177"/>
        <v>0</v>
      </c>
      <c r="AB213" s="21">
        <f>SEPTIEMBRE!AD213</f>
        <v>0</v>
      </c>
      <c r="AC213" s="457">
        <v>0</v>
      </c>
      <c r="AD213" s="20">
        <f t="shared" si="178"/>
        <v>0</v>
      </c>
      <c r="AE213" s="21">
        <f>SEPTIEMBRE!AG213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N214" s="10"/>
      <c r="P214" s="10"/>
      <c r="Q214" s="10"/>
      <c r="R214" s="10"/>
      <c r="S214" s="156" t="str">
        <f>+IF(SEPTIEMBRE!S214=0,"",SEPTIEMBRE!S214)</f>
        <v>5100100-3</v>
      </c>
      <c r="T214" s="55" t="str">
        <f>+IF(SEPTIEMBRE!T214=0,"",SEPTIEMBRE!T214)</f>
        <v>Material de Laboratorio</v>
      </c>
      <c r="U214" s="29">
        <f>+ENERO!U214</f>
        <v>0</v>
      </c>
      <c r="V214" s="17">
        <f>SEPTIEMBRE!V214+OCTUBRE!AL214</f>
        <v>0</v>
      </c>
      <c r="W214" s="17">
        <f>SEPTIEMBRE!W214+OCTUBRE!AM214</f>
        <v>0</v>
      </c>
      <c r="X214" s="20">
        <f t="shared" si="176"/>
        <v>0</v>
      </c>
      <c r="Y214" s="21">
        <f>SEPTIEMBRE!AA214</f>
        <v>0</v>
      </c>
      <c r="Z214" s="457">
        <v>0</v>
      </c>
      <c r="AA214" s="20">
        <f t="shared" si="177"/>
        <v>0</v>
      </c>
      <c r="AB214" s="21">
        <f>SEPTIEMBRE!AD214</f>
        <v>0</v>
      </c>
      <c r="AC214" s="457">
        <v>0</v>
      </c>
      <c r="AD214" s="20">
        <f t="shared" si="178"/>
        <v>0</v>
      </c>
      <c r="AE214" s="21">
        <f>SEPTIEMBRE!AG214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N215" s="10"/>
      <c r="P215" s="10"/>
      <c r="Q215" s="10"/>
      <c r="R215" s="10"/>
      <c r="S215" s="156" t="str">
        <f>+IF(SEPTIEMBRE!S215=0,"",SEPTIEMBRE!S215)</f>
        <v>5100100-4</v>
      </c>
      <c r="T215" s="55" t="str">
        <f>+IF(SEPTIEMBRE!T215=0,"",SEPTIEMBRE!T215)</f>
        <v>Material para Odontologia</v>
      </c>
      <c r="U215" s="29">
        <f>+ENERO!U215</f>
        <v>0</v>
      </c>
      <c r="V215" s="17">
        <f>SEPTIEMBRE!V215+OCTUBRE!AL215</f>
        <v>0</v>
      </c>
      <c r="W215" s="17">
        <f>SEPTIEMBRE!W215+OCTUBRE!AM215</f>
        <v>0</v>
      </c>
      <c r="X215" s="20">
        <f t="shared" si="176"/>
        <v>0</v>
      </c>
      <c r="Y215" s="21">
        <f>SEPTIEMBRE!AA215</f>
        <v>0</v>
      </c>
      <c r="Z215" s="457">
        <v>0</v>
      </c>
      <c r="AA215" s="20">
        <f t="shared" si="177"/>
        <v>0</v>
      </c>
      <c r="AB215" s="21">
        <f>SEPTIEMBRE!AD215</f>
        <v>0</v>
      </c>
      <c r="AC215" s="457">
        <v>0</v>
      </c>
      <c r="AD215" s="20">
        <f t="shared" si="178"/>
        <v>0</v>
      </c>
      <c r="AE215" s="21">
        <f>SEPTIEMBRE!AG215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N216" s="10"/>
      <c r="P216" s="10"/>
      <c r="Q216" s="10"/>
      <c r="R216" s="10"/>
      <c r="S216" s="156" t="str">
        <f>+IF(SEPTIEMBRE!S216=0,"",SEPTIEMBRE!S216)</f>
        <v>5100100-5</v>
      </c>
      <c r="T216" s="55" t="str">
        <f>+IF(SEPTIEMBRE!T216=0,"",SEPTIEMBRE!T216)</f>
        <v>Material para Rayos X</v>
      </c>
      <c r="U216" s="29">
        <f>+ENERO!U216</f>
        <v>0</v>
      </c>
      <c r="V216" s="17">
        <f>SEPTIEMBRE!V216+OCTUBRE!AL216</f>
        <v>0</v>
      </c>
      <c r="W216" s="17">
        <f>SEPTIEMBRE!W216+OCTUBRE!AM216</f>
        <v>0</v>
      </c>
      <c r="X216" s="20">
        <f t="shared" si="176"/>
        <v>0</v>
      </c>
      <c r="Y216" s="21">
        <f>SEPTIEMBRE!AA216</f>
        <v>0</v>
      </c>
      <c r="Z216" s="457">
        <v>0</v>
      </c>
      <c r="AA216" s="20">
        <f t="shared" si="177"/>
        <v>0</v>
      </c>
      <c r="AB216" s="21">
        <f>SEPTIEMBRE!AD216</f>
        <v>0</v>
      </c>
      <c r="AC216" s="457">
        <v>0</v>
      </c>
      <c r="AD216" s="20">
        <f t="shared" si="178"/>
        <v>0</v>
      </c>
      <c r="AE216" s="21">
        <f>SEPTIEMBRE!AG216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N217" s="10"/>
      <c r="P217" s="10"/>
      <c r="Q217" s="10"/>
      <c r="R217" s="10"/>
      <c r="S217" s="156" t="str">
        <f>+IF(SEPTIEMBRE!S217=0,"",SEPTIEMBRE!S217)</f>
        <v>5100100-6</v>
      </c>
      <c r="T217" s="55" t="str">
        <f>+IF(SEPTIEMBRE!T217=0,"",SEPTIEMBRE!T217)</f>
        <v>Material aseo personal, etc.</v>
      </c>
      <c r="U217" s="29">
        <f>+ENERO!U217</f>
        <v>0</v>
      </c>
      <c r="V217" s="17">
        <f>SEPTIEMBRE!V217+OCTUBRE!AL217</f>
        <v>0</v>
      </c>
      <c r="W217" s="17">
        <f>SEPTIEMBRE!W217+OCTUBRE!AM217</f>
        <v>0</v>
      </c>
      <c r="X217" s="20">
        <f t="shared" si="176"/>
        <v>0</v>
      </c>
      <c r="Y217" s="21">
        <f>SEPTIEMBRE!AA217</f>
        <v>0</v>
      </c>
      <c r="Z217" s="457">
        <v>0</v>
      </c>
      <c r="AA217" s="20">
        <f t="shared" si="177"/>
        <v>0</v>
      </c>
      <c r="AB217" s="21">
        <f>SEPTIEMBRE!AD217</f>
        <v>0</v>
      </c>
      <c r="AC217" s="457">
        <v>0</v>
      </c>
      <c r="AD217" s="20">
        <f t="shared" si="178"/>
        <v>0</v>
      </c>
      <c r="AE217" s="21">
        <f>SEPTIEMBRE!AG217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N218" s="10"/>
      <c r="P218" s="10"/>
      <c r="Q218" s="10"/>
      <c r="R218" s="10"/>
      <c r="S218" s="657">
        <f>+IF(SEPTIEMBRE!S218=0,"",SEPTIEMBRE!S218)</f>
        <v>5199999</v>
      </c>
      <c r="T218" s="658" t="str">
        <f>+IF(SEPTIEMBRE!T218=0,"",SEPTIEMBRE!T218)</f>
        <v>Vigencias Anteriores</v>
      </c>
      <c r="U218" s="160">
        <f>+ENERO!U218</f>
        <v>0</v>
      </c>
      <c r="V218" s="143">
        <f>SEPTIEMBRE!V218+OCTUBRE!AL218</f>
        <v>0</v>
      </c>
      <c r="W218" s="143">
        <f>SEPTIEMBRE!W218+OCTUBRE!AM218</f>
        <v>0</v>
      </c>
      <c r="X218" s="149">
        <f t="shared" si="176"/>
        <v>0</v>
      </c>
      <c r="Y218" s="147">
        <f>SEPTIEMBRE!AA218</f>
        <v>0</v>
      </c>
      <c r="Z218" s="475">
        <v>0</v>
      </c>
      <c r="AA218" s="149">
        <f t="shared" si="177"/>
        <v>0</v>
      </c>
      <c r="AB218" s="147">
        <f>SEPTIEMBRE!AD218</f>
        <v>0</v>
      </c>
      <c r="AC218" s="475">
        <v>0</v>
      </c>
      <c r="AD218" s="149">
        <f t="shared" si="178"/>
        <v>0</v>
      </c>
      <c r="AE218" s="147">
        <f>SEPTIEMBRE!AG218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N219" s="10"/>
      <c r="P219" s="10"/>
      <c r="Q219" s="10"/>
      <c r="R219" s="10"/>
      <c r="S219" s="643" t="str">
        <f>+IF(SEPTIEMBRE!S219=0,"",SEPTIEMBRE!S219)</f>
        <v/>
      </c>
      <c r="T219" s="357" t="str">
        <f>+IF(SEPTIEMBRE!T219=0,"",SEPTIEMBRE!T219)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+IF(SEPTIEMBRE!S220=0,"",SEPTIEMBRE!S220)</f>
        <v>C</v>
      </c>
      <c r="T220" s="439" t="str">
        <f>+IF(SEPTIEMBRE!T220=0,"",SEPTIEMBRE!T220)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N221" s="10"/>
      <c r="P221" s="10"/>
      <c r="Q221" s="10"/>
      <c r="R221" s="10"/>
      <c r="S221" s="448" t="str">
        <f>+IF(SEPTIEMBRE!S221=0,"",SEPTIEMBRE!S221)</f>
        <v/>
      </c>
      <c r="T221" s="649" t="str">
        <f>+IF(SEPTIEMBRE!T221=0,"",SEPTIEMBRE!T221)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+IF(SEPTIEMBRE!S222=0,"",SEPTIEMBRE!S222)</f>
        <v>7001000</v>
      </c>
      <c r="T222" s="158" t="str">
        <f>+IF(SEPTIEMBRE!T222=0,"",SEPTIEMBRE!T222)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N223" s="10"/>
      <c r="P223" s="10"/>
      <c r="Q223" s="10"/>
      <c r="R223" s="10"/>
      <c r="S223" s="155">
        <f>+IF(SEPTIEMBRE!S223=0,"",SEPTIEMBRE!S223)</f>
        <v>7001100</v>
      </c>
      <c r="T223" s="159" t="str">
        <f>+IF(SEPTIEMBRE!T223=0,"",SEPTIEMBRE!T223)</f>
        <v>Amortización deuda Pública Interna</v>
      </c>
      <c r="U223" s="29">
        <f>+ENERO!U223</f>
        <v>0</v>
      </c>
      <c r="V223" s="17">
        <f>SEPTIEMBRE!V223+OCTUBRE!AL223</f>
        <v>0</v>
      </c>
      <c r="W223" s="17">
        <f>SEPTIEMBRE!W223+OCTUBRE!AM223</f>
        <v>0</v>
      </c>
      <c r="X223" s="20">
        <f>SUM(U223:W223)</f>
        <v>0</v>
      </c>
      <c r="Y223" s="21">
        <f>SEPTIEMBRE!AA223</f>
        <v>0</v>
      </c>
      <c r="Z223" s="457">
        <v>0</v>
      </c>
      <c r="AA223" s="20">
        <f>SUM(Y223:Z223)</f>
        <v>0</v>
      </c>
      <c r="AB223" s="21">
        <f>SEPTIEMBRE!AD223</f>
        <v>0</v>
      </c>
      <c r="AC223" s="457">
        <v>0</v>
      </c>
      <c r="AD223" s="20">
        <f>SUM(AB223:AC223)</f>
        <v>0</v>
      </c>
      <c r="AE223" s="21">
        <f>SEPTIEMBRE!AG223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+IF(SEPTIEMBRE!S224=0,"",SEPTIEMBRE!S224)</f>
        <v>7001200</v>
      </c>
      <c r="T224" s="159" t="str">
        <f>+IF(SEPTIEMBRE!T224=0,"",SEPTIEMBRE!T224)</f>
        <v>Intereses Comisiones y gastos de la Deuda Pública</v>
      </c>
      <c r="U224" s="29">
        <f>+ENERO!U224</f>
        <v>0</v>
      </c>
      <c r="V224" s="17">
        <f>SEPTIEMBRE!V224+OCTUBRE!AL224</f>
        <v>0</v>
      </c>
      <c r="W224" s="17">
        <f>SEPTIEMBRE!W224+OCTUBRE!AM224</f>
        <v>0</v>
      </c>
      <c r="X224" s="20">
        <f>SUM(U224:W224)</f>
        <v>0</v>
      </c>
      <c r="Y224" s="21">
        <f>SEPTIEMBRE!AA224</f>
        <v>0</v>
      </c>
      <c r="Z224" s="457">
        <v>0</v>
      </c>
      <c r="AA224" s="20">
        <f>SUM(Y224:Z224)</f>
        <v>0</v>
      </c>
      <c r="AB224" s="21">
        <f>SEPTIEMBRE!AD224</f>
        <v>0</v>
      </c>
      <c r="AC224" s="457">
        <v>0</v>
      </c>
      <c r="AD224" s="20">
        <f>SUM(AB224:AC224)</f>
        <v>0</v>
      </c>
      <c r="AE224" s="21">
        <f>SEPTIEMBRE!AG224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+IF(SEPTIEMBRE!S225=0,"",SEPTIEMBRE!S225)</f>
        <v>7001999</v>
      </c>
      <c r="T225" s="159" t="str">
        <f>+IF(SEPTIEMBRE!T225=0,"",SEPTIEMBRE!T225)</f>
        <v>Vigencias Anteriores</v>
      </c>
      <c r="U225" s="29">
        <f>+ENERO!U225</f>
        <v>0</v>
      </c>
      <c r="V225" s="17">
        <f>SEPTIEMBRE!V225+OCTUBRE!AL225</f>
        <v>0</v>
      </c>
      <c r="W225" s="17">
        <f>SEPTIEMBRE!W225+OCTUBRE!AM225</f>
        <v>0</v>
      </c>
      <c r="X225" s="20">
        <f>SUM(U225:W225)</f>
        <v>0</v>
      </c>
      <c r="Y225" s="21">
        <f>SEPTIEMBRE!AA225</f>
        <v>0</v>
      </c>
      <c r="Z225" s="457">
        <v>0</v>
      </c>
      <c r="AA225" s="20">
        <f>SUM(Y225:Z225)</f>
        <v>0</v>
      </c>
      <c r="AB225" s="21">
        <f>SEPTIEMBRE!AD225</f>
        <v>0</v>
      </c>
      <c r="AC225" s="457">
        <v>0</v>
      </c>
      <c r="AD225" s="20">
        <f>SUM(AB225:AC225)</f>
        <v>0</v>
      </c>
      <c r="AE225" s="21">
        <f>SEPTIEMBRE!AG225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+IF(SEPTIEMBRE!S226=0,"",SEPTIEMBRE!S226)</f>
        <v/>
      </c>
      <c r="T226" s="649" t="str">
        <f>+IF(SEPTIEMBRE!T226=0,"",SEPTIEMBRE!T226)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+IF(SEPTIEMBRE!S227=0,"",SEPTIEMBRE!S227)</f>
        <v>7002001</v>
      </c>
      <c r="T227" s="158" t="str">
        <f>+IF(SEPTIEMBRE!T227=0,"",SEPTIEMBRE!T227)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64" s="467" customFormat="1" x14ac:dyDescent="0.2">
      <c r="A228" s="623"/>
      <c r="B228" s="554"/>
      <c r="N228" s="10"/>
      <c r="P228" s="10"/>
      <c r="Q228" s="10"/>
      <c r="R228" s="10"/>
      <c r="S228" s="155">
        <f>+IF(SEPTIEMBRE!S228=0,"",SEPTIEMBRE!S228)</f>
        <v>7002100</v>
      </c>
      <c r="T228" s="159" t="str">
        <f>+IF(SEPTIEMBRE!T228=0,"",SEPTIEMBRE!T228)</f>
        <v>Amortización deuda Pública Externa</v>
      </c>
      <c r="U228" s="29">
        <f>+ENERO!U228</f>
        <v>0</v>
      </c>
      <c r="V228" s="17">
        <f>SEPTIEMBRE!V228+OCTUBRE!AL228</f>
        <v>0</v>
      </c>
      <c r="W228" s="17">
        <f>SEPTIEMBRE!W228+OCTUBRE!AM228</f>
        <v>0</v>
      </c>
      <c r="X228" s="20">
        <f>SUM(U228:W228)</f>
        <v>0</v>
      </c>
      <c r="Y228" s="21">
        <f>SEPTIEMBRE!AA228</f>
        <v>0</v>
      </c>
      <c r="Z228" s="457">
        <v>0</v>
      </c>
      <c r="AA228" s="20">
        <f>SUM(Y228:Z228)</f>
        <v>0</v>
      </c>
      <c r="AB228" s="21">
        <f>SEPTIEMBRE!AD228</f>
        <v>0</v>
      </c>
      <c r="AC228" s="457">
        <v>0</v>
      </c>
      <c r="AD228" s="20">
        <f>SUM(AB228:AC228)</f>
        <v>0</v>
      </c>
      <c r="AE228" s="21">
        <f>SEPTIEMBRE!AG228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+IF(SEPTIEMBRE!S229=0,"",SEPTIEMBRE!S229)</f>
        <v>7002200</v>
      </c>
      <c r="T229" s="159" t="str">
        <f>+IF(SEPTIEMBRE!T229=0,"",SEPTIEMBRE!T229)</f>
        <v>Intereses Comisiones y gastos de la Deuda Pública</v>
      </c>
      <c r="U229" s="29">
        <f>+ENERO!U229</f>
        <v>0</v>
      </c>
      <c r="V229" s="17">
        <f>SEPTIEMBRE!V229+OCTUBRE!AL229</f>
        <v>0</v>
      </c>
      <c r="W229" s="17">
        <f>SEPTIEMBRE!W229+OCTUBRE!AM229</f>
        <v>0</v>
      </c>
      <c r="X229" s="20">
        <f>SUM(U229:W229)</f>
        <v>0</v>
      </c>
      <c r="Y229" s="21">
        <f>SEPTIEMBRE!AA229</f>
        <v>0</v>
      </c>
      <c r="Z229" s="457">
        <v>0</v>
      </c>
      <c r="AA229" s="20">
        <f>SUM(Y229:Z229)</f>
        <v>0</v>
      </c>
      <c r="AB229" s="21">
        <f>SEPTIEMBRE!AD229</f>
        <v>0</v>
      </c>
      <c r="AC229" s="457">
        <v>0</v>
      </c>
      <c r="AD229" s="20">
        <f>SUM(AB229:AC229)</f>
        <v>0</v>
      </c>
      <c r="AE229" s="21">
        <f>SEPTIEMBRE!AG229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+IF(SEPTIEMBRE!S230=0,"",SEPTIEMBRE!S230)</f>
        <v>7002999</v>
      </c>
      <c r="T230" s="625" t="str">
        <f>+IF(SEPTIEMBRE!T230=0,"",SEPTIEMBRE!T230)</f>
        <v>Vigencias Anteriores</v>
      </c>
      <c r="U230" s="160">
        <f>+ENERO!U230</f>
        <v>0</v>
      </c>
      <c r="V230" s="143">
        <f>SEPTIEMBRE!V230+OCTUBRE!AL230</f>
        <v>0</v>
      </c>
      <c r="W230" s="143">
        <f>SEPTIEMBRE!W230+OCTUBRE!AM230</f>
        <v>0</v>
      </c>
      <c r="X230" s="149">
        <f>SUM(U230:W230)</f>
        <v>0</v>
      </c>
      <c r="Y230" s="147">
        <f>SEPTIEMBRE!AA230</f>
        <v>0</v>
      </c>
      <c r="Z230" s="475">
        <v>0</v>
      </c>
      <c r="AA230" s="149">
        <f>SUM(Y230:Z230)</f>
        <v>0</v>
      </c>
      <c r="AB230" s="147">
        <f>SEPTIEMBRE!AD230</f>
        <v>0</v>
      </c>
      <c r="AC230" s="475">
        <v>0</v>
      </c>
      <c r="AD230" s="149">
        <f>SUM(AB230:AC230)</f>
        <v>0</v>
      </c>
      <c r="AE230" s="147">
        <f>SEPTIEMBRE!AG230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+IF(SEPTIEMBRE!S231=0,"",SEPTIEMBRE!S231)</f>
        <v/>
      </c>
      <c r="T231" s="628" t="str">
        <f>+IF(SEPTIEMBRE!T231=0,"",SEPTIEMBRE!T231)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+IF(SEPTIEMBRE!S232=0,"",SEPTIEMBRE!S232)</f>
        <v>D</v>
      </c>
      <c r="T232" s="655" t="str">
        <f>+IF(SEPTIEMBRE!T232=0,"",SEPTIEMBRE!T232)</f>
        <v>INVERSION</v>
      </c>
      <c r="U232" s="589">
        <f t="shared" ref="U232:AJ232" si="186">U234</f>
        <v>121563100</v>
      </c>
      <c r="V232" s="590">
        <f t="shared" si="186"/>
        <v>-1563100</v>
      </c>
      <c r="W232" s="590">
        <f t="shared" si="186"/>
        <v>135410140</v>
      </c>
      <c r="X232" s="591">
        <f t="shared" si="186"/>
        <v>255410140</v>
      </c>
      <c r="Y232" s="464">
        <f t="shared" si="186"/>
        <v>182141088</v>
      </c>
      <c r="Z232" s="590">
        <f t="shared" si="186"/>
        <v>0</v>
      </c>
      <c r="AA232" s="591">
        <f t="shared" si="186"/>
        <v>182141088</v>
      </c>
      <c r="AB232" s="464">
        <f t="shared" si="186"/>
        <v>182139859</v>
      </c>
      <c r="AC232" s="590">
        <f t="shared" si="186"/>
        <v>0</v>
      </c>
      <c r="AD232" s="591">
        <f t="shared" si="186"/>
        <v>182139859</v>
      </c>
      <c r="AE232" s="464">
        <f t="shared" si="186"/>
        <v>170805784</v>
      </c>
      <c r="AF232" s="590">
        <f t="shared" si="186"/>
        <v>5559836</v>
      </c>
      <c r="AG232" s="591">
        <f t="shared" si="186"/>
        <v>176365620</v>
      </c>
      <c r="AH232" s="464">
        <f t="shared" si="186"/>
        <v>73269052</v>
      </c>
      <c r="AI232" s="590">
        <f t="shared" si="186"/>
        <v>73270281</v>
      </c>
      <c r="AJ232" s="465">
        <f t="shared" si="186"/>
        <v>79044520</v>
      </c>
      <c r="AK232" s="648"/>
      <c r="AL232" s="464">
        <f>AL234</f>
        <v>0</v>
      </c>
      <c r="AM232" s="465">
        <f>AM234</f>
        <v>50000000</v>
      </c>
      <c r="AN232" s="10"/>
    </row>
    <row r="233" spans="1:64" s="467" customFormat="1" ht="15.75" x14ac:dyDescent="0.2">
      <c r="A233" s="623"/>
      <c r="B233" s="554"/>
      <c r="N233" s="10"/>
      <c r="P233" s="10"/>
      <c r="Q233" s="10"/>
      <c r="R233" s="10"/>
      <c r="S233" s="448" t="str">
        <f>+IF(SEPTIEMBRE!S233=0,"",SEPTIEMBRE!S233)</f>
        <v/>
      </c>
      <c r="T233" s="649" t="str">
        <f>+IF(SEPTIEMBRE!T233=0,"",SEPTIEMBRE!T233)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+IF(SEPTIEMBRE!S234=0,"",SEPTIEMBRE!S234)</f>
        <v>8000000</v>
      </c>
      <c r="T234" s="158" t="str">
        <f>+IF(SEPTIEMBRE!T234=0,"",SEPTIEMBRE!T234)</f>
        <v>Programas de Inversión</v>
      </c>
      <c r="U234" s="157">
        <f t="shared" ref="U234:AJ234" si="187">U235+U243</f>
        <v>121563100</v>
      </c>
      <c r="V234" s="144">
        <f t="shared" si="187"/>
        <v>-1563100</v>
      </c>
      <c r="W234" s="144">
        <f t="shared" si="187"/>
        <v>135410140</v>
      </c>
      <c r="X234" s="152">
        <f t="shared" si="187"/>
        <v>255410140</v>
      </c>
      <c r="Y234" s="151">
        <f t="shared" si="187"/>
        <v>182141088</v>
      </c>
      <c r="Z234" s="144">
        <f t="shared" si="187"/>
        <v>0</v>
      </c>
      <c r="AA234" s="152">
        <f t="shared" si="187"/>
        <v>182141088</v>
      </c>
      <c r="AB234" s="151">
        <f t="shared" si="187"/>
        <v>182139859</v>
      </c>
      <c r="AC234" s="144">
        <f t="shared" si="187"/>
        <v>0</v>
      </c>
      <c r="AD234" s="152">
        <f t="shared" si="187"/>
        <v>182139859</v>
      </c>
      <c r="AE234" s="151">
        <f t="shared" si="187"/>
        <v>170805784</v>
      </c>
      <c r="AF234" s="144">
        <f t="shared" si="187"/>
        <v>5559836</v>
      </c>
      <c r="AG234" s="152">
        <f t="shared" si="187"/>
        <v>176365620</v>
      </c>
      <c r="AH234" s="151">
        <f t="shared" si="187"/>
        <v>73269052</v>
      </c>
      <c r="AI234" s="144">
        <f t="shared" si="187"/>
        <v>73270281</v>
      </c>
      <c r="AJ234" s="153">
        <f t="shared" si="187"/>
        <v>79044520</v>
      </c>
      <c r="AK234" s="10"/>
      <c r="AL234" s="151">
        <f>AL235+AL243</f>
        <v>0</v>
      </c>
      <c r="AM234" s="153">
        <f>AM235+AM243</f>
        <v>50000000</v>
      </c>
      <c r="AN234" s="10"/>
    </row>
    <row r="235" spans="1:64" s="467" customFormat="1" x14ac:dyDescent="0.2">
      <c r="A235" s="623"/>
      <c r="B235" s="554"/>
      <c r="N235" s="10"/>
      <c r="P235" s="10"/>
      <c r="Q235" s="10"/>
      <c r="R235" s="10"/>
      <c r="S235" s="155">
        <f>+IF(SEPTIEMBRE!S235=0,"",SEPTIEMBRE!S235)</f>
        <v>8001000</v>
      </c>
      <c r="T235" s="159" t="str">
        <f>+IF(SEPTIEMBRE!T235=0,"",SEPTIEMBRE!T235)</f>
        <v>Formación Bruta del Capital</v>
      </c>
      <c r="U235" s="29">
        <f t="shared" ref="U235:AJ235" si="188">SUM(U236:U241)</f>
        <v>0</v>
      </c>
      <c r="V235" s="17">
        <f t="shared" si="188"/>
        <v>0</v>
      </c>
      <c r="W235" s="17">
        <f t="shared" si="188"/>
        <v>85410140</v>
      </c>
      <c r="X235" s="20">
        <f t="shared" si="188"/>
        <v>85410140</v>
      </c>
      <c r="Y235" s="21">
        <f t="shared" si="188"/>
        <v>85410140</v>
      </c>
      <c r="Z235" s="169">
        <f t="shared" si="188"/>
        <v>0</v>
      </c>
      <c r="AA235" s="20">
        <f t="shared" si="188"/>
        <v>85410140</v>
      </c>
      <c r="AB235" s="21">
        <f t="shared" si="188"/>
        <v>85408911</v>
      </c>
      <c r="AC235" s="169">
        <f t="shared" si="188"/>
        <v>0</v>
      </c>
      <c r="AD235" s="20">
        <f t="shared" si="188"/>
        <v>85408911</v>
      </c>
      <c r="AE235" s="21">
        <f t="shared" si="188"/>
        <v>79469837</v>
      </c>
      <c r="AF235" s="169">
        <f t="shared" si="188"/>
        <v>1980836</v>
      </c>
      <c r="AG235" s="20">
        <f t="shared" si="188"/>
        <v>81450673</v>
      </c>
      <c r="AH235" s="21">
        <f t="shared" si="188"/>
        <v>0</v>
      </c>
      <c r="AI235" s="17">
        <f t="shared" si="188"/>
        <v>1229</v>
      </c>
      <c r="AJ235" s="18">
        <f t="shared" si="188"/>
        <v>3959467</v>
      </c>
      <c r="AK235" s="10"/>
      <c r="AL235" s="31">
        <f>SUM(AL236:AL241)</f>
        <v>0</v>
      </c>
      <c r="AM235" s="28">
        <f>SUM(AM236:AM241)</f>
        <v>0</v>
      </c>
      <c r="AN235" s="10"/>
    </row>
    <row r="236" spans="1:64" s="467" customFormat="1" x14ac:dyDescent="0.2">
      <c r="A236" s="623"/>
      <c r="B236" s="554"/>
      <c r="N236" s="10"/>
      <c r="P236" s="10"/>
      <c r="Q236" s="10"/>
      <c r="R236" s="10"/>
      <c r="S236" s="156" t="str">
        <f>+IF(SEPTIEMBRE!S236=0,"",SEPTIEMBRE!S236)</f>
        <v>8001000-1</v>
      </c>
      <c r="T236" s="55" t="str">
        <f>+IF(SEPTIEMBRE!T236=0,"",SEPTIEMBRE!T236)</f>
        <v>Subprogr.Construc. Remodelac. Adecuación y Apliac.1</v>
      </c>
      <c r="U236" s="29">
        <f>+ENERO!U236</f>
        <v>0</v>
      </c>
      <c r="V236" s="17">
        <f>SEPTIEMBRE!V236+OCTUBRE!AL236</f>
        <v>0</v>
      </c>
      <c r="W236" s="17">
        <f>SEPTIEMBRE!W236+OCTUBRE!AM236</f>
        <v>85410140</v>
      </c>
      <c r="X236" s="20">
        <f t="shared" ref="X236:X241" si="189">SUM(U236:W236)</f>
        <v>85410140</v>
      </c>
      <c r="Y236" s="21">
        <f>SEPTIEMBRE!AA236</f>
        <v>85410140</v>
      </c>
      <c r="Z236" s="457">
        <v>0</v>
      </c>
      <c r="AA236" s="20">
        <f t="shared" ref="AA236:AA241" si="190">SUM(Y236:Z236)</f>
        <v>85410140</v>
      </c>
      <c r="AB236" s="21">
        <f>SEPTIEMBRE!AD236</f>
        <v>85408911</v>
      </c>
      <c r="AC236" s="457">
        <v>0</v>
      </c>
      <c r="AD236" s="20">
        <f t="shared" ref="AD236:AD241" si="191">SUM(AB236:AC236)</f>
        <v>85408911</v>
      </c>
      <c r="AE236" s="21">
        <f>SEPTIEMBRE!AG236</f>
        <v>79469837</v>
      </c>
      <c r="AF236" s="457">
        <v>1980836</v>
      </c>
      <c r="AG236" s="20">
        <f t="shared" ref="AG236:AG241" si="192">SUM(AE236:AF236)</f>
        <v>81450673</v>
      </c>
      <c r="AH236" s="21">
        <f t="shared" ref="AH236:AH241" si="193">X236-AA236</f>
        <v>0</v>
      </c>
      <c r="AI236" s="17">
        <f t="shared" ref="AI236:AI241" si="194">X236-AD236</f>
        <v>1229</v>
      </c>
      <c r="AJ236" s="18">
        <f t="shared" ref="AJ236:AJ241" si="195">X236-AG236</f>
        <v>3959467</v>
      </c>
      <c r="AK236" s="10"/>
      <c r="AL236" s="455">
        <v>0</v>
      </c>
      <c r="AM236" s="458">
        <v>0</v>
      </c>
      <c r="AN236" s="10"/>
    </row>
    <row r="237" spans="1:64" s="467" customFormat="1" x14ac:dyDescent="0.2">
      <c r="A237" s="623"/>
      <c r="B237" s="554"/>
      <c r="N237" s="10"/>
      <c r="P237" s="10"/>
      <c r="Q237" s="10"/>
      <c r="R237" s="10"/>
      <c r="S237" s="156" t="str">
        <f>+IF(SEPTIEMBRE!S237=0,"",SEPTIEMBRE!S237)</f>
        <v>8001000-2</v>
      </c>
      <c r="T237" s="55" t="str">
        <f>+IF(SEPTIEMBRE!T237=0,"",SEPTIEMBRE!T237)</f>
        <v>Subprogr.Construc. Remodelac. Adecuación y Apliac.2</v>
      </c>
      <c r="U237" s="29">
        <f>+ENERO!U237</f>
        <v>0</v>
      </c>
      <c r="V237" s="17">
        <f>SEPTIEMBRE!V237+OCTUBRE!AL237</f>
        <v>0</v>
      </c>
      <c r="W237" s="17">
        <f>SEPTIEMBRE!W237+OCTUBRE!AM237</f>
        <v>0</v>
      </c>
      <c r="X237" s="20">
        <f t="shared" si="189"/>
        <v>0</v>
      </c>
      <c r="Y237" s="21">
        <f>SEPTIEMBRE!AA237</f>
        <v>0</v>
      </c>
      <c r="Z237" s="457">
        <v>0</v>
      </c>
      <c r="AA237" s="20">
        <f t="shared" si="190"/>
        <v>0</v>
      </c>
      <c r="AB237" s="21">
        <f>SEPTIEMBRE!AD237</f>
        <v>0</v>
      </c>
      <c r="AC237" s="457">
        <v>0</v>
      </c>
      <c r="AD237" s="20">
        <f t="shared" si="191"/>
        <v>0</v>
      </c>
      <c r="AE237" s="21">
        <f>SEPTIEMBRE!AG237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x14ac:dyDescent="0.2">
      <c r="A238" s="623"/>
      <c r="B238" s="554"/>
      <c r="N238" s="10"/>
      <c r="P238" s="10"/>
      <c r="Q238" s="10"/>
      <c r="R238" s="10"/>
      <c r="S238" s="156" t="str">
        <f>+IF(SEPTIEMBRE!S238=0,"",SEPTIEMBRE!S238)</f>
        <v>8001000-3</v>
      </c>
      <c r="T238" s="55" t="str">
        <f>+IF(SEPTIEMBRE!T238=0,"",SEPTIEMBRE!T238)</f>
        <v>Subprogr.Construc. Remodelac. Adecuación y Apliac.3</v>
      </c>
      <c r="U238" s="29">
        <f>+ENERO!U238</f>
        <v>0</v>
      </c>
      <c r="V238" s="17">
        <f>SEPTIEMBRE!V238+OCTUBRE!AL238</f>
        <v>0</v>
      </c>
      <c r="W238" s="17">
        <f>SEPTIEMBRE!W238+OCTUBRE!AM238</f>
        <v>0</v>
      </c>
      <c r="X238" s="20">
        <f t="shared" si="189"/>
        <v>0</v>
      </c>
      <c r="Y238" s="21">
        <f>SEPTIEMBRE!AA238</f>
        <v>0</v>
      </c>
      <c r="Z238" s="457">
        <v>0</v>
      </c>
      <c r="AA238" s="20">
        <f t="shared" si="190"/>
        <v>0</v>
      </c>
      <c r="AB238" s="21">
        <f>SEPTIEMBRE!AD238</f>
        <v>0</v>
      </c>
      <c r="AC238" s="457">
        <v>0</v>
      </c>
      <c r="AD238" s="20">
        <f t="shared" si="191"/>
        <v>0</v>
      </c>
      <c r="AE238" s="21">
        <f>SEPTIEMBRE!AG238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x14ac:dyDescent="0.2">
      <c r="A239" s="623"/>
      <c r="B239" s="554"/>
      <c r="N239" s="10"/>
      <c r="P239" s="10"/>
      <c r="Q239" s="10"/>
      <c r="S239" s="156" t="str">
        <f>+IF(SEPTIEMBRE!S239=0,"",SEPTIEMBRE!S239)</f>
        <v>8001000-4</v>
      </c>
      <c r="T239" s="55" t="str">
        <f>+IF(SEPTIEMBRE!T239=0,"",SEPTIEMBRE!T239)</f>
        <v>Subprogr.Construc. Remodelac. Adecuación y Apliac.4</v>
      </c>
      <c r="U239" s="29">
        <f>+ENERO!U239</f>
        <v>0</v>
      </c>
      <c r="V239" s="17">
        <f>SEPTIEMBRE!V239+OCTUBRE!AL239</f>
        <v>0</v>
      </c>
      <c r="W239" s="17">
        <f>SEPTIEMBRE!W239+OCTUBRE!AM239</f>
        <v>0</v>
      </c>
      <c r="X239" s="20">
        <f t="shared" si="189"/>
        <v>0</v>
      </c>
      <c r="Y239" s="21">
        <f>SEPTIEMBRE!AA239</f>
        <v>0</v>
      </c>
      <c r="Z239" s="457">
        <v>0</v>
      </c>
      <c r="AA239" s="20">
        <f t="shared" si="190"/>
        <v>0</v>
      </c>
      <c r="AB239" s="21">
        <f>SEPTIEMBRE!AD239</f>
        <v>0</v>
      </c>
      <c r="AC239" s="457">
        <v>0</v>
      </c>
      <c r="AD239" s="20">
        <f t="shared" si="191"/>
        <v>0</v>
      </c>
      <c r="AE239" s="21">
        <f>SEPTIEMBRE!AG239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x14ac:dyDescent="0.2">
      <c r="A240" s="623"/>
      <c r="B240" s="554"/>
      <c r="N240" s="10"/>
      <c r="P240" s="10"/>
      <c r="Q240" s="10"/>
      <c r="S240" s="156" t="str">
        <f>+IF(SEPTIEMBRE!S240=0,"",SEPTIEMBRE!S240)</f>
        <v>8001000-7</v>
      </c>
      <c r="T240" s="55" t="str">
        <f>+IF(SEPTIEMBRE!T240=0,"",SEPTIEMBRE!T240)</f>
        <v>Subprogr.Construc. Remodelac. Adecuación y Apliac.5</v>
      </c>
      <c r="U240" s="29">
        <f>+ENERO!U240</f>
        <v>0</v>
      </c>
      <c r="V240" s="17">
        <f>SEPTIEMBRE!V240+OCTUBRE!AL240</f>
        <v>0</v>
      </c>
      <c r="W240" s="17">
        <f>SEPTIEMBRE!W240+OCTUBRE!AM240</f>
        <v>0</v>
      </c>
      <c r="X240" s="20">
        <f t="shared" si="189"/>
        <v>0</v>
      </c>
      <c r="Y240" s="21">
        <f>SEPTIEMBRE!AA240</f>
        <v>0</v>
      </c>
      <c r="Z240" s="457">
        <v>0</v>
      </c>
      <c r="AA240" s="20">
        <f t="shared" si="190"/>
        <v>0</v>
      </c>
      <c r="AB240" s="21">
        <f>SEPTIEMBRE!AD240</f>
        <v>0</v>
      </c>
      <c r="AC240" s="457">
        <v>0</v>
      </c>
      <c r="AD240" s="20">
        <f t="shared" si="191"/>
        <v>0</v>
      </c>
      <c r="AE240" s="21">
        <f>SEPTIEMBRE!AG240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s="467" customFormat="1" ht="14.25" x14ac:dyDescent="0.2">
      <c r="A241" s="623"/>
      <c r="B241" s="554"/>
      <c r="N241" s="10"/>
      <c r="P241" s="10"/>
      <c r="Q241" s="10"/>
      <c r="S241" s="656">
        <f>+IF(SEPTIEMBRE!S241=0,"",SEPTIEMBRE!S241)</f>
        <v>8001999</v>
      </c>
      <c r="T241" s="55" t="str">
        <f>+IF(SEPTIEMBRE!T241=0,"",SEPTIEMBRE!T241)</f>
        <v>Vigencias Anteriores</v>
      </c>
      <c r="U241" s="29">
        <f>+ENERO!U241</f>
        <v>0</v>
      </c>
      <c r="V241" s="17">
        <f>SEPTIEMBRE!V241+OCTUBRE!AL241</f>
        <v>0</v>
      </c>
      <c r="W241" s="17">
        <f>SEPTIEMBRE!W241+OCTUBRE!AM241</f>
        <v>0</v>
      </c>
      <c r="X241" s="20">
        <f t="shared" si="189"/>
        <v>0</v>
      </c>
      <c r="Y241" s="21">
        <f>SEPTIEMBRE!AA241</f>
        <v>0</v>
      </c>
      <c r="Z241" s="457">
        <v>0</v>
      </c>
      <c r="AA241" s="20">
        <f t="shared" si="190"/>
        <v>0</v>
      </c>
      <c r="AB241" s="21">
        <f>SEPTIEMBRE!AD241</f>
        <v>0</v>
      </c>
      <c r="AC241" s="457">
        <v>0</v>
      </c>
      <c r="AD241" s="20">
        <f t="shared" si="191"/>
        <v>0</v>
      </c>
      <c r="AE241" s="21">
        <f>SEPTIEMBRE!AG241</f>
        <v>0</v>
      </c>
      <c r="AF241" s="457">
        <v>0</v>
      </c>
      <c r="AG241" s="20">
        <f t="shared" si="192"/>
        <v>0</v>
      </c>
      <c r="AH241" s="21">
        <f t="shared" si="193"/>
        <v>0</v>
      </c>
      <c r="AI241" s="17">
        <f t="shared" si="194"/>
        <v>0</v>
      </c>
      <c r="AJ241" s="18">
        <f t="shared" si="195"/>
        <v>0</v>
      </c>
      <c r="AK241" s="10"/>
      <c r="AL241" s="455">
        <v>0</v>
      </c>
      <c r="AM241" s="458">
        <v>0</v>
      </c>
      <c r="AN241" s="10"/>
      <c r="BB241" s="339"/>
      <c r="BC241" s="339"/>
      <c r="BD241" s="339"/>
      <c r="BE241" s="339"/>
      <c r="BF241" s="339"/>
      <c r="BG241" s="339"/>
      <c r="BH241" s="339"/>
      <c r="BI241" s="339"/>
      <c r="BJ241" s="339"/>
      <c r="BK241" s="339"/>
      <c r="BL241" s="339"/>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+IF(SEPTIEMBRE!S242=0,"",SEPTIEMBRE!S242)</f>
        <v/>
      </c>
      <c r="T242" s="649" t="str">
        <f>+IF(SEPTIEMBRE!T242=0,"",SEPTIEMBRE!T242)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+IF(SEPTIEMBRE!S243=0,"",SEPTIEMBRE!S243)</f>
        <v>8002001</v>
      </c>
      <c r="T243" s="159" t="str">
        <f>+IF(SEPTIEMBRE!T243=0,"",SEPTIEMBRE!T243)</f>
        <v>Gastos Operativos de Inversion   (Programas Especiales)</v>
      </c>
      <c r="U243" s="29">
        <f t="shared" ref="U243:AJ243" si="196">SUM(U244:U256)</f>
        <v>121563100</v>
      </c>
      <c r="V243" s="17">
        <f t="shared" si="196"/>
        <v>-1563100</v>
      </c>
      <c r="W243" s="17">
        <f t="shared" si="196"/>
        <v>50000000</v>
      </c>
      <c r="X243" s="20">
        <f t="shared" si="196"/>
        <v>170000000</v>
      </c>
      <c r="Y243" s="21">
        <f t="shared" si="196"/>
        <v>96730948</v>
      </c>
      <c r="Z243" s="169">
        <f t="shared" si="196"/>
        <v>0</v>
      </c>
      <c r="AA243" s="20">
        <f t="shared" si="196"/>
        <v>96730948</v>
      </c>
      <c r="AB243" s="21">
        <f t="shared" si="196"/>
        <v>96730948</v>
      </c>
      <c r="AC243" s="169">
        <f t="shared" si="196"/>
        <v>0</v>
      </c>
      <c r="AD243" s="20">
        <f t="shared" si="196"/>
        <v>96730948</v>
      </c>
      <c r="AE243" s="21">
        <f t="shared" si="196"/>
        <v>91335947</v>
      </c>
      <c r="AF243" s="169">
        <f t="shared" si="196"/>
        <v>3579000</v>
      </c>
      <c r="AG243" s="20">
        <f t="shared" si="196"/>
        <v>94914947</v>
      </c>
      <c r="AH243" s="21">
        <f t="shared" si="196"/>
        <v>73269052</v>
      </c>
      <c r="AI243" s="17">
        <f t="shared" si="196"/>
        <v>73269052</v>
      </c>
      <c r="AJ243" s="18">
        <f t="shared" si="196"/>
        <v>75085053</v>
      </c>
      <c r="AK243" s="10"/>
      <c r="AL243" s="21">
        <f>SUM(AL244:AL256)</f>
        <v>0</v>
      </c>
      <c r="AM243" s="18">
        <f>SUM(AM244:AM256)</f>
        <v>50000000</v>
      </c>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+IF(SEPTIEMBRE!S244=0,"",SEPTIEMBRE!S244)</f>
        <v>8002100-1</v>
      </c>
      <c r="T244" s="55" t="str">
        <f>+IF(SEPTIEMBRE!T244=0,"",SEPTIEMBRE!T244)</f>
        <v>Salud Pública</v>
      </c>
      <c r="U244" s="29">
        <f>+ENERO!U244</f>
        <v>120000000</v>
      </c>
      <c r="V244" s="17">
        <f>SEPTIEMBRE!V244+OCTUBRE!AL244</f>
        <v>0</v>
      </c>
      <c r="W244" s="17">
        <f>SEPTIEMBRE!W244+OCTUBRE!AM244</f>
        <v>50000000</v>
      </c>
      <c r="X244" s="20">
        <f t="shared" ref="X244:X256" si="197">SUM(U244:W244)</f>
        <v>170000000</v>
      </c>
      <c r="Y244" s="21">
        <f>SEPTIEMBRE!AA244</f>
        <v>96730948</v>
      </c>
      <c r="Z244" s="457">
        <v>0</v>
      </c>
      <c r="AA244" s="20">
        <f t="shared" ref="AA244:AA256" si="198">SUM(Y244:Z244)</f>
        <v>96730948</v>
      </c>
      <c r="AB244" s="21">
        <f>SEPTIEMBRE!AD244</f>
        <v>96730948</v>
      </c>
      <c r="AC244" s="457">
        <v>0</v>
      </c>
      <c r="AD244" s="20">
        <f t="shared" ref="AD244:AD256" si="199">SUM(AB244:AC244)</f>
        <v>96730948</v>
      </c>
      <c r="AE244" s="21">
        <f>SEPTIEMBRE!AG244</f>
        <v>91335947</v>
      </c>
      <c r="AF244" s="457">
        <v>3579000</v>
      </c>
      <c r="AG244" s="20">
        <f t="shared" ref="AG244:AG256" si="200">SUM(AE244:AF244)</f>
        <v>94914947</v>
      </c>
      <c r="AH244" s="21">
        <f t="shared" ref="AH244:AH256" si="201">X244-AA244</f>
        <v>73269052</v>
      </c>
      <c r="AI244" s="17">
        <f t="shared" ref="AI244:AI256" si="202">X244-AD244</f>
        <v>73269052</v>
      </c>
      <c r="AJ244" s="18">
        <f t="shared" ref="AJ244:AJ256" si="203">X244-AG244</f>
        <v>75085053</v>
      </c>
      <c r="AK244" s="10"/>
      <c r="AL244" s="455">
        <v>0</v>
      </c>
      <c r="AM244" s="458">
        <v>50000000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+IF(SEPTIEMBRE!S245=0,"",SEPTIEMBRE!S245)</f>
        <v>8002100-2</v>
      </c>
      <c r="T245" s="55" t="str">
        <f>+IF(SEPTIEMBRE!T245=0,"",SEPTIEMBRE!T245)</f>
        <v>Programas Especial 01</v>
      </c>
      <c r="U245" s="29">
        <f>+ENERO!U245</f>
        <v>0</v>
      </c>
      <c r="V245" s="17">
        <f>SEPTIEMBRE!V245+OCTUBRE!AL245</f>
        <v>0</v>
      </c>
      <c r="W245" s="17">
        <f>SEPTIEMBRE!W245+OCTUBRE!AM245</f>
        <v>0</v>
      </c>
      <c r="X245" s="20">
        <f t="shared" si="197"/>
        <v>0</v>
      </c>
      <c r="Y245" s="21">
        <f>SEPTIEMBRE!AA245</f>
        <v>0</v>
      </c>
      <c r="Z245" s="457">
        <v>0</v>
      </c>
      <c r="AA245" s="20">
        <f t="shared" si="198"/>
        <v>0</v>
      </c>
      <c r="AB245" s="21">
        <f>SEPTIEMBRE!AD245</f>
        <v>0</v>
      </c>
      <c r="AC245" s="457">
        <v>0</v>
      </c>
      <c r="AD245" s="20">
        <f t="shared" si="199"/>
        <v>0</v>
      </c>
      <c r="AE245" s="21">
        <f>SEPTIEMBRE!AG245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+IF(SEPTIEMBRE!S246=0,"",SEPTIEMBRE!S246)</f>
        <v>8002100-3</v>
      </c>
      <c r="T246" s="55" t="str">
        <f>+IF(SEPTIEMBRE!T246=0,"",SEPTIEMBRE!T246)</f>
        <v>Programas Especial 02</v>
      </c>
      <c r="U246" s="29">
        <f>+ENERO!U246</f>
        <v>0</v>
      </c>
      <c r="V246" s="17">
        <f>SEPTIEMBRE!V246+OCTUBRE!AL246</f>
        <v>0</v>
      </c>
      <c r="W246" s="17">
        <f>SEPTIEMBRE!W246+OCTUBRE!AM246</f>
        <v>0</v>
      </c>
      <c r="X246" s="20">
        <f t="shared" si="197"/>
        <v>0</v>
      </c>
      <c r="Y246" s="21">
        <f>SEPTIEMBRE!AA246</f>
        <v>0</v>
      </c>
      <c r="Z246" s="457">
        <v>0</v>
      </c>
      <c r="AA246" s="20">
        <f t="shared" si="198"/>
        <v>0</v>
      </c>
      <c r="AB246" s="21">
        <f>SEPTIEMBRE!AD246</f>
        <v>0</v>
      </c>
      <c r="AC246" s="457">
        <v>0</v>
      </c>
      <c r="AD246" s="20">
        <f t="shared" si="199"/>
        <v>0</v>
      </c>
      <c r="AE246" s="21">
        <f>SEPTIEMBRE!AG246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+IF(SEPTIEMBRE!S247=0,"",SEPTIEMBRE!S247)</f>
        <v>8002100-4</v>
      </c>
      <c r="T247" s="55" t="str">
        <f>+IF(SEPTIEMBRE!T247=0,"",SEPTIEMBRE!T247)</f>
        <v>Programas Especial 03</v>
      </c>
      <c r="U247" s="29">
        <f>+ENERO!U247</f>
        <v>0</v>
      </c>
      <c r="V247" s="17">
        <f>SEPTIEMBRE!V247+OCTUBRE!AL247</f>
        <v>0</v>
      </c>
      <c r="W247" s="17">
        <f>SEPTIEMBRE!W247+OCTUBRE!AM247</f>
        <v>0</v>
      </c>
      <c r="X247" s="20">
        <f t="shared" si="197"/>
        <v>0</v>
      </c>
      <c r="Y247" s="21">
        <f>SEPTIEMBRE!AA247</f>
        <v>0</v>
      </c>
      <c r="Z247" s="457">
        <v>0</v>
      </c>
      <c r="AA247" s="20">
        <f t="shared" si="198"/>
        <v>0</v>
      </c>
      <c r="AB247" s="21">
        <f>SEPTIEMBRE!AD247</f>
        <v>0</v>
      </c>
      <c r="AC247" s="457">
        <v>0</v>
      </c>
      <c r="AD247" s="20">
        <f t="shared" si="199"/>
        <v>0</v>
      </c>
      <c r="AE247" s="21">
        <f>SEPTIEMBRE!AG247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+IF(SEPTIEMBRE!S248=0,"",SEPTIEMBRE!S248)</f>
        <v>8002100-5</v>
      </c>
      <c r="T248" s="55" t="str">
        <f>+IF(SEPTIEMBRE!T248=0,"",SEPTIEMBRE!T248)</f>
        <v>Programas Especial 04</v>
      </c>
      <c r="U248" s="29">
        <f>+ENERO!U248</f>
        <v>0</v>
      </c>
      <c r="V248" s="17">
        <f>SEPTIEMBRE!V248+OCTUBRE!AL248</f>
        <v>0</v>
      </c>
      <c r="W248" s="17">
        <f>SEPTIEMBRE!W248+OCTUBRE!AM248</f>
        <v>0</v>
      </c>
      <c r="X248" s="20">
        <f t="shared" si="197"/>
        <v>0</v>
      </c>
      <c r="Y248" s="21">
        <f>SEPTIEMBRE!AA248</f>
        <v>0</v>
      </c>
      <c r="Z248" s="457">
        <v>0</v>
      </c>
      <c r="AA248" s="20">
        <f t="shared" si="198"/>
        <v>0</v>
      </c>
      <c r="AB248" s="21">
        <f>SEPTIEMBRE!AD248</f>
        <v>0</v>
      </c>
      <c r="AC248" s="457">
        <v>0</v>
      </c>
      <c r="AD248" s="20">
        <f t="shared" si="199"/>
        <v>0</v>
      </c>
      <c r="AE248" s="21">
        <f>SEPTIEMBRE!AG248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+IF(SEPTIEMBRE!S249=0,"",SEPTIEMBRE!S249)</f>
        <v>8002100-6</v>
      </c>
      <c r="T249" s="55" t="str">
        <f>+IF(SEPTIEMBRE!T249=0,"",SEPTIEMBRE!T249)</f>
        <v>Programas Especial 05</v>
      </c>
      <c r="U249" s="29">
        <f>+ENERO!U249</f>
        <v>0</v>
      </c>
      <c r="V249" s="17">
        <f>SEPTIEMBRE!V249+OCTUBRE!AL249</f>
        <v>0</v>
      </c>
      <c r="W249" s="17">
        <f>SEPTIEMBRE!W249+OCTUBRE!AM249</f>
        <v>0</v>
      </c>
      <c r="X249" s="20">
        <f t="shared" si="197"/>
        <v>0</v>
      </c>
      <c r="Y249" s="21">
        <f>SEPTIEMBRE!AA249</f>
        <v>0</v>
      </c>
      <c r="Z249" s="457">
        <v>0</v>
      </c>
      <c r="AA249" s="20">
        <f t="shared" si="198"/>
        <v>0</v>
      </c>
      <c r="AB249" s="21">
        <f>SEPTIEMBRE!AD249</f>
        <v>0</v>
      </c>
      <c r="AC249" s="457">
        <v>0</v>
      </c>
      <c r="AD249" s="20">
        <f t="shared" si="199"/>
        <v>0</v>
      </c>
      <c r="AE249" s="21">
        <f>SEPTIEMBRE!AG249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+IF(SEPTIEMBRE!S250=0,"",SEPTIEMBRE!S250)</f>
        <v>8002100-7</v>
      </c>
      <c r="T250" s="55" t="str">
        <f>+IF(SEPTIEMBRE!T250=0,"",SEPTIEMBRE!T250)</f>
        <v>Programas Especial 06</v>
      </c>
      <c r="U250" s="29">
        <f>+ENERO!U250</f>
        <v>0</v>
      </c>
      <c r="V250" s="17">
        <f>SEPTIEMBRE!V250+OCTUBRE!AL250</f>
        <v>0</v>
      </c>
      <c r="W250" s="17">
        <f>SEPTIEMBRE!W250+OCTUBRE!AM250</f>
        <v>0</v>
      </c>
      <c r="X250" s="20">
        <f>SUM(U250:W250)</f>
        <v>0</v>
      </c>
      <c r="Y250" s="21">
        <f>SEPTIEMBRE!AA250</f>
        <v>0</v>
      </c>
      <c r="Z250" s="457">
        <v>0</v>
      </c>
      <c r="AA250" s="20">
        <f>SUM(Y250:Z250)</f>
        <v>0</v>
      </c>
      <c r="AB250" s="21">
        <f>SEPTIEMBRE!AD250</f>
        <v>0</v>
      </c>
      <c r="AC250" s="457">
        <v>0</v>
      </c>
      <c r="AD250" s="20">
        <f>SUM(AB250:AC250)</f>
        <v>0</v>
      </c>
      <c r="AE250" s="21">
        <f>SEPTIEMBRE!AG250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+IF(SEPTIEMBRE!S251=0,"",SEPTIEMBRE!S251)</f>
        <v>8002100-8</v>
      </c>
      <c r="T251" s="55" t="str">
        <f>+IF(SEPTIEMBRE!T251=0,"",SEPTIEMBRE!T251)</f>
        <v>Programas Especial 07</v>
      </c>
      <c r="U251" s="29">
        <f>+ENERO!U251</f>
        <v>0</v>
      </c>
      <c r="V251" s="17">
        <f>SEPTIEMBRE!V251+OCTUBRE!AL251</f>
        <v>0</v>
      </c>
      <c r="W251" s="17">
        <f>SEPTIEMBRE!W251+OCTUBRE!AM251</f>
        <v>0</v>
      </c>
      <c r="X251" s="20">
        <f>SUM(U251:W251)</f>
        <v>0</v>
      </c>
      <c r="Y251" s="21">
        <f>SEPTIEMBRE!AA251</f>
        <v>0</v>
      </c>
      <c r="Z251" s="457">
        <v>0</v>
      </c>
      <c r="AA251" s="20">
        <f>SUM(Y251:Z251)</f>
        <v>0</v>
      </c>
      <c r="AB251" s="21">
        <f>SEPTIEMBRE!AD251</f>
        <v>0</v>
      </c>
      <c r="AC251" s="457">
        <v>0</v>
      </c>
      <c r="AD251" s="20">
        <f>SUM(AB251:AC251)</f>
        <v>0</v>
      </c>
      <c r="AE251" s="21">
        <f>SEPTIEMBRE!AG251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+IF(SEPTIEMBRE!S252=0,"",SEPTIEMBRE!S252)</f>
        <v>8002100-9</v>
      </c>
      <c r="T252" s="55" t="str">
        <f>+IF(SEPTIEMBRE!T252=0,"",SEPTIEMBRE!T252)</f>
        <v>Programas Especial 08</v>
      </c>
      <c r="U252" s="29">
        <f>+ENERO!U252</f>
        <v>0</v>
      </c>
      <c r="V252" s="17">
        <f>SEPTIEMBRE!V252+OCTUBRE!AL252</f>
        <v>0</v>
      </c>
      <c r="W252" s="17">
        <f>SEPTIEMBRE!W252+OCTUBRE!AM252</f>
        <v>0</v>
      </c>
      <c r="X252" s="20">
        <f>SUM(U252:W252)</f>
        <v>0</v>
      </c>
      <c r="Y252" s="21">
        <f>SEPTIEMBRE!AA252</f>
        <v>0</v>
      </c>
      <c r="Z252" s="457">
        <v>0</v>
      </c>
      <c r="AA252" s="20">
        <f>SUM(Y252:Z252)</f>
        <v>0</v>
      </c>
      <c r="AB252" s="21">
        <f>SEPTIEMBRE!AD252</f>
        <v>0</v>
      </c>
      <c r="AC252" s="457">
        <v>0</v>
      </c>
      <c r="AD252" s="20">
        <f>SUM(AB252:AC252)</f>
        <v>0</v>
      </c>
      <c r="AE252" s="21">
        <f>SEPTIEMBRE!AG252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+IF(SEPTIEMBRE!S253=0,"",SEPTIEMBRE!S253)</f>
        <v>8002100-10</v>
      </c>
      <c r="T253" s="55" t="str">
        <f>+IF(SEPTIEMBRE!T253=0,"",SEPTIEMBRE!T253)</f>
        <v>Programas Especial 09</v>
      </c>
      <c r="U253" s="29">
        <f>+ENERO!U253</f>
        <v>0</v>
      </c>
      <c r="V253" s="17">
        <f>SEPTIEMBRE!V253+OCTUBRE!AL253</f>
        <v>0</v>
      </c>
      <c r="W253" s="17">
        <f>SEPTIEMBRE!W253+OCTUBRE!AM253</f>
        <v>0</v>
      </c>
      <c r="X253" s="20">
        <f>SUM(U253:W253)</f>
        <v>0</v>
      </c>
      <c r="Y253" s="21">
        <f>SEPTIEMBRE!AA253</f>
        <v>0</v>
      </c>
      <c r="Z253" s="457">
        <v>0</v>
      </c>
      <c r="AA253" s="20">
        <f>SUM(Y253:Z253)</f>
        <v>0</v>
      </c>
      <c r="AB253" s="21">
        <f>SEPTIEMBRE!AD253</f>
        <v>0</v>
      </c>
      <c r="AC253" s="457">
        <v>0</v>
      </c>
      <c r="AD253" s="20">
        <f>SUM(AB253:AC253)</f>
        <v>0</v>
      </c>
      <c r="AE253" s="21">
        <f>SEPTIEMBRE!AG253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+IF(SEPTIEMBRE!S254=0,"",SEPTIEMBRE!S254)</f>
        <v>8002100-11</v>
      </c>
      <c r="T254" s="55" t="str">
        <f>+IF(SEPTIEMBRE!T254=0,"",SEPTIEMBRE!T254)</f>
        <v>Programas Especial 10</v>
      </c>
      <c r="U254" s="29">
        <f>+ENERO!U254</f>
        <v>0</v>
      </c>
      <c r="V254" s="17">
        <f>SEPTIEMBRE!V254+OCTUBRE!AL254</f>
        <v>0</v>
      </c>
      <c r="W254" s="17">
        <f>SEPTIEMBRE!W254+OCTUBRE!AM254</f>
        <v>0</v>
      </c>
      <c r="X254" s="20">
        <f>SUM(U254:W254)</f>
        <v>0</v>
      </c>
      <c r="Y254" s="21">
        <f>SEPTIEMBRE!AA254</f>
        <v>0</v>
      </c>
      <c r="Z254" s="457">
        <v>0</v>
      </c>
      <c r="AA254" s="20">
        <f>SUM(Y254:Z254)</f>
        <v>0</v>
      </c>
      <c r="AB254" s="21">
        <f>SEPTIEMBRE!AD254</f>
        <v>0</v>
      </c>
      <c r="AC254" s="457">
        <v>0</v>
      </c>
      <c r="AD254" s="20">
        <f>SUM(AB254:AC254)</f>
        <v>0</v>
      </c>
      <c r="AE254" s="21">
        <f>SEPTIEMBRE!AG254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+IF(SEPTIEMBRE!S255=0,"",SEPTIEMBRE!S255)</f>
        <v>8002100-12</v>
      </c>
      <c r="T255" s="55" t="str">
        <f>+IF(SEPTIEMBRE!T255=0,"",SEPTIEMBRE!T255)</f>
        <v>Programas Especial 11</v>
      </c>
      <c r="U255" s="29">
        <f>+ENERO!U255</f>
        <v>0</v>
      </c>
      <c r="V255" s="17">
        <f>SEPTIEMBRE!V255+OCTUBRE!AL255</f>
        <v>0</v>
      </c>
      <c r="W255" s="17">
        <f>SEPTIEMBRE!W255+OCTUBRE!AM255</f>
        <v>0</v>
      </c>
      <c r="X255" s="20">
        <f t="shared" si="197"/>
        <v>0</v>
      </c>
      <c r="Y255" s="21">
        <f>SEPTIEMBRE!AA255</f>
        <v>0</v>
      </c>
      <c r="Z255" s="457">
        <v>0</v>
      </c>
      <c r="AA255" s="20">
        <f t="shared" si="198"/>
        <v>0</v>
      </c>
      <c r="AB255" s="21">
        <f>SEPTIEMBRE!AD255</f>
        <v>0</v>
      </c>
      <c r="AC255" s="457">
        <v>0</v>
      </c>
      <c r="AD255" s="20">
        <f t="shared" si="199"/>
        <v>0</v>
      </c>
      <c r="AE255" s="21">
        <f>SEPTIEMBRE!AG255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+IF(SEPTIEMBRE!S256=0,"",SEPTIEMBRE!S256)</f>
        <v>8002999</v>
      </c>
      <c r="T256" s="658" t="str">
        <f>+IF(SEPTIEMBRE!T256=0,"",SEPTIEMBRE!T256)</f>
        <v>Vigencias Anteriores</v>
      </c>
      <c r="U256" s="160">
        <f>+ENERO!U256</f>
        <v>1563100</v>
      </c>
      <c r="V256" s="143">
        <f>SEPTIEMBRE!V256+OCTUBRE!AL256</f>
        <v>-1563100</v>
      </c>
      <c r="W256" s="143">
        <f>SEPTIEMBRE!W256+OCTUBRE!AM256</f>
        <v>0</v>
      </c>
      <c r="X256" s="149">
        <f t="shared" si="197"/>
        <v>0</v>
      </c>
      <c r="Y256" s="147">
        <f>SEPTIEMBRE!AA256</f>
        <v>0</v>
      </c>
      <c r="Z256" s="475">
        <v>0</v>
      </c>
      <c r="AA256" s="149">
        <f t="shared" si="198"/>
        <v>0</v>
      </c>
      <c r="AB256" s="147">
        <f>SEPTIEMBRE!AD256</f>
        <v>0</v>
      </c>
      <c r="AC256" s="475">
        <v>0</v>
      </c>
      <c r="AD256" s="149">
        <f t="shared" si="199"/>
        <v>0</v>
      </c>
      <c r="AE256" s="147">
        <f>SEPTIEMBRE!AG256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+IF(SEPTIEMBRE!S257=0,"",SEPTIEMBRE!S257)</f>
        <v/>
      </c>
      <c r="T257" s="357" t="str">
        <f>+IF(SEPTIEMBRE!T257=0,"",SEPTIEMBRE!T257)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+IF(SEPTIEMBRE!S258=0,"",SEPTIEMBRE!S258)</f>
        <v>E</v>
      </c>
      <c r="T258" s="664" t="str">
        <f>+IF(SEPTIEMBRE!T258=0,"",SEPTIEMBRE!T258)</f>
        <v>DISPONIBILIDAD FINAL</v>
      </c>
      <c r="U258" s="415">
        <f>+(C10+C17+C108)-(U10+U207+U220+U232)</f>
        <v>0</v>
      </c>
      <c r="V258" s="415">
        <f t="shared" ref="V258:AJ258" si="204">+(D10+D17+D108)-(V10+V207+V220+V232)</f>
        <v>0</v>
      </c>
      <c r="W258" s="415">
        <f t="shared" si="204"/>
        <v>0</v>
      </c>
      <c r="X258" s="415">
        <f t="shared" si="204"/>
        <v>0</v>
      </c>
      <c r="Y258" s="415">
        <f t="shared" si="204"/>
        <v>565301362</v>
      </c>
      <c r="Z258" s="415">
        <f t="shared" si="204"/>
        <v>103274888</v>
      </c>
      <c r="AA258" s="415">
        <f t="shared" si="204"/>
        <v>668576250</v>
      </c>
      <c r="AB258" s="415">
        <f t="shared" si="204"/>
        <v>126577143</v>
      </c>
      <c r="AC258" s="415">
        <f t="shared" si="204"/>
        <v>69870302</v>
      </c>
      <c r="AD258" s="415">
        <f t="shared" si="204"/>
        <v>196447445</v>
      </c>
      <c r="AE258" s="415">
        <f t="shared" si="204"/>
        <v>-1879206830</v>
      </c>
      <c r="AF258" s="415">
        <f t="shared" si="204"/>
        <v>732196325</v>
      </c>
      <c r="AG258" s="415">
        <f t="shared" si="204"/>
        <v>-2688773882</v>
      </c>
      <c r="AH258" s="415">
        <f t="shared" si="204"/>
        <v>-1203244263</v>
      </c>
      <c r="AI258" s="415">
        <f t="shared" si="204"/>
        <v>-953842809</v>
      </c>
      <c r="AJ258" s="415">
        <f t="shared" si="204"/>
        <v>-1400060453</v>
      </c>
      <c r="AK258" s="10"/>
      <c r="AL258" s="415">
        <v>0</v>
      </c>
      <c r="AM258" s="416">
        <v>0</v>
      </c>
    </row>
    <row r="259" spans="1:39" ht="17.25" thickBot="1" x14ac:dyDescent="0.25">
      <c r="S259" s="982" t="str">
        <f>+IF(SEPTIEMBRE!S259=0,"",SEPTIEMBRE!S259)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144524291</v>
      </c>
      <c r="AF259" s="133">
        <f t="shared" si="205"/>
        <v>0</v>
      </c>
      <c r="AG259" s="146">
        <f t="shared" si="205"/>
        <v>144524291</v>
      </c>
      <c r="AH259" s="145">
        <f t="shared" si="205"/>
        <v>466000</v>
      </c>
      <c r="AI259" s="133">
        <f t="shared" si="205"/>
        <v>466000</v>
      </c>
      <c r="AJ259" s="134">
        <f t="shared" si="205"/>
        <v>1395200</v>
      </c>
      <c r="AK259" s="12"/>
      <c r="AL259" s="145">
        <f>+SUMIF(AK8:AK256,AK33,AL8:AL256)</f>
        <v>0</v>
      </c>
      <c r="AM259" s="134">
        <f>+SUMIF(AL8:AL256,AL33,AM8:AM256)</f>
        <v>1517400000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1"/>
  <sheetViews>
    <sheetView showGridLines="0" zoomScale="85" zoomScaleNormal="85" workbookViewId="0">
      <selection activeCell="AC183" sqref="AC183"/>
    </sheetView>
  </sheetViews>
  <sheetFormatPr baseColWidth="10" defaultColWidth="0" defaultRowHeight="12.75" zeroHeight="1"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39.75" customHeight="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11</v>
      </c>
      <c r="AP2" s="349" t="s">
        <v>8</v>
      </c>
      <c r="AQ2" s="350"/>
      <c r="AR2" s="4"/>
      <c r="AS2" s="4"/>
      <c r="AT2" s="4"/>
      <c r="AU2" s="4"/>
      <c r="AV2" s="4"/>
      <c r="AW2" s="4"/>
      <c r="AX2" s="4"/>
      <c r="AY2" s="4"/>
      <c r="AZ2" s="5"/>
      <c r="BB2" s="952" t="s">
        <v>423</v>
      </c>
      <c r="BC2" s="969"/>
      <c r="BD2" s="69" t="s">
        <v>409</v>
      </c>
      <c r="BE2" s="347" t="str">
        <f>+L3</f>
        <v>NOVIEMBRE</v>
      </c>
      <c r="BF2" s="340"/>
      <c r="BG2" s="952" t="s">
        <v>424</v>
      </c>
      <c r="BH2" s="969"/>
      <c r="BI2" s="969"/>
      <c r="BJ2" s="69" t="s">
        <v>409</v>
      </c>
      <c r="BK2" s="347" t="str">
        <f>+BE2</f>
        <v>NOVIEMBRE</v>
      </c>
      <c r="BM2" s="952" t="s">
        <v>424</v>
      </c>
      <c r="BN2" s="969"/>
      <c r="BO2" s="969"/>
      <c r="BP2" s="69" t="s">
        <v>409</v>
      </c>
      <c r="BQ2" s="347" t="str">
        <f>+BK2</f>
        <v>NOVIEMBRE</v>
      </c>
    </row>
    <row r="3" spans="1:69" ht="15" customHeight="1"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395</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NOVIEMBRE</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5" customHeight="1"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customHeight="1"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6.5" customHeight="1"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NOVIEMBRE</v>
      </c>
      <c r="AS6" s="387" t="str">
        <f>AR6</f>
        <v>NOVIEMBRE</v>
      </c>
      <c r="AT6" s="387" t="str">
        <f>AR6</f>
        <v>NOVIEMBRE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346218126</v>
      </c>
      <c r="AS7" s="401">
        <f>L22</f>
        <v>204815609</v>
      </c>
      <c r="AT7" s="15"/>
      <c r="AU7" s="402">
        <f t="shared" ref="AU7:AU17" si="0">IF(AQ7=0," ",AR7/AQ7)</f>
        <v>1.4705260713807973</v>
      </c>
      <c r="AV7" s="402">
        <f t="shared" ref="AV7:AV17" si="1">IF(AQ7=0," ",AS7/AQ7)</f>
        <v>0.8699333461825608</v>
      </c>
      <c r="AW7" s="401">
        <f>I23/AO$2*12+I24</f>
        <v>368880200.63636363</v>
      </c>
      <c r="AX7" s="401">
        <f>L23/AO$2*12+L24</f>
        <v>214622909.36363637</v>
      </c>
      <c r="AY7" s="401">
        <f t="shared" ref="AY7:AY16" si="2">AW7-AQ7</f>
        <v>133441922.63636363</v>
      </c>
      <c r="AZ7" s="403">
        <f t="shared" ref="AZ7:AZ16" si="3">AX7-AQ7</f>
        <v>-20815368.636363626</v>
      </c>
      <c r="BB7" s="404" t="s">
        <v>55</v>
      </c>
      <c r="BC7" s="72">
        <f>F10</f>
        <v>133074115</v>
      </c>
      <c r="BD7" s="73">
        <f>I10</f>
        <v>133074115</v>
      </c>
      <c r="BE7" s="74">
        <f>K10</f>
        <v>0</v>
      </c>
      <c r="BF7" s="75"/>
      <c r="BG7" s="109" t="s">
        <v>56</v>
      </c>
      <c r="BH7" s="135">
        <f>+SUM(BH8:BH11)</f>
        <v>3326828778</v>
      </c>
      <c r="BI7" s="135">
        <f>+SUM(BI8:BI11)</f>
        <v>2592363415</v>
      </c>
      <c r="BJ7" s="135">
        <f>+SUM(BJ8:BJ11)</f>
        <v>2590405808</v>
      </c>
      <c r="BK7" s="135">
        <f>+SUM(BK8:BK11)</f>
        <v>234783639</v>
      </c>
      <c r="BM7" s="79" t="s">
        <v>56</v>
      </c>
      <c r="BN7" s="80">
        <f>BN8+BN15+BN22</f>
        <v>3326828778</v>
      </c>
      <c r="BO7" s="81">
        <f>BO8+BO15+BO22</f>
        <v>2592363415</v>
      </c>
      <c r="BP7" s="81">
        <f>BP8+BP15+BP22</f>
        <v>2590405808</v>
      </c>
      <c r="BQ7" s="82">
        <f>BQ8+BQ15+BQ22</f>
        <v>234783639</v>
      </c>
    </row>
    <row r="8" spans="1:69" s="10" customFormat="1" ht="24" thickBot="1" x14ac:dyDescent="0.3">
      <c r="A8" s="405">
        <f>+IF(OCTUBRE!A8=0,"",OCTUBRE!A8)</f>
        <v>1</v>
      </c>
      <c r="B8" s="670" t="str">
        <f>+IF(OCTUBRE!B8=0,"",OCTUBRE!B8)</f>
        <v>INGRESOS</v>
      </c>
      <c r="C8" s="407">
        <f>C10+C17+C108</f>
        <v>3631501012</v>
      </c>
      <c r="D8" s="407">
        <f t="shared" ref="D8:N8" si="4">D10+D17+D108</f>
        <v>0</v>
      </c>
      <c r="E8" s="407">
        <f t="shared" si="4"/>
        <v>457333323</v>
      </c>
      <c r="F8" s="407">
        <f t="shared" si="4"/>
        <v>4088834335</v>
      </c>
      <c r="G8" s="407">
        <f t="shared" si="4"/>
        <v>3554166322</v>
      </c>
      <c r="H8" s="407">
        <f t="shared" si="4"/>
        <v>287265232</v>
      </c>
      <c r="I8" s="407">
        <f t="shared" si="4"/>
        <v>3841431554</v>
      </c>
      <c r="J8" s="407">
        <f t="shared" si="4"/>
        <v>3081738971</v>
      </c>
      <c r="K8" s="407">
        <f t="shared" si="4"/>
        <v>301510464</v>
      </c>
      <c r="L8" s="407">
        <f t="shared" si="4"/>
        <v>3383249435</v>
      </c>
      <c r="M8" s="407">
        <f t="shared" si="4"/>
        <v>247402781</v>
      </c>
      <c r="N8" s="408">
        <f t="shared" si="4"/>
        <v>705584900</v>
      </c>
      <c r="O8" s="409"/>
      <c r="P8" s="410">
        <f>P10+P17+P108</f>
        <v>0</v>
      </c>
      <c r="Q8" s="408">
        <f>Q10+Q17+Q108</f>
        <v>0</v>
      </c>
      <c r="S8" s="206" t="str">
        <f>+IF(OCTUBRE!S8=0,"",OCTUBRE!S8)</f>
        <v/>
      </c>
      <c r="T8" s="411" t="str">
        <f>+IF(OCTUBRE!T8=0,"",OCTUBRE!T8)</f>
        <v>GASTOS</v>
      </c>
      <c r="U8" s="412">
        <f t="shared" ref="U8:AM8" si="5">U10+U207+U220+U232</f>
        <v>3631501012</v>
      </c>
      <c r="V8" s="413">
        <f t="shared" si="5"/>
        <v>0</v>
      </c>
      <c r="W8" s="413">
        <f t="shared" si="5"/>
        <v>457333323</v>
      </c>
      <c r="X8" s="414">
        <f t="shared" si="5"/>
        <v>4088834335</v>
      </c>
      <c r="Y8" s="415">
        <f t="shared" si="5"/>
        <v>2885590072</v>
      </c>
      <c r="Z8" s="413">
        <f t="shared" si="5"/>
        <v>326155460</v>
      </c>
      <c r="AA8" s="414">
        <f t="shared" si="5"/>
        <v>3211745532</v>
      </c>
      <c r="AB8" s="415">
        <f t="shared" si="5"/>
        <v>2885291526</v>
      </c>
      <c r="AC8" s="413">
        <f t="shared" si="5"/>
        <v>324467856</v>
      </c>
      <c r="AD8" s="414">
        <f t="shared" si="5"/>
        <v>3209759382</v>
      </c>
      <c r="AE8" s="415">
        <f t="shared" si="5"/>
        <v>2688773882</v>
      </c>
      <c r="AF8" s="413">
        <f t="shared" si="5"/>
        <v>271084159</v>
      </c>
      <c r="AG8" s="414">
        <f t="shared" si="5"/>
        <v>2959858041</v>
      </c>
      <c r="AH8" s="415">
        <f t="shared" si="5"/>
        <v>877088803</v>
      </c>
      <c r="AI8" s="413">
        <f t="shared" si="5"/>
        <v>879074953</v>
      </c>
      <c r="AJ8" s="416">
        <f t="shared" si="5"/>
        <v>1128976294</v>
      </c>
      <c r="AL8" s="417">
        <f t="shared" si="5"/>
        <v>0</v>
      </c>
      <c r="AM8" s="418">
        <f t="shared" si="5"/>
        <v>0</v>
      </c>
      <c r="AO8" s="23"/>
      <c r="AP8" s="13" t="s">
        <v>58</v>
      </c>
      <c r="AQ8" s="14">
        <f>F25</f>
        <v>2707198704</v>
      </c>
      <c r="AR8" s="14">
        <f>I25</f>
        <v>2486992935</v>
      </c>
      <c r="AS8" s="14">
        <f>L25</f>
        <v>2233960063</v>
      </c>
      <c r="AT8" s="15"/>
      <c r="AU8" s="419">
        <f t="shared" si="0"/>
        <v>0.91865917759393256</v>
      </c>
      <c r="AV8" s="419">
        <f t="shared" si="1"/>
        <v>0.82519249868848932</v>
      </c>
      <c r="AW8" s="14">
        <f>I26/AO$2*12+I27</f>
        <v>2693067188.4545455</v>
      </c>
      <c r="AX8" s="14">
        <f>L26/AO$2*12+L27</f>
        <v>2417031328.090909</v>
      </c>
      <c r="AY8" s="14">
        <f t="shared" si="2"/>
        <v>-14131515.545454502</v>
      </c>
      <c r="AZ8" s="420">
        <f t="shared" si="3"/>
        <v>-290167375.909091</v>
      </c>
      <c r="BB8" s="167" t="s">
        <v>59</v>
      </c>
      <c r="BC8" s="83">
        <f>BC9+BC19</f>
        <v>3486627588</v>
      </c>
      <c r="BD8" s="84">
        <f>BD9+BD19</f>
        <v>3179989022</v>
      </c>
      <c r="BE8" s="85">
        <f>BE9+BE19</f>
        <v>300419604</v>
      </c>
      <c r="BF8" s="75"/>
      <c r="BG8" s="86" t="s">
        <v>60</v>
      </c>
      <c r="BH8" s="87">
        <f>BN9+BN13</f>
        <v>2172482035</v>
      </c>
      <c r="BI8" s="87">
        <f>BO9+BO13</f>
        <v>1790163868</v>
      </c>
      <c r="BJ8" s="87">
        <f>BP9+BP13</f>
        <v>1790163868</v>
      </c>
      <c r="BK8" s="87">
        <f>BQ9+BQ13</f>
        <v>161997305</v>
      </c>
      <c r="BM8" s="89" t="s">
        <v>61</v>
      </c>
      <c r="BN8" s="90">
        <f>BN9+BN14+BN13</f>
        <v>2396916990</v>
      </c>
      <c r="BO8" s="87">
        <f>BO9+BO14+BO13</f>
        <v>1900846021</v>
      </c>
      <c r="BP8" s="87">
        <f>BP9+BP14+BP13</f>
        <v>1899163417</v>
      </c>
      <c r="BQ8" s="88">
        <f>BQ9+BQ14+BQ13</f>
        <v>173862700</v>
      </c>
    </row>
    <row r="9" spans="1:69" s="10" customFormat="1" ht="13.5" customHeight="1"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32800000</v>
      </c>
      <c r="AR9" s="14">
        <f>I28+I75</f>
        <v>32860005</v>
      </c>
      <c r="AS9" s="14">
        <f>L28+L75</f>
        <v>32880625</v>
      </c>
      <c r="AT9" s="15"/>
      <c r="AU9" s="429">
        <f t="shared" si="0"/>
        <v>1.0018294207317073</v>
      </c>
      <c r="AV9" s="429">
        <f t="shared" si="1"/>
        <v>1.0024580792682927</v>
      </c>
      <c r="AW9" s="430">
        <f>(I30+I33+I36+I76)/AO$2*12+I31+I34+I37+I38+I39+I40+I77</f>
        <v>35847278.18181818</v>
      </c>
      <c r="AX9" s="430">
        <f>(L30+L33+L36+L76)/AO$2*12+L31+L34+L37+L38+L39+L40+L77</f>
        <v>35869772.727272727</v>
      </c>
      <c r="AY9" s="430">
        <f t="shared" si="2"/>
        <v>3047278.1818181798</v>
      </c>
      <c r="AZ9" s="431">
        <f t="shared" si="3"/>
        <v>3069772.7272727266</v>
      </c>
      <c r="BB9" s="432" t="s">
        <v>456</v>
      </c>
      <c r="BC9" s="91">
        <f>BC10+BC18</f>
        <v>3357448559</v>
      </c>
      <c r="BD9" s="92">
        <f>BD10+BD18</f>
        <v>3051804233</v>
      </c>
      <c r="BE9" s="93">
        <f>BE10+BE18</f>
        <v>297520683</v>
      </c>
      <c r="BF9" s="94"/>
      <c r="BG9" s="95" t="s">
        <v>64</v>
      </c>
      <c r="BH9" s="96">
        <f t="shared" ref="BH9:BK10" si="6">BN14</f>
        <v>224434955</v>
      </c>
      <c r="BI9" s="96">
        <f t="shared" si="6"/>
        <v>110682153</v>
      </c>
      <c r="BJ9" s="96">
        <f t="shared" si="6"/>
        <v>108999549</v>
      </c>
      <c r="BK9" s="96">
        <f t="shared" si="6"/>
        <v>11865395</v>
      </c>
      <c r="BM9" s="164" t="s">
        <v>65</v>
      </c>
      <c r="BN9" s="98">
        <f>SUM(BN10:BN12)</f>
        <v>1605742067</v>
      </c>
      <c r="BO9" s="96">
        <f>SUM(BO10:BO12)</f>
        <v>1336427052</v>
      </c>
      <c r="BP9" s="96">
        <f>SUM(BP10:BP12)</f>
        <v>1336427052</v>
      </c>
      <c r="BQ9" s="97">
        <f>SUM(BQ10:BQ12)</f>
        <v>116435534</v>
      </c>
    </row>
    <row r="10" spans="1:69" s="10" customFormat="1" ht="20.25" customHeight="1" x14ac:dyDescent="0.2">
      <c r="A10" s="433">
        <f>+IF(OCTUBRE!A10=0,"",OCTUBRE!A10)</f>
        <v>10</v>
      </c>
      <c r="B10" s="434" t="str">
        <f>+IF(OCTUBRE!B10=0,"",OCTUBRE!B10)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+IF(OCTUBRE!S10=0,"",OCTUBRE!S10)</f>
        <v>A</v>
      </c>
      <c r="T10" s="439" t="str">
        <f>+IF(OCTUBRE!T10=0,"",OCTUBRE!T10)</f>
        <v>GASTOS DE FUNCIONAMIENTO</v>
      </c>
      <c r="U10" s="440">
        <f t="shared" ref="U10:AJ10" si="8">U12+U110+U170+U193</f>
        <v>3509937912</v>
      </c>
      <c r="V10" s="441">
        <f t="shared" si="8"/>
        <v>1563100</v>
      </c>
      <c r="W10" s="441">
        <f t="shared" si="8"/>
        <v>321923183</v>
      </c>
      <c r="X10" s="444">
        <f t="shared" si="8"/>
        <v>3833424195</v>
      </c>
      <c r="Y10" s="443">
        <f t="shared" si="8"/>
        <v>2703448984</v>
      </c>
      <c r="Z10" s="441">
        <f t="shared" si="8"/>
        <v>305972978</v>
      </c>
      <c r="AA10" s="444">
        <f t="shared" si="8"/>
        <v>3009421962</v>
      </c>
      <c r="AB10" s="443">
        <f t="shared" si="8"/>
        <v>2703151667</v>
      </c>
      <c r="AC10" s="441">
        <f t="shared" si="8"/>
        <v>304285374</v>
      </c>
      <c r="AD10" s="444">
        <f t="shared" si="8"/>
        <v>3007437041</v>
      </c>
      <c r="AE10" s="443">
        <f t="shared" si="8"/>
        <v>2512408262</v>
      </c>
      <c r="AF10" s="441">
        <f t="shared" si="8"/>
        <v>267125921</v>
      </c>
      <c r="AG10" s="444">
        <f t="shared" si="8"/>
        <v>2779534183</v>
      </c>
      <c r="AH10" s="443">
        <f t="shared" si="8"/>
        <v>824002233</v>
      </c>
      <c r="AI10" s="441">
        <f t="shared" si="8"/>
        <v>825987154</v>
      </c>
      <c r="AJ10" s="442">
        <f t="shared" si="8"/>
        <v>1053890012</v>
      </c>
      <c r="AL10" s="445">
        <f>AL12+AL110+AL170+AL193</f>
        <v>0</v>
      </c>
      <c r="AM10" s="446">
        <f>AM12+AM110+AM170+AM193</f>
        <v>0</v>
      </c>
      <c r="AO10" s="428"/>
      <c r="AP10" s="13" t="s">
        <v>67</v>
      </c>
      <c r="AQ10" s="14">
        <f>F42</f>
        <v>175397398</v>
      </c>
      <c r="AR10" s="14">
        <f>I42</f>
        <v>121347996</v>
      </c>
      <c r="AS10" s="14">
        <f>L42</f>
        <v>83976843</v>
      </c>
      <c r="AT10" s="15"/>
      <c r="AU10" s="429">
        <f t="shared" si="0"/>
        <v>0.69184604437518504</v>
      </c>
      <c r="AV10" s="429">
        <f t="shared" si="1"/>
        <v>0.47878043778049661</v>
      </c>
      <c r="AW10" s="430">
        <f>I43/AO$2*12+I44</f>
        <v>132379632</v>
      </c>
      <c r="AX10" s="430">
        <f>L43/AO$2*12+L44</f>
        <v>91611101.454545453</v>
      </c>
      <c r="AY10" s="430">
        <f t="shared" si="2"/>
        <v>-43017766</v>
      </c>
      <c r="AZ10" s="431">
        <f t="shared" si="3"/>
        <v>-83786296.545454547</v>
      </c>
      <c r="BB10" s="447" t="s">
        <v>457</v>
      </c>
      <c r="BC10" s="91">
        <f>BC11+BC12+BC13+BC14+BC16+BC17+BC15</f>
        <v>3104923118</v>
      </c>
      <c r="BD10" s="92">
        <f>BD11+BD12+BD13+BD14+BD16+BD17+BD15</f>
        <v>2820322578</v>
      </c>
      <c r="BE10" s="93">
        <f>BE11+BE12+BE13+BE14+BE16+BE17+BE15</f>
        <v>276476896</v>
      </c>
      <c r="BF10" s="94"/>
      <c r="BG10" s="86" t="s">
        <v>68</v>
      </c>
      <c r="BH10" s="99">
        <f t="shared" si="6"/>
        <v>731144299</v>
      </c>
      <c r="BI10" s="99">
        <f t="shared" si="6"/>
        <v>571620524</v>
      </c>
      <c r="BJ10" s="99">
        <f t="shared" si="6"/>
        <v>571345521</v>
      </c>
      <c r="BK10" s="99">
        <f t="shared" si="6"/>
        <v>53364746</v>
      </c>
      <c r="BM10" s="161" t="s">
        <v>470</v>
      </c>
      <c r="BN10" s="101">
        <f>X17+X66</f>
        <v>1269481968</v>
      </c>
      <c r="BO10" s="99">
        <f>AA17+AA66</f>
        <v>1166928463</v>
      </c>
      <c r="BP10" s="99">
        <f>AD17+AD66</f>
        <v>1166928463</v>
      </c>
      <c r="BQ10" s="100">
        <f>AF17+AF66</f>
        <v>100719076</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0.91666666666666663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2266816788</v>
      </c>
      <c r="BE11" s="93">
        <f>K26</f>
        <v>206415661</v>
      </c>
      <c r="BF11" s="94"/>
      <c r="BG11" s="86" t="s">
        <v>69</v>
      </c>
      <c r="BH11" s="102">
        <f>BN22</f>
        <v>198767489</v>
      </c>
      <c r="BI11" s="102">
        <f>BO22</f>
        <v>119896870</v>
      </c>
      <c r="BJ11" s="102">
        <f>BP22</f>
        <v>119896870</v>
      </c>
      <c r="BK11" s="102">
        <f>BQ22</f>
        <v>7556193</v>
      </c>
      <c r="BM11" s="162" t="s">
        <v>471</v>
      </c>
      <c r="BN11" s="104">
        <f>X18+X67</f>
        <v>136976782</v>
      </c>
      <c r="BO11" s="102">
        <f>AA18+AA67</f>
        <v>95081203</v>
      </c>
      <c r="BP11" s="102">
        <f>AD18+AD67</f>
        <v>95081203</v>
      </c>
      <c r="BQ11" s="103">
        <f>AF18+AF67</f>
        <v>8526643</v>
      </c>
    </row>
    <row r="12" spans="1:69" s="10" customFormat="1" ht="25.5" x14ac:dyDescent="0.2">
      <c r="A12" s="203">
        <f>+IF(OCTUBRE!A12=0,"",OCTUBRE!A12)</f>
        <v>1001</v>
      </c>
      <c r="B12" s="251" t="str">
        <f>+IF(OCTUBRE!B12=0,"",OCTUBRE!B12)</f>
        <v>Bienestar Social (Caja, Bancos, Inversiones Tempor.) a Dic-31-2013</v>
      </c>
      <c r="C12" s="283">
        <f>+ENERO!C12</f>
        <v>0</v>
      </c>
      <c r="D12" s="456">
        <f>OCTUBRE!D12+NOVIEMBRE!P12</f>
        <v>0</v>
      </c>
      <c r="E12" s="456">
        <f>OCTUBRE!E12+NOVIEMBRE!Q12</f>
        <v>0</v>
      </c>
      <c r="F12" s="170">
        <f>SUM(C12:E12)</f>
        <v>0</v>
      </c>
      <c r="G12" s="283">
        <f>OCTUBRE!I12</f>
        <v>0</v>
      </c>
      <c r="H12" s="154">
        <v>0</v>
      </c>
      <c r="I12" s="170">
        <f>SUM(G12:H12)</f>
        <v>0</v>
      </c>
      <c r="J12" s="283">
        <f>OCTUBRE!L12</f>
        <v>0</v>
      </c>
      <c r="K12" s="154">
        <v>0</v>
      </c>
      <c r="L12" s="170">
        <f>SUM(J12:K12)</f>
        <v>0</v>
      </c>
      <c r="M12" s="283">
        <f>F12-I12</f>
        <v>0</v>
      </c>
      <c r="N12" s="170">
        <f>F12-L12</f>
        <v>0</v>
      </c>
      <c r="O12" s="365"/>
      <c r="P12" s="455">
        <v>0</v>
      </c>
      <c r="Q12" s="458">
        <v>0</v>
      </c>
      <c r="S12" s="459">
        <f>+IF(OCTUBRE!S12=0,"",OCTUBRE!S12)</f>
        <v>1000000</v>
      </c>
      <c r="T12" s="460" t="str">
        <f>+IF(OCTUBRE!T12=0,"",OCTUBRE!T12)</f>
        <v>GASTOS DE PERSONAL</v>
      </c>
      <c r="U12" s="461">
        <f t="shared" ref="U12:AJ12" si="9">U14+U63</f>
        <v>2360005696</v>
      </c>
      <c r="V12" s="462">
        <f t="shared" si="9"/>
        <v>0</v>
      </c>
      <c r="W12" s="462">
        <f t="shared" si="9"/>
        <v>77989110</v>
      </c>
      <c r="X12" s="463">
        <f t="shared" si="9"/>
        <v>2437994806</v>
      </c>
      <c r="Y12" s="445">
        <f t="shared" si="9"/>
        <v>1742903831</v>
      </c>
      <c r="Z12" s="462">
        <f t="shared" si="9"/>
        <v>198555006</v>
      </c>
      <c r="AA12" s="463">
        <f t="shared" si="9"/>
        <v>1941458837</v>
      </c>
      <c r="AB12" s="445">
        <f t="shared" si="9"/>
        <v>1742903831</v>
      </c>
      <c r="AC12" s="462">
        <f t="shared" si="9"/>
        <v>196872402</v>
      </c>
      <c r="AD12" s="463">
        <f t="shared" si="9"/>
        <v>1939776233</v>
      </c>
      <c r="AE12" s="445">
        <f t="shared" si="9"/>
        <v>1672521338</v>
      </c>
      <c r="AF12" s="462">
        <f t="shared" si="9"/>
        <v>173862700</v>
      </c>
      <c r="AG12" s="463">
        <f t="shared" si="9"/>
        <v>1846384038</v>
      </c>
      <c r="AH12" s="445">
        <f t="shared" si="9"/>
        <v>496535969</v>
      </c>
      <c r="AI12" s="462">
        <f t="shared" si="9"/>
        <v>498218573</v>
      </c>
      <c r="AJ12" s="446">
        <f t="shared" si="9"/>
        <v>591610768</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249282821</v>
      </c>
      <c r="BE12" s="93">
        <f>K23</f>
        <v>9651425</v>
      </c>
      <c r="BF12" s="94"/>
      <c r="BG12" s="466" t="s">
        <v>412</v>
      </c>
      <c r="BH12" s="102">
        <f>BN25</f>
        <v>360675926</v>
      </c>
      <c r="BI12" s="17">
        <f>BO25</f>
        <v>271605056</v>
      </c>
      <c r="BJ12" s="102">
        <f>BP25</f>
        <v>271577742</v>
      </c>
      <c r="BK12" s="102">
        <f>BQ25</f>
        <v>32342282</v>
      </c>
      <c r="BM12" s="163" t="s">
        <v>472</v>
      </c>
      <c r="BN12" s="104">
        <f>X16+X65-X81-X33-BN10-BN11</f>
        <v>199283317</v>
      </c>
      <c r="BO12" s="102">
        <f>AA16+AA65-AA81-AA33-BO10-BO11</f>
        <v>74417386</v>
      </c>
      <c r="BP12" s="102">
        <f>AD16+AD65-AD81-AD33-BP10-BP11</f>
        <v>74417386</v>
      </c>
      <c r="BQ12" s="103">
        <f>AF16+AF65-AF81-AF33-BQ10-BQ11</f>
        <v>7189815</v>
      </c>
    </row>
    <row r="13" spans="1:69" s="10" customFormat="1" ht="25.5" x14ac:dyDescent="0.25">
      <c r="A13" s="203">
        <f>+IF(OCTUBRE!A13=0,"",OCTUBRE!A13)</f>
        <v>1002</v>
      </c>
      <c r="B13" s="251" t="str">
        <f>+IF(OCTUBRE!B13=0,"",OCTUBRE!B13)</f>
        <v>Fondo Vivienda (Caja, Bancos, Inversiones Tempor.) a Dic-31-2013</v>
      </c>
      <c r="C13" s="283">
        <f>+ENERO!C13</f>
        <v>0</v>
      </c>
      <c r="D13" s="456">
        <f>OCTUBRE!D13+NOVIEMBRE!P13</f>
        <v>0</v>
      </c>
      <c r="E13" s="456">
        <f>OCTUBRE!E13+NOVIEMBRE!Q13</f>
        <v>0</v>
      </c>
      <c r="F13" s="170">
        <f>SUM(C13:E13)</f>
        <v>0</v>
      </c>
      <c r="G13" s="283">
        <f>OCTUBRE!I13</f>
        <v>0</v>
      </c>
      <c r="H13" s="154">
        <v>0</v>
      </c>
      <c r="I13" s="170">
        <f>SUM(G13:H13)</f>
        <v>0</v>
      </c>
      <c r="J13" s="283">
        <f>OCTUBRE!L13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255410140</v>
      </c>
      <c r="BI13" s="102">
        <f t="shared" si="10"/>
        <v>202323570</v>
      </c>
      <c r="BJ13" s="102">
        <f t="shared" si="10"/>
        <v>202322341</v>
      </c>
      <c r="BK13" s="102">
        <f t="shared" si="10"/>
        <v>3958238</v>
      </c>
      <c r="BM13" s="166" t="s">
        <v>473</v>
      </c>
      <c r="BN13" s="101">
        <f>X43-X55+X57-X61+X90-X102+X104-X108</f>
        <v>566739968</v>
      </c>
      <c r="BO13" s="99">
        <f>AA43-AA55+AA57-AA61+AA90-AA102+AA104-AA108</f>
        <v>453736816</v>
      </c>
      <c r="BP13" s="99">
        <f>AD43-AD55+AD57-AD61+AD90-AD102+AD104-AD108</f>
        <v>453736816</v>
      </c>
      <c r="BQ13" s="100">
        <f>AF43-AF55+AF57-AF61+AF90-AF102+AF104-AF108</f>
        <v>45561771</v>
      </c>
    </row>
    <row r="14" spans="1:69" s="10" customFormat="1" ht="18" customHeight="1" x14ac:dyDescent="0.25">
      <c r="A14" s="203">
        <f>+IF(OCTUBRE!A14=0,"",OCTUBRE!A14)</f>
        <v>1003</v>
      </c>
      <c r="B14" s="251" t="str">
        <f>+IF(OCTUBRE!B14=0,"",OCTUBRE!B14)</f>
        <v>Fondos Comunes y Especiales (Caja, Bancos, Invers. Tempor.) a Dic-31-2013</v>
      </c>
      <c r="C14" s="283">
        <f>+ENERO!C14</f>
        <v>80000000</v>
      </c>
      <c r="D14" s="456">
        <f>OCTUBRE!D14+NOVIEMBRE!P14</f>
        <v>0</v>
      </c>
      <c r="E14" s="456">
        <f>OCTUBRE!E14+NOVIEMBRE!Q14</f>
        <v>33074115</v>
      </c>
      <c r="F14" s="170">
        <f>SUM(C14:E14)</f>
        <v>113074115</v>
      </c>
      <c r="G14" s="283">
        <f>OCTUBRE!I14</f>
        <v>113074115</v>
      </c>
      <c r="H14" s="154">
        <v>0</v>
      </c>
      <c r="I14" s="170">
        <f>SUM(G14:H14)</f>
        <v>113074115</v>
      </c>
      <c r="J14" s="283">
        <f>OCTUBRE!L14</f>
        <v>113074115</v>
      </c>
      <c r="K14" s="154">
        <v>0</v>
      </c>
      <c r="L14" s="170">
        <f>SUM(J14:K14)</f>
        <v>113074115</v>
      </c>
      <c r="M14" s="283">
        <f>F14-I14</f>
        <v>0</v>
      </c>
      <c r="N14" s="170">
        <f>F14-L14</f>
        <v>0</v>
      </c>
      <c r="O14" s="467"/>
      <c r="P14" s="455">
        <v>0</v>
      </c>
      <c r="Q14" s="458">
        <v>0</v>
      </c>
      <c r="S14" s="469">
        <f>+IF(OCTUBRE!S14=0,"",OCTUBRE!S14)</f>
        <v>1010000</v>
      </c>
      <c r="T14" s="470" t="str">
        <f>+IF(OCTUBRE!T14=0,"",OCTUBRE!T14)</f>
        <v>Gastos de Administración</v>
      </c>
      <c r="U14" s="157">
        <f t="shared" ref="U14:AJ14" si="11">U16+U35+U43+U57</f>
        <v>703883287</v>
      </c>
      <c r="V14" s="144">
        <f t="shared" si="11"/>
        <v>-5657703</v>
      </c>
      <c r="W14" s="144">
        <f t="shared" si="11"/>
        <v>29200000</v>
      </c>
      <c r="X14" s="152">
        <f t="shared" si="11"/>
        <v>727425584</v>
      </c>
      <c r="Y14" s="151">
        <f t="shared" si="11"/>
        <v>485195284</v>
      </c>
      <c r="Z14" s="144">
        <f t="shared" si="11"/>
        <v>57403003</v>
      </c>
      <c r="AA14" s="152">
        <f t="shared" si="11"/>
        <v>542598287</v>
      </c>
      <c r="AB14" s="151">
        <f t="shared" si="11"/>
        <v>485195284</v>
      </c>
      <c r="AC14" s="144">
        <f t="shared" si="11"/>
        <v>55720399</v>
      </c>
      <c r="AD14" s="152">
        <f t="shared" si="11"/>
        <v>540915683</v>
      </c>
      <c r="AE14" s="151">
        <f t="shared" si="11"/>
        <v>469685407</v>
      </c>
      <c r="AF14" s="144">
        <f t="shared" si="11"/>
        <v>49947330</v>
      </c>
      <c r="AG14" s="152">
        <f t="shared" si="11"/>
        <v>519632737</v>
      </c>
      <c r="AH14" s="151">
        <f t="shared" si="11"/>
        <v>184827297</v>
      </c>
      <c r="AI14" s="144">
        <f t="shared" si="11"/>
        <v>186509901</v>
      </c>
      <c r="AJ14" s="153">
        <f t="shared" si="11"/>
        <v>207792847</v>
      </c>
      <c r="AK14" s="12"/>
      <c r="AL14" s="151">
        <f>AL16+AL35+AL43+AL57</f>
        <v>0</v>
      </c>
      <c r="AM14" s="153">
        <f>AM16+AM35+AM43+AM57</f>
        <v>0</v>
      </c>
      <c r="AO14" s="23"/>
      <c r="AP14" s="13" t="s">
        <v>75</v>
      </c>
      <c r="AQ14" s="14">
        <f>F19-AQ7-AQ8-AQ9-AQ10-AQ11-AQ12-AQ13</f>
        <v>401837872</v>
      </c>
      <c r="AR14" s="14">
        <f>I19-AR7-AR8-AR9-AR10-AR11-AR12-AR13</f>
        <v>342985266</v>
      </c>
      <c r="AS14" s="14">
        <f>L19-AS7-AS8-AS9-AS10-AS11-AS12-AS13</f>
        <v>316589067</v>
      </c>
      <c r="AT14" s="467"/>
      <c r="AU14" s="429">
        <f t="shared" si="0"/>
        <v>0.85354141532981243</v>
      </c>
      <c r="AV14" s="429">
        <f t="shared" si="1"/>
        <v>0.78785273628962482</v>
      </c>
      <c r="AW14" s="430">
        <f>(I41+I46+I49+I52+I55+I58+I61+I64+I67+I70+I73+I78+I81+I82+I83+I86+I87+I93)/AO$2*12+I47+I50+I53+I56+I59+I62+I65+I68+I71+I74</f>
        <v>368276153</v>
      </c>
      <c r="AX14" s="430">
        <f>(L41+L46+L49+L52+L55+L58+L61+L64+L67+L70+L73+L78+L81+L82+L83+L86+L87+L93)/AO$2*12+L47+L50+L53+L56+L59+L62+L65+L68+L71+L74</f>
        <v>339480299.27272725</v>
      </c>
      <c r="AY14" s="430">
        <f t="shared" si="2"/>
        <v>-33561719</v>
      </c>
      <c r="AZ14" s="431">
        <f t="shared" si="3"/>
        <v>-62357572.727272749</v>
      </c>
      <c r="BB14" s="468" t="s">
        <v>461</v>
      </c>
      <c r="BC14" s="110">
        <f>+F64</f>
        <v>40103182</v>
      </c>
      <c r="BD14" s="111">
        <f>+I64</f>
        <v>36710057</v>
      </c>
      <c r="BE14" s="112">
        <f>K64</f>
        <v>6389794</v>
      </c>
      <c r="BF14" s="113"/>
      <c r="BG14" s="109" t="s">
        <v>76</v>
      </c>
      <c r="BH14" s="99">
        <f t="shared" si="10"/>
        <v>0</v>
      </c>
      <c r="BI14" s="99">
        <f t="shared" si="10"/>
        <v>0</v>
      </c>
      <c r="BJ14" s="99">
        <f t="shared" si="10"/>
        <v>0</v>
      </c>
      <c r="BK14" s="99">
        <f t="shared" si="10"/>
        <v>0</v>
      </c>
      <c r="BM14" s="165" t="s">
        <v>469</v>
      </c>
      <c r="BN14" s="104">
        <f>X35-X41+X83-X88</f>
        <v>224434955</v>
      </c>
      <c r="BO14" s="102">
        <f>AA35-AA41+AA83-AA88</f>
        <v>110682153</v>
      </c>
      <c r="BP14" s="102">
        <f>AD35-AD41+AD83-AD88</f>
        <v>108999549</v>
      </c>
      <c r="BQ14" s="103">
        <f>AF35-AF41+AF83-AF88</f>
        <v>11865395</v>
      </c>
    </row>
    <row r="15" spans="1:69" s="10" customFormat="1" ht="18" customHeight="1" thickBot="1" x14ac:dyDescent="0.3">
      <c r="A15" s="204">
        <f>+IF(OCTUBRE!A15=0,"",OCTUBRE!A15)</f>
        <v>1004</v>
      </c>
      <c r="B15" s="677" t="str">
        <f>+IF(OCTUBRE!B15=0,"",OCTUBRE!B15)</f>
        <v>Cesantias Ley 50/1990 a Dic-31-2013</v>
      </c>
      <c r="C15" s="474">
        <f>+ENERO!C15</f>
        <v>20000000</v>
      </c>
      <c r="D15" s="472">
        <f>OCTUBRE!D15+NOVIEMBRE!P15</f>
        <v>0</v>
      </c>
      <c r="E15" s="472">
        <f>OCTUBRE!E15+NOVIEMBRE!Q15</f>
        <v>0</v>
      </c>
      <c r="F15" s="473">
        <f>SUM(C15:E15)</f>
        <v>20000000</v>
      </c>
      <c r="G15" s="474">
        <f>OCTUBRE!I15</f>
        <v>20000000</v>
      </c>
      <c r="H15" s="197">
        <v>0</v>
      </c>
      <c r="I15" s="473">
        <f>SUM(G15:H15)</f>
        <v>20000000</v>
      </c>
      <c r="J15" s="474">
        <f>OCTUBRE!L15</f>
        <v>20000000</v>
      </c>
      <c r="K15" s="197">
        <v>0</v>
      </c>
      <c r="L15" s="473">
        <f>SUM(J15:K15)</f>
        <v>20000000</v>
      </c>
      <c r="M15" s="474">
        <f>F15-I15</f>
        <v>0</v>
      </c>
      <c r="N15" s="473">
        <f>F15-L15</f>
        <v>0</v>
      </c>
      <c r="O15" s="467"/>
      <c r="P15" s="471">
        <v>0</v>
      </c>
      <c r="Q15" s="476">
        <v>0</v>
      </c>
      <c r="S15" s="448" t="str">
        <f>+IF(OCTUBRE!S15=0,"",OCTUBRE!S15)</f>
        <v/>
      </c>
      <c r="T15" s="649" t="str">
        <f>+IF(OCTUBRE!T15=0,"",OCTUBRE!T15)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146471456</v>
      </c>
      <c r="AS15" s="14">
        <f>L108</f>
        <v>146471458</v>
      </c>
      <c r="AT15" s="15"/>
      <c r="AU15" s="419">
        <f t="shared" si="0"/>
        <v>0.9728280928759917</v>
      </c>
      <c r="AV15" s="429">
        <f t="shared" si="1"/>
        <v>0.97282810615950943</v>
      </c>
      <c r="AW15" s="14">
        <f>AQ15</f>
        <v>150562527</v>
      </c>
      <c r="AX15" s="14">
        <f>AR15</f>
        <v>146471456</v>
      </c>
      <c r="AY15" s="14">
        <f t="shared" si="2"/>
        <v>0</v>
      </c>
      <c r="AZ15" s="420">
        <f t="shared" si="3"/>
        <v>-4091071</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0</v>
      </c>
      <c r="BM15" s="89" t="s">
        <v>68</v>
      </c>
      <c r="BN15" s="101">
        <f>SUM(BN16:BN21)</f>
        <v>731144299</v>
      </c>
      <c r="BO15" s="99">
        <f>SUM(BO16:BO21)</f>
        <v>571620524</v>
      </c>
      <c r="BP15" s="99">
        <f>SUM(BP16:BP21)</f>
        <v>571345521</v>
      </c>
      <c r="BQ15" s="100">
        <f>SUM(BQ16:BQ21)</f>
        <v>53364746</v>
      </c>
    </row>
    <row r="16" spans="1:69" s="10" customFormat="1" ht="15.75" thickBot="1" x14ac:dyDescent="0.3">
      <c r="A16" s="198" t="str">
        <f>+IF(OCTUBRE!A16=0,"",OCTUBRE!A16)</f>
        <v/>
      </c>
      <c r="B16" s="477" t="str">
        <f>+IF(OCTUBRE!B16=0,"",OCTUBRE!B16)</f>
        <v/>
      </c>
      <c r="C16" s="478"/>
      <c r="D16" s="478"/>
      <c r="E16" s="478"/>
      <c r="F16" s="478"/>
      <c r="G16" s="478"/>
      <c r="H16" s="478"/>
      <c r="I16" s="478"/>
      <c r="J16" s="478"/>
      <c r="K16" s="478"/>
      <c r="L16" s="478"/>
      <c r="M16" s="478"/>
      <c r="N16" s="479"/>
      <c r="O16" s="467"/>
      <c r="P16" s="480"/>
      <c r="Q16" s="481"/>
      <c r="S16" s="34">
        <f>+IF(OCTUBRE!S16=0,"",OCTUBRE!S16)</f>
        <v>1010100</v>
      </c>
      <c r="T16" s="158" t="str">
        <f>+IF(OCTUBRE!T16=0,"",OCTUBRE!T16)</f>
        <v>Servicios Personales Asociados a Nómina</v>
      </c>
      <c r="U16" s="157">
        <f t="shared" ref="U16:AJ16" si="12">SUM(U17:U20)+U33</f>
        <v>451022301</v>
      </c>
      <c r="V16" s="144">
        <f t="shared" si="12"/>
        <v>-3476851</v>
      </c>
      <c r="W16" s="144">
        <f t="shared" si="12"/>
        <v>5000000</v>
      </c>
      <c r="X16" s="152">
        <f t="shared" si="12"/>
        <v>452545450</v>
      </c>
      <c r="Y16" s="151">
        <f t="shared" si="12"/>
        <v>315908803</v>
      </c>
      <c r="Z16" s="144">
        <f t="shared" si="12"/>
        <v>30991477</v>
      </c>
      <c r="AA16" s="152">
        <f t="shared" si="12"/>
        <v>346900280</v>
      </c>
      <c r="AB16" s="151">
        <f t="shared" si="12"/>
        <v>315908803</v>
      </c>
      <c r="AC16" s="144">
        <f t="shared" si="12"/>
        <v>30991477</v>
      </c>
      <c r="AD16" s="152">
        <f t="shared" si="12"/>
        <v>346900280</v>
      </c>
      <c r="AE16" s="151">
        <f t="shared" si="12"/>
        <v>311016415</v>
      </c>
      <c r="AF16" s="144">
        <f t="shared" si="12"/>
        <v>30934297</v>
      </c>
      <c r="AG16" s="152">
        <f t="shared" si="12"/>
        <v>341950712</v>
      </c>
      <c r="AH16" s="151">
        <f t="shared" si="12"/>
        <v>105645170</v>
      </c>
      <c r="AI16" s="144">
        <f t="shared" si="12"/>
        <v>105645170</v>
      </c>
      <c r="AJ16" s="153">
        <f t="shared" si="12"/>
        <v>110594738</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175397398</v>
      </c>
      <c r="BD16" s="92">
        <f>I43</f>
        <v>121347996</v>
      </c>
      <c r="BE16" s="93">
        <f>K43</f>
        <v>20035054</v>
      </c>
      <c r="BF16" s="94"/>
      <c r="BG16" s="109" t="s">
        <v>84</v>
      </c>
      <c r="BH16" s="114">
        <f>BH7+BH12+BH13+BH14+BH15</f>
        <v>4088834335</v>
      </c>
      <c r="BI16" s="114">
        <f>BI7+BI12+BI13+BI14+BI15</f>
        <v>3211745532</v>
      </c>
      <c r="BJ16" s="114">
        <f>BJ7+BJ12+BJ13+BJ14+BJ15</f>
        <v>3209759382</v>
      </c>
      <c r="BK16" s="114">
        <f>BK7+BK12+BK13+BK14+BK15</f>
        <v>271084159</v>
      </c>
      <c r="BM16" s="164" t="s">
        <v>85</v>
      </c>
      <c r="BN16" s="101">
        <f>X114-X121+X147-X148-X153</f>
        <v>202592049</v>
      </c>
      <c r="BO16" s="99">
        <f>AA114-AA121+AA147-AA148-AA153</f>
        <v>171221852</v>
      </c>
      <c r="BP16" s="99">
        <f>AD114-AD121+AD147-AD148-AD153</f>
        <v>171221849</v>
      </c>
      <c r="BQ16" s="100">
        <f>AF114-AF121+AF147-AF148-AF153</f>
        <v>22141628</v>
      </c>
    </row>
    <row r="17" spans="1:70" s="467" customFormat="1" ht="17.25" thickBot="1" x14ac:dyDescent="0.3">
      <c r="A17" s="433">
        <f>+IF(OCTUBRE!A17=0,"",OCTUBRE!A17)</f>
        <v>11</v>
      </c>
      <c r="B17" s="439" t="str">
        <f>+IF(OCTUBRE!B17=0,"",OCTUBRE!B17)</f>
        <v>INGRESOS  CORRIENTES</v>
      </c>
      <c r="C17" s="435">
        <f>C19+C99</f>
        <v>3530048625</v>
      </c>
      <c r="D17" s="435">
        <f t="shared" ref="D17:N17" si="13">D19+D99</f>
        <v>0</v>
      </c>
      <c r="E17" s="435">
        <f t="shared" si="13"/>
        <v>275149068</v>
      </c>
      <c r="F17" s="435">
        <f t="shared" si="13"/>
        <v>3805197693</v>
      </c>
      <c r="G17" s="435">
        <f t="shared" si="13"/>
        <v>3275412506</v>
      </c>
      <c r="H17" s="435">
        <f t="shared" si="13"/>
        <v>286473477</v>
      </c>
      <c r="I17" s="435">
        <f t="shared" si="13"/>
        <v>3561885983</v>
      </c>
      <c r="J17" s="435">
        <f t="shared" si="13"/>
        <v>2802985153</v>
      </c>
      <c r="K17" s="435">
        <f t="shared" si="13"/>
        <v>300718709</v>
      </c>
      <c r="L17" s="435">
        <f t="shared" si="13"/>
        <v>3103703862</v>
      </c>
      <c r="M17" s="435">
        <f t="shared" si="13"/>
        <v>243311710</v>
      </c>
      <c r="N17" s="216">
        <f t="shared" si="13"/>
        <v>701493831</v>
      </c>
      <c r="P17" s="215">
        <f>P19+P99</f>
        <v>0</v>
      </c>
      <c r="Q17" s="216">
        <f>Q19+Q99</f>
        <v>0</v>
      </c>
      <c r="R17" s="10"/>
      <c r="S17" s="155">
        <f>+IF(OCTUBRE!S17=0,"",OCTUBRE!S17)</f>
        <v>1010101</v>
      </c>
      <c r="T17" s="159" t="str">
        <f>+IF(OCTUBRE!T17=0,"",OCTUBRE!T17)</f>
        <v>Sueldos del Personal de nómina</v>
      </c>
      <c r="U17" s="29">
        <f>+ENERO!U17</f>
        <v>368370792</v>
      </c>
      <c r="V17" s="17">
        <f>OCTUBRE!V17+NOVIEMBRE!AL17</f>
        <v>0</v>
      </c>
      <c r="W17" s="17">
        <f>OCTUBRE!W17+NOVIEMBRE!AM17</f>
        <v>0</v>
      </c>
      <c r="X17" s="20">
        <f>SUM(U17:W17)</f>
        <v>368370792</v>
      </c>
      <c r="Y17" s="21">
        <f>OCTUBRE!AA17</f>
        <v>286228540</v>
      </c>
      <c r="Z17" s="457">
        <v>28778642</v>
      </c>
      <c r="AA17" s="20">
        <f>SUM(Y17:Z17)</f>
        <v>315007182</v>
      </c>
      <c r="AB17" s="21">
        <f>OCTUBRE!AD17</f>
        <v>286228540</v>
      </c>
      <c r="AC17" s="457">
        <v>28778642</v>
      </c>
      <c r="AD17" s="20">
        <f>SUM(AB17:AC17)</f>
        <v>315007182</v>
      </c>
      <c r="AE17" s="21">
        <f>OCTUBRE!AG17</f>
        <v>281336152</v>
      </c>
      <c r="AF17" s="457">
        <v>28721462</v>
      </c>
      <c r="AG17" s="20">
        <f>SUM(AE17:AF17)</f>
        <v>310057614</v>
      </c>
      <c r="AH17" s="21">
        <f>X17-AA17</f>
        <v>53363610</v>
      </c>
      <c r="AI17" s="17">
        <f>X17-AD17</f>
        <v>53363610</v>
      </c>
      <c r="AJ17" s="18">
        <f>X17-AG17</f>
        <v>58313178</v>
      </c>
      <c r="AK17" s="10"/>
      <c r="AL17" s="455">
        <v>0</v>
      </c>
      <c r="AM17" s="458">
        <v>0</v>
      </c>
      <c r="AN17" s="10"/>
      <c r="AO17" s="428"/>
      <c r="AP17" s="488" t="s">
        <v>87</v>
      </c>
      <c r="AQ17" s="489">
        <f>SUM(AQ7:AQ16)</f>
        <v>3836308894</v>
      </c>
      <c r="AR17" s="490">
        <f>SUM(AR7:AR16)</f>
        <v>3609949899</v>
      </c>
      <c r="AS17" s="491">
        <f>SUM(AS7:AS16)</f>
        <v>3151767780</v>
      </c>
      <c r="AT17" s="492"/>
      <c r="AU17" s="490">
        <f t="shared" si="0"/>
        <v>0.94099562854439944</v>
      </c>
      <c r="AV17" s="490">
        <f t="shared" si="1"/>
        <v>0.82156256628067026</v>
      </c>
      <c r="AW17" s="493">
        <f>SUM(AX7:AX16)</f>
        <v>3378160981.909091</v>
      </c>
      <c r="AX17" s="493">
        <f>SUM(AX7:AX16)</f>
        <v>3378160981.909091</v>
      </c>
      <c r="AY17" s="493">
        <f>SUM(AY7:AY16)</f>
        <v>45778200.272727311</v>
      </c>
      <c r="AZ17" s="494">
        <f>SUM(AZ7:AZ16)</f>
        <v>-458147912.09090918</v>
      </c>
      <c r="BA17" s="10"/>
      <c r="BB17" s="468" t="s">
        <v>463</v>
      </c>
      <c r="BC17" s="91">
        <f>F41+F52+F55+F58+F61+F67+F70+F73+F76+F79+F82+F88+F89+F90+F91</f>
        <v>209189895</v>
      </c>
      <c r="BD17" s="92">
        <f>I41+I52+I55+I58+I61+I67+I70+I73+I76+I79+I82+I88+I89+I90+I91</f>
        <v>146164916</v>
      </c>
      <c r="BE17" s="93">
        <f>K41+K52+K55+K58+K61+K67+K70+K73+K76+K79+K82+K88+K89+K90+K91</f>
        <v>33984962</v>
      </c>
      <c r="BF17" s="94"/>
      <c r="BG17" s="116" t="s">
        <v>88</v>
      </c>
      <c r="BH17" s="117">
        <f>BC23-BH16</f>
        <v>0</v>
      </c>
      <c r="BI17" s="117"/>
      <c r="BJ17" s="117"/>
      <c r="BK17" s="117"/>
      <c r="BM17" s="164" t="s">
        <v>479</v>
      </c>
      <c r="BN17" s="101">
        <f>X123-X126-X139+X155-X156-X167-X168</f>
        <v>243336548</v>
      </c>
      <c r="BO17" s="99">
        <f>AA123-AA126-AA139+AA155-AA156-AA167-AA168</f>
        <v>169919596</v>
      </c>
      <c r="BP17" s="99">
        <f>AD123-AD126-AD139+AD155-AD156-AD167-AD168</f>
        <v>169919596</v>
      </c>
      <c r="BQ17" s="100">
        <f>AF123-AF126-AF139+AF155-AF156-AF167-AF168</f>
        <v>17010033</v>
      </c>
      <c r="BR17" s="10"/>
    </row>
    <row r="18" spans="1:70" s="10" customFormat="1" ht="15" thickBot="1" x14ac:dyDescent="0.25">
      <c r="A18" s="202" t="str">
        <f>+IF(OCTUBRE!A18=0,"",OCTUBRE!A18)</f>
        <v/>
      </c>
      <c r="B18" s="201" t="str">
        <f>+IF(OCTUBRE!B18=0,"",OCTUBRE!B18)</f>
        <v/>
      </c>
      <c r="C18" s="495"/>
      <c r="D18" s="495"/>
      <c r="E18" s="495"/>
      <c r="F18" s="495"/>
      <c r="G18" s="495"/>
      <c r="H18" s="495"/>
      <c r="I18" s="495"/>
      <c r="J18" s="495"/>
      <c r="K18" s="495"/>
      <c r="L18" s="495"/>
      <c r="M18" s="495"/>
      <c r="N18" s="496"/>
      <c r="P18" s="497"/>
      <c r="Q18" s="496"/>
      <c r="S18" s="155">
        <f>+IF(OCTUBRE!S18=0,"",OCTUBRE!S18)</f>
        <v>1010102</v>
      </c>
      <c r="T18" s="159" t="str">
        <f>+IF(OCTUBRE!T18=0,"",OCTUBRE!T18)</f>
        <v>Horas Extras,Dominic.,Festivos y Rec. Nocturnos</v>
      </c>
      <c r="U18" s="29">
        <f>+ENERO!U18</f>
        <v>20119405</v>
      </c>
      <c r="V18" s="17">
        <f>OCTUBRE!V18+NOVIEMBRE!AL18</f>
        <v>0</v>
      </c>
      <c r="W18" s="17">
        <f>OCTUBRE!W18+NOVIEMBRE!AM18</f>
        <v>0</v>
      </c>
      <c r="X18" s="20">
        <f>SUM(U18:W18)</f>
        <v>20119405</v>
      </c>
      <c r="Y18" s="21">
        <f>OCTUBRE!AA18</f>
        <v>9451292</v>
      </c>
      <c r="Z18" s="457">
        <v>857002</v>
      </c>
      <c r="AA18" s="20">
        <f>SUM(Y18:Z18)</f>
        <v>10308294</v>
      </c>
      <c r="AB18" s="21">
        <f>OCTUBRE!AD18</f>
        <v>9451292</v>
      </c>
      <c r="AC18" s="457">
        <v>857002</v>
      </c>
      <c r="AD18" s="20">
        <f>SUM(AB18:AC18)</f>
        <v>10308294</v>
      </c>
      <c r="AE18" s="21">
        <f>OCTUBRE!AG18</f>
        <v>9451292</v>
      </c>
      <c r="AF18" s="457">
        <v>857002</v>
      </c>
      <c r="AG18" s="20">
        <f>SUM(AE18:AF18)</f>
        <v>10308294</v>
      </c>
      <c r="AH18" s="21">
        <f>X18-AA18</f>
        <v>9811111</v>
      </c>
      <c r="AI18" s="17">
        <f>X18-AD18</f>
        <v>9811111</v>
      </c>
      <c r="AJ18" s="18">
        <f>X18-AG18</f>
        <v>9811111</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231481655</v>
      </c>
      <c r="BE18" s="93">
        <f>K100+K101+K102+K105</f>
        <v>21043787</v>
      </c>
      <c r="BF18" s="113"/>
      <c r="BM18" s="164" t="s">
        <v>89</v>
      </c>
      <c r="BN18" s="101">
        <f>X148+X156</f>
        <v>222935242</v>
      </c>
      <c r="BO18" s="99">
        <f>AA148+AA156</f>
        <v>181571230</v>
      </c>
      <c r="BP18" s="99">
        <f>AD148+AD156</f>
        <v>181296230</v>
      </c>
      <c r="BQ18" s="100">
        <f>AF148+AF156</f>
        <v>9686767</v>
      </c>
      <c r="BR18" s="467"/>
    </row>
    <row r="19" spans="1:70" s="10" customFormat="1" ht="15.75" x14ac:dyDescent="0.25">
      <c r="A19" s="498">
        <f>+IF(OCTUBRE!A19=0,"",OCTUBRE!A19)</f>
        <v>113</v>
      </c>
      <c r="B19" s="499" t="str">
        <f>+IF(OCTUBRE!B19=0,"",OCTUBRE!B19)</f>
        <v>VENTA DE SERVICIOS</v>
      </c>
      <c r="C19" s="53">
        <f t="shared" ref="C19:N19" si="14">C21+C85</f>
        <v>3530048625</v>
      </c>
      <c r="D19" s="53">
        <f t="shared" si="14"/>
        <v>-227076373</v>
      </c>
      <c r="E19" s="53">
        <f t="shared" si="14"/>
        <v>249700000</v>
      </c>
      <c r="F19" s="54">
        <f t="shared" si="14"/>
        <v>3552672252</v>
      </c>
      <c r="G19" s="52">
        <f t="shared" si="14"/>
        <v>3064974638</v>
      </c>
      <c r="H19" s="53">
        <f t="shared" si="14"/>
        <v>265429690</v>
      </c>
      <c r="I19" s="54">
        <f t="shared" si="14"/>
        <v>3330404328</v>
      </c>
      <c r="J19" s="52">
        <f t="shared" si="14"/>
        <v>2592547285</v>
      </c>
      <c r="K19" s="53">
        <f t="shared" si="14"/>
        <v>279674922</v>
      </c>
      <c r="L19" s="54">
        <f t="shared" si="14"/>
        <v>2872222207</v>
      </c>
      <c r="M19" s="52">
        <f t="shared" si="14"/>
        <v>222267924</v>
      </c>
      <c r="N19" s="54">
        <f t="shared" si="14"/>
        <v>680450045</v>
      </c>
      <c r="O19" s="467"/>
      <c r="P19" s="52">
        <f>P21+P85</f>
        <v>0</v>
      </c>
      <c r="Q19" s="54">
        <f>Q21+Q85</f>
        <v>0</v>
      </c>
      <c r="S19" s="155">
        <f>+IF(OCTUBRE!S19=0,"",OCTUBRE!S19)</f>
        <v>1010103</v>
      </c>
      <c r="T19" s="159" t="str">
        <f>+IF(OCTUBRE!T19=0,"",OCTUBRE!T19)</f>
        <v>Prima Técnica</v>
      </c>
      <c r="U19" s="29">
        <f>+ENERO!U19</f>
        <v>0</v>
      </c>
      <c r="V19" s="17">
        <f>OCTUBRE!V19+NOVIEMBRE!AL19</f>
        <v>0</v>
      </c>
      <c r="W19" s="17">
        <f>OCTUBRE!W19+NOVIEMBRE!AM19</f>
        <v>0</v>
      </c>
      <c r="X19" s="20">
        <f>SUM(U19:W19)</f>
        <v>0</v>
      </c>
      <c r="Y19" s="21">
        <f>OCTUBRE!AA19</f>
        <v>0</v>
      </c>
      <c r="Z19" s="457">
        <v>0</v>
      </c>
      <c r="AA19" s="20">
        <f>SUM(Y19:Z19)</f>
        <v>0</v>
      </c>
      <c r="AB19" s="21">
        <f>OCTUBRE!AD19</f>
        <v>0</v>
      </c>
      <c r="AC19" s="457">
        <v>0</v>
      </c>
      <c r="AD19" s="20">
        <f>SUM(AB19:AC19)</f>
        <v>0</v>
      </c>
      <c r="AE19" s="21">
        <f>OCTUBRE!AG19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129179029</v>
      </c>
      <c r="BD19" s="111">
        <f>I86+I87+I93+I103+I104</f>
        <v>128184789</v>
      </c>
      <c r="BE19" s="112">
        <f>K86+K87+K93+K103+K104</f>
        <v>2898921</v>
      </c>
      <c r="BF19" s="75"/>
      <c r="BG19" s="467"/>
      <c r="BH19" s="467">
        <f>BN33</f>
        <v>0</v>
      </c>
      <c r="BI19" s="467"/>
      <c r="BJ19" s="467"/>
      <c r="BK19" s="467"/>
      <c r="BM19" s="164" t="s">
        <v>96</v>
      </c>
      <c r="BN19" s="101">
        <f>X126+X167</f>
        <v>61280460</v>
      </c>
      <c r="BO19" s="99">
        <f>AA126+AA167</f>
        <v>48700246</v>
      </c>
      <c r="BP19" s="99">
        <f>AD126+AD167</f>
        <v>48700246</v>
      </c>
      <c r="BQ19" s="100">
        <f>AF126+AF167</f>
        <v>4526318</v>
      </c>
    </row>
    <row r="20" spans="1:70" s="514" customFormat="1" ht="15" x14ac:dyDescent="0.25">
      <c r="A20" s="202" t="str">
        <f>+IF(OCTUBRE!A20=0,"",OCTUBRE!A20)</f>
        <v/>
      </c>
      <c r="B20" s="201" t="str">
        <f>+IF(OCTUBRE!B20=0,"",OCTUBRE!B20)</f>
        <v/>
      </c>
      <c r="C20" s="495"/>
      <c r="D20" s="495"/>
      <c r="E20" s="495"/>
      <c r="F20" s="495"/>
      <c r="G20" s="495"/>
      <c r="H20" s="495"/>
      <c r="I20" s="495"/>
      <c r="J20" s="495"/>
      <c r="K20" s="495"/>
      <c r="L20" s="495"/>
      <c r="M20" s="495"/>
      <c r="N20" s="496"/>
      <c r="O20" s="10"/>
      <c r="P20" s="497"/>
      <c r="Q20" s="496"/>
      <c r="R20" s="10"/>
      <c r="S20" s="155">
        <f>+IF(OCTUBRE!S20=0,"",OCTUBRE!S20)</f>
        <v>1010104</v>
      </c>
      <c r="T20" s="159" t="str">
        <f>+IF(OCTUBRE!T20=0,"",OCTUBRE!T20)</f>
        <v>Otros</v>
      </c>
      <c r="U20" s="29">
        <f t="shared" ref="U20:AJ20" si="15">SUM(U21:U32)</f>
        <v>58502253</v>
      </c>
      <c r="V20" s="17">
        <f t="shared" si="15"/>
        <v>0</v>
      </c>
      <c r="W20" s="17">
        <f t="shared" si="15"/>
        <v>5000000</v>
      </c>
      <c r="X20" s="20">
        <f t="shared" si="15"/>
        <v>63502253</v>
      </c>
      <c r="Y20" s="21">
        <f t="shared" si="15"/>
        <v>19675971</v>
      </c>
      <c r="Z20" s="169">
        <f t="shared" si="15"/>
        <v>1355833</v>
      </c>
      <c r="AA20" s="20">
        <f t="shared" si="15"/>
        <v>21031804</v>
      </c>
      <c r="AB20" s="21">
        <f t="shared" si="15"/>
        <v>19675971</v>
      </c>
      <c r="AC20" s="169">
        <f t="shared" si="15"/>
        <v>1355833</v>
      </c>
      <c r="AD20" s="20">
        <f t="shared" si="15"/>
        <v>21031804</v>
      </c>
      <c r="AE20" s="21">
        <f t="shared" si="15"/>
        <v>19675971</v>
      </c>
      <c r="AF20" s="169">
        <f t="shared" si="15"/>
        <v>1355833</v>
      </c>
      <c r="AG20" s="20">
        <f t="shared" si="15"/>
        <v>21031804</v>
      </c>
      <c r="AH20" s="21">
        <f t="shared" si="15"/>
        <v>42470449</v>
      </c>
      <c r="AI20" s="17">
        <f t="shared" si="15"/>
        <v>42470449</v>
      </c>
      <c r="AJ20" s="18">
        <f t="shared" si="15"/>
        <v>42470449</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736736</v>
      </c>
      <c r="BE20" s="85">
        <f>+K109+K111+K113+K114+K115</f>
        <v>17429</v>
      </c>
      <c r="BF20" s="75"/>
      <c r="BG20" s="467"/>
      <c r="BH20" s="467">
        <f>BH19-BH16</f>
        <v>-4088834335</v>
      </c>
      <c r="BI20" s="467"/>
      <c r="BJ20" s="467"/>
      <c r="BK20" s="467"/>
      <c r="BL20" s="467"/>
      <c r="BM20" s="166" t="s">
        <v>474</v>
      </c>
      <c r="BN20" s="101">
        <f>+X141-X143</f>
        <v>1000000</v>
      </c>
      <c r="BO20" s="99">
        <f>+AA141-AA143</f>
        <v>207600</v>
      </c>
      <c r="BP20" s="99">
        <f>+AD141-AD143</f>
        <v>207600</v>
      </c>
      <c r="BQ20" s="100">
        <f>+AF141-AF143</f>
        <v>0</v>
      </c>
      <c r="BR20" s="10"/>
    </row>
    <row r="21" spans="1:70" s="514" customFormat="1" ht="16.5" thickBot="1" x14ac:dyDescent="0.3">
      <c r="A21" s="515">
        <f>+IF(OCTUBRE!A21=0,"",OCTUBRE!A21)</f>
        <v>11301</v>
      </c>
      <c r="B21" s="516" t="str">
        <f>+IF(OCTUBRE!B21=0,"",OCTUBRE!B21)</f>
        <v>Venta de Servicios de Salud</v>
      </c>
      <c r="C21" s="518">
        <f t="shared" ref="C21:N21" si="16">C22+C25+C28+C41+C42+C45+C48+C51+C54+C57+C60+C63+C66+C69+C72+C75+C78+C81</f>
        <v>3414869596</v>
      </c>
      <c r="D21" s="518">
        <f t="shared" si="16"/>
        <v>-227076373</v>
      </c>
      <c r="E21" s="518">
        <f t="shared" si="16"/>
        <v>235700000</v>
      </c>
      <c r="F21" s="519">
        <f t="shared" si="16"/>
        <v>3423493223</v>
      </c>
      <c r="G21" s="517">
        <f t="shared" si="16"/>
        <v>2939688770</v>
      </c>
      <c r="H21" s="518">
        <f t="shared" si="16"/>
        <v>262530769</v>
      </c>
      <c r="I21" s="519">
        <f t="shared" si="16"/>
        <v>3202219539</v>
      </c>
      <c r="J21" s="517">
        <f t="shared" si="16"/>
        <v>2467261417</v>
      </c>
      <c r="K21" s="518">
        <f t="shared" si="16"/>
        <v>276776001</v>
      </c>
      <c r="L21" s="519">
        <f t="shared" si="16"/>
        <v>2744037418</v>
      </c>
      <c r="M21" s="517">
        <f t="shared" si="16"/>
        <v>221273684</v>
      </c>
      <c r="N21" s="519">
        <f t="shared" si="16"/>
        <v>679455805</v>
      </c>
      <c r="O21" s="467"/>
      <c r="P21" s="52">
        <f>P22+P25+P28+P41+P42+P45+P48+P51+P54+P57+P60+P63+P66+P69+P72+P75+P78+P81</f>
        <v>0</v>
      </c>
      <c r="Q21" s="54">
        <f>Q22+Q25+Q28+Q41+Q42+Q45+Q48+Q51+Q54+Q57+Q60+Q63+Q66+Q69+Q72+Q75+Q78+Q81</f>
        <v>0</v>
      </c>
      <c r="R21" s="10"/>
      <c r="S21" s="156" t="str">
        <f>+IF(OCTUBRE!S21=0,"",OCTUBRE!S21)</f>
        <v>1010104-1</v>
      </c>
      <c r="T21" s="55" t="str">
        <f>+IF(OCTUBRE!T21=0,"",OCTUBRE!T21)</f>
        <v xml:space="preserve">Prima de Navidad </v>
      </c>
      <c r="U21" s="29">
        <f>+ENERO!U21</f>
        <v>31976631</v>
      </c>
      <c r="V21" s="17">
        <f>OCTUBRE!V21+NOVIEMBRE!AL21</f>
        <v>0</v>
      </c>
      <c r="W21" s="17">
        <f>OCTUBRE!W21+NOVIEMBRE!AM21</f>
        <v>5000000</v>
      </c>
      <c r="X21" s="20">
        <f t="shared" ref="X21:X33" si="17">SUM(U21:W21)</f>
        <v>36976631</v>
      </c>
      <c r="Y21" s="21">
        <f>OCTUBRE!AA21</f>
        <v>262183</v>
      </c>
      <c r="Z21" s="457">
        <v>0</v>
      </c>
      <c r="AA21" s="20">
        <f t="shared" ref="AA21:AA33" si="18">SUM(Y21:Z21)</f>
        <v>262183</v>
      </c>
      <c r="AB21" s="21">
        <f>OCTUBRE!AD21</f>
        <v>262183</v>
      </c>
      <c r="AC21" s="457">
        <v>0</v>
      </c>
      <c r="AD21" s="20">
        <f t="shared" ref="AD21:AD33" si="19">SUM(AB21:AC21)</f>
        <v>262183</v>
      </c>
      <c r="AE21" s="21">
        <f>OCTUBRE!AG21</f>
        <v>262183</v>
      </c>
      <c r="AF21" s="457">
        <v>0</v>
      </c>
      <c r="AG21" s="20">
        <f t="shared" ref="AG21:AG33" si="20">SUM(AE21:AF21)</f>
        <v>262183</v>
      </c>
      <c r="AH21" s="21">
        <f t="shared" ref="AH21:AH33" si="21">X21-AA21</f>
        <v>36714448</v>
      </c>
      <c r="AI21" s="17">
        <f t="shared" ref="AI21:AI33" si="22">X21-AD21</f>
        <v>36714448</v>
      </c>
      <c r="AJ21" s="18">
        <f t="shared" ref="AJ21:AJ33" si="23">X21-AG21</f>
        <v>36714448</v>
      </c>
      <c r="AK21" s="10"/>
      <c r="AL21" s="455">
        <v>0</v>
      </c>
      <c r="AM21" s="458">
        <v>0</v>
      </c>
      <c r="AN21" s="10"/>
      <c r="AO21" s="428"/>
      <c r="AP21" s="520"/>
      <c r="AQ21" s="521"/>
      <c r="AR21" s="522" t="str">
        <f>AR6</f>
        <v>NOVIEMBRE</v>
      </c>
      <c r="AS21" s="523" t="str">
        <f>AR6</f>
        <v>NOVIEMBRE</v>
      </c>
      <c r="AT21" s="522" t="str">
        <f>AR6</f>
        <v>NOVIEMBRE</v>
      </c>
      <c r="AU21" s="522" t="s">
        <v>46</v>
      </c>
      <c r="AV21" s="522" t="s">
        <v>24</v>
      </c>
      <c r="AW21" s="524"/>
      <c r="AX21" s="524"/>
      <c r="AY21" s="522" t="s">
        <v>46</v>
      </c>
      <c r="AZ21" s="525" t="s">
        <v>24</v>
      </c>
      <c r="BA21" s="10"/>
      <c r="BB21" s="119" t="s">
        <v>466</v>
      </c>
      <c r="BC21" s="83">
        <f>+F117</f>
        <v>149110140</v>
      </c>
      <c r="BD21" s="84">
        <f>I117</f>
        <v>142400183</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+IF(OCTUBRE!A22=0,"",OCTUBRE!A22)</f>
        <v>1130101</v>
      </c>
      <c r="B22" s="45" t="str">
        <f>+IF(OCTUBRE!B22=0,"",OCTUBRE!B22)</f>
        <v>EPS - REGIMEN CONTRIBUTIVO</v>
      </c>
      <c r="C22" s="53">
        <f t="shared" ref="C22:N22" si="24">SUM(C23:C24)</f>
        <v>235438278</v>
      </c>
      <c r="D22" s="53">
        <f t="shared" si="24"/>
        <v>0</v>
      </c>
      <c r="E22" s="53">
        <f t="shared" si="24"/>
        <v>0</v>
      </c>
      <c r="F22" s="54">
        <f t="shared" si="24"/>
        <v>235438278</v>
      </c>
      <c r="G22" s="52">
        <f t="shared" si="24"/>
        <v>325318962</v>
      </c>
      <c r="H22" s="53">
        <f t="shared" si="24"/>
        <v>20899164</v>
      </c>
      <c r="I22" s="54">
        <f t="shared" si="24"/>
        <v>346218126</v>
      </c>
      <c r="J22" s="52">
        <f t="shared" si="24"/>
        <v>195164184</v>
      </c>
      <c r="K22" s="53">
        <f t="shared" si="24"/>
        <v>9651425</v>
      </c>
      <c r="L22" s="54">
        <f t="shared" si="24"/>
        <v>204815609</v>
      </c>
      <c r="M22" s="52">
        <f t="shared" si="24"/>
        <v>-110779848</v>
      </c>
      <c r="N22" s="54">
        <f t="shared" si="24"/>
        <v>30622669</v>
      </c>
      <c r="P22" s="52">
        <f>SUM(P23:P24)</f>
        <v>0</v>
      </c>
      <c r="Q22" s="54">
        <f>SUM(Q23:Q24)</f>
        <v>0</v>
      </c>
      <c r="S22" s="156" t="str">
        <f>+IF(OCTUBRE!S22=0,"",OCTUBRE!S22)</f>
        <v>1010104-2</v>
      </c>
      <c r="T22" s="55" t="str">
        <f>+IF(OCTUBRE!T22=0,"",OCTUBRE!T22)</f>
        <v>Prima Vida Cara</v>
      </c>
      <c r="U22" s="29">
        <f>+ENERO!U22</f>
        <v>0</v>
      </c>
      <c r="V22" s="17">
        <f>OCTUBRE!V22+NOVIEMBRE!AL22</f>
        <v>0</v>
      </c>
      <c r="W22" s="17">
        <f>OCTUBRE!W22+NOVIEMBRE!AM22</f>
        <v>0</v>
      </c>
      <c r="X22" s="20">
        <f t="shared" si="17"/>
        <v>0</v>
      </c>
      <c r="Y22" s="21">
        <f>OCTUBRE!AA22</f>
        <v>0</v>
      </c>
      <c r="Z22" s="457">
        <v>0</v>
      </c>
      <c r="AA22" s="20">
        <f t="shared" si="18"/>
        <v>0</v>
      </c>
      <c r="AB22" s="21">
        <f>OCTUBRE!AD22</f>
        <v>0</v>
      </c>
      <c r="AC22" s="457">
        <v>0</v>
      </c>
      <c r="AD22" s="20">
        <f t="shared" si="19"/>
        <v>0</v>
      </c>
      <c r="AE22" s="21">
        <f>OCTUBRE!AG22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1166928463</v>
      </c>
      <c r="AS22" s="527">
        <f>AG17+AG66</f>
        <v>1129467571</v>
      </c>
      <c r="AT22" s="528"/>
      <c r="AU22" s="529">
        <f t="shared" ref="AU22:AU32" si="25">IF(AQ22=0," ",AR22/AQ22)</f>
        <v>0.91921625703627163</v>
      </c>
      <c r="AV22" s="529">
        <f t="shared" ref="AV22:AV32" si="26">IF(AQ22=0," ",AS22/AQ22)</f>
        <v>0.88970745506485205</v>
      </c>
      <c r="AW22" s="530">
        <f>AR22/$AO$2*12</f>
        <v>1273012868.7272727</v>
      </c>
      <c r="AX22" s="530">
        <f>AS22/$AO$2*12</f>
        <v>1232146441.090909</v>
      </c>
      <c r="AY22" s="530">
        <f t="shared" ref="AY22:AY31" si="27">AW22-AQ22</f>
        <v>3530900.7272727489</v>
      </c>
      <c r="AZ22" s="531">
        <f t="shared" ref="AZ22:AZ31" si="28">AQ22-AX22</f>
        <v>37335526.909090996</v>
      </c>
      <c r="BA22" s="467"/>
      <c r="BB22" s="119" t="s">
        <v>467</v>
      </c>
      <c r="BC22" s="83">
        <f>SUMIF($B8:B117,$B24,F8:F117)+F116</f>
        <v>319717175</v>
      </c>
      <c r="BD22" s="84">
        <f>SUMIF($B8:B117,$B24,I8:I117)+I116</f>
        <v>385231498</v>
      </c>
      <c r="BE22" s="85">
        <f>SUMIF($B8:B117,$B24,K8:K117)+K116</f>
        <v>1073431</v>
      </c>
      <c r="BF22" s="75"/>
      <c r="BG22" s="467"/>
      <c r="BH22" s="467"/>
      <c r="BI22" s="467"/>
      <c r="BJ22" s="467"/>
      <c r="BK22" s="467"/>
      <c r="BM22" s="89" t="s">
        <v>69</v>
      </c>
      <c r="BN22" s="101">
        <f>BN23+BN24</f>
        <v>198767489</v>
      </c>
      <c r="BO22" s="99">
        <f>BO23+BO24</f>
        <v>119896870</v>
      </c>
      <c r="BP22" s="99">
        <f>BP23+BP24</f>
        <v>119896870</v>
      </c>
      <c r="BQ22" s="100">
        <f>BQ23+BQ24</f>
        <v>7556193</v>
      </c>
      <c r="BR22" s="467"/>
    </row>
    <row r="23" spans="1:70" s="514" customFormat="1" ht="15.75" thickBot="1" x14ac:dyDescent="0.25">
      <c r="A23" s="188" t="str">
        <f>+IF(OCTUBRE!A23=0,"",OCTUBRE!A23)</f>
        <v>1130101-1</v>
      </c>
      <c r="B23" s="189" t="str">
        <f>+CONCATENATE("Vigencia ",INSTRUCCIONES!$F$3)</f>
        <v>Vigencia 2014</v>
      </c>
      <c r="C23" s="456">
        <f>+ENERO!C23</f>
        <v>190033939</v>
      </c>
      <c r="D23" s="456">
        <f>OCTUBRE!D23+NOVIEMBRE!P23</f>
        <v>0</v>
      </c>
      <c r="E23" s="456">
        <f>OCTUBRE!E23+NOVIEMBRE!Q23</f>
        <v>0</v>
      </c>
      <c r="F23" s="170">
        <f>SUM(C23:E23)</f>
        <v>190033939</v>
      </c>
      <c r="G23" s="283">
        <f>OCTUBRE!I23</f>
        <v>228383657</v>
      </c>
      <c r="H23" s="457">
        <v>20899164</v>
      </c>
      <c r="I23" s="170">
        <f>SUM(G23:H23)</f>
        <v>249282821</v>
      </c>
      <c r="J23" s="283">
        <f>OCTUBRE!L23</f>
        <v>98228879</v>
      </c>
      <c r="K23" s="457">
        <v>9651425</v>
      </c>
      <c r="L23" s="170">
        <f>SUM(J23:K23)</f>
        <v>107880304</v>
      </c>
      <c r="M23" s="283">
        <f>F23-I23</f>
        <v>-59248882</v>
      </c>
      <c r="N23" s="170">
        <f>F23-L23</f>
        <v>82153635</v>
      </c>
      <c r="O23" s="10"/>
      <c r="P23" s="455">
        <v>0</v>
      </c>
      <c r="Q23" s="458">
        <v>0</v>
      </c>
      <c r="R23" s="10"/>
      <c r="S23" s="156" t="str">
        <f>+IF(OCTUBRE!S23=0,"",OCTUBRE!S23)</f>
        <v>1010104-3</v>
      </c>
      <c r="T23" s="55" t="str">
        <f>+IF(OCTUBRE!T23=0,"",OCTUBRE!T23)</f>
        <v>Prima de Vacaciones</v>
      </c>
      <c r="U23" s="29">
        <f>+ENERO!U23</f>
        <v>15348783</v>
      </c>
      <c r="V23" s="17">
        <f>OCTUBRE!V23+NOVIEMBRE!AL23</f>
        <v>0</v>
      </c>
      <c r="W23" s="17">
        <f>OCTUBRE!W23+NOVIEMBRE!AM23</f>
        <v>0</v>
      </c>
      <c r="X23" s="20">
        <f t="shared" si="17"/>
        <v>15348783</v>
      </c>
      <c r="Y23" s="21">
        <f>OCTUBRE!AA23</f>
        <v>10393986</v>
      </c>
      <c r="Z23" s="457">
        <v>518388</v>
      </c>
      <c r="AA23" s="20">
        <f t="shared" si="18"/>
        <v>10912374</v>
      </c>
      <c r="AB23" s="21">
        <f>OCTUBRE!AD23</f>
        <v>10393986</v>
      </c>
      <c r="AC23" s="457">
        <v>518388</v>
      </c>
      <c r="AD23" s="20">
        <f t="shared" si="19"/>
        <v>10912374</v>
      </c>
      <c r="AE23" s="21">
        <f>OCTUBRE!AG23</f>
        <v>10393986</v>
      </c>
      <c r="AF23" s="457">
        <v>518388</v>
      </c>
      <c r="AG23" s="20">
        <f t="shared" si="20"/>
        <v>10912374</v>
      </c>
      <c r="AH23" s="21">
        <f t="shared" si="21"/>
        <v>4436409</v>
      </c>
      <c r="AI23" s="17">
        <f t="shared" si="22"/>
        <v>4436409</v>
      </c>
      <c r="AJ23" s="18">
        <f t="shared" si="23"/>
        <v>4436409</v>
      </c>
      <c r="AK23" s="10"/>
      <c r="AL23" s="455">
        <v>0</v>
      </c>
      <c r="AM23" s="458">
        <v>0</v>
      </c>
      <c r="AN23" s="10"/>
      <c r="AO23" s="453"/>
      <c r="AP23" s="532" t="s">
        <v>110</v>
      </c>
      <c r="AQ23" s="533">
        <f>X16+X65-AQ22</f>
        <v>359958128</v>
      </c>
      <c r="AR23" s="533">
        <f>AD16+AD65-AR22</f>
        <v>192731618</v>
      </c>
      <c r="AS23" s="533">
        <f>AG16+AG65-AS22</f>
        <v>174235487</v>
      </c>
      <c r="AT23" s="401"/>
      <c r="AU23" s="419">
        <f t="shared" si="25"/>
        <v>0.53542788176740375</v>
      </c>
      <c r="AV23" s="419">
        <f t="shared" si="26"/>
        <v>0.48404376355685458</v>
      </c>
      <c r="AW23" s="533">
        <f>(AR23-AD21-AD22-AD23-AD25-AD30-AD33-AD70-AD71-AD72-AD74-AD78-AD81)/$AO$2*12+AX22/12*2.5+AD30+AD33+AD78+AD81</f>
        <v>402260271.5</v>
      </c>
      <c r="AX23" s="533">
        <f>(AS23-AG21-AG22-AG23-AG25-AG30-AG33-AG70-AG71-AG72-AG74-AG78-AG81)/$AO$2*12+AX22/12*2.5+AG30+AG33+AG78+AG81</f>
        <v>399979662.77272725</v>
      </c>
      <c r="AY23" s="533">
        <f t="shared" si="27"/>
        <v>42302143.5</v>
      </c>
      <c r="AZ23" s="62">
        <f t="shared" si="28"/>
        <v>-40021534.772727251</v>
      </c>
      <c r="BA23" s="467"/>
      <c r="BB23" s="678" t="s">
        <v>111</v>
      </c>
      <c r="BC23" s="679">
        <f>BC7+BC8+BC20+BC21+BC22</f>
        <v>4088834335</v>
      </c>
      <c r="BD23" s="138">
        <f>BD7+BD8+BD20+BD21+BD22+BD92</f>
        <v>3841431554</v>
      </c>
      <c r="BE23" s="139">
        <f>BE7+BE8+BE20+BE21+BE22+BE92</f>
        <v>301510464</v>
      </c>
      <c r="BF23" s="467"/>
      <c r="BG23" s="467"/>
      <c r="BH23" s="467"/>
      <c r="BI23" s="467"/>
      <c r="BJ23" s="467"/>
      <c r="BK23" s="467"/>
      <c r="BL23" s="467"/>
      <c r="BM23" s="164" t="s">
        <v>107</v>
      </c>
      <c r="BN23" s="101">
        <f>X177</f>
        <v>104106866</v>
      </c>
      <c r="BO23" s="99">
        <f>AA177</f>
        <v>88553087</v>
      </c>
      <c r="BP23" s="99">
        <f>AD177</f>
        <v>88553087</v>
      </c>
      <c r="BQ23" s="100">
        <f>AF177</f>
        <v>7458862</v>
      </c>
      <c r="BR23" s="10"/>
    </row>
    <row r="24" spans="1:70" s="514" customFormat="1" ht="15" x14ac:dyDescent="0.2">
      <c r="A24" s="188" t="str">
        <f>+IF(OCTUBRE!A24=0,"",OCTUBRE!A24)</f>
        <v>1130101-2</v>
      </c>
      <c r="B24" s="189" t="str">
        <f>+IF(OCTUBRE!B24=0,"",OCTUBRE!B24)</f>
        <v>Vigencias Anteriores</v>
      </c>
      <c r="C24" s="456">
        <f>+ENERO!C24</f>
        <v>45404339</v>
      </c>
      <c r="D24" s="456">
        <f>OCTUBRE!D24+NOVIEMBRE!P24</f>
        <v>0</v>
      </c>
      <c r="E24" s="456">
        <f>OCTUBRE!E24+NOVIEMBRE!Q24</f>
        <v>0</v>
      </c>
      <c r="F24" s="170">
        <f>SUM(C24:E24)</f>
        <v>45404339</v>
      </c>
      <c r="G24" s="283">
        <f>OCTUBRE!I24</f>
        <v>96935305</v>
      </c>
      <c r="H24" s="457">
        <v>0</v>
      </c>
      <c r="I24" s="170">
        <f>SUM(G24:H24)</f>
        <v>96935305</v>
      </c>
      <c r="J24" s="283">
        <f>OCTUBRE!L24</f>
        <v>96935305</v>
      </c>
      <c r="K24" s="457">
        <v>0</v>
      </c>
      <c r="L24" s="170">
        <f>SUM(J24:K24)</f>
        <v>96935305</v>
      </c>
      <c r="M24" s="283">
        <f>F24-I24</f>
        <v>-51530966</v>
      </c>
      <c r="N24" s="170">
        <f>F24-L24</f>
        <v>-51530966</v>
      </c>
      <c r="O24" s="467"/>
      <c r="P24" s="455">
        <v>0</v>
      </c>
      <c r="Q24" s="458">
        <v>0</v>
      </c>
      <c r="R24" s="10"/>
      <c r="S24" s="156" t="str">
        <f>+IF(OCTUBRE!S24=0,"",OCTUBRE!S24)</f>
        <v>1010104-4</v>
      </c>
      <c r="T24" s="55" t="str">
        <f>+IF(OCTUBRE!T24=0,"",OCTUBRE!T24)</f>
        <v>Prima Clima</v>
      </c>
      <c r="U24" s="29">
        <f>+ENERO!U24</f>
        <v>0</v>
      </c>
      <c r="V24" s="17">
        <f>OCTUBRE!V24+NOVIEMBRE!AL24</f>
        <v>0</v>
      </c>
      <c r="W24" s="17">
        <f>OCTUBRE!W24+NOVIEMBRE!AM24</f>
        <v>0</v>
      </c>
      <c r="X24" s="20">
        <f t="shared" si="17"/>
        <v>0</v>
      </c>
      <c r="Y24" s="21">
        <f>OCTUBRE!AA24</f>
        <v>0</v>
      </c>
      <c r="Z24" s="457">
        <v>0</v>
      </c>
      <c r="AA24" s="20">
        <f t="shared" si="18"/>
        <v>0</v>
      </c>
      <c r="AB24" s="21">
        <f>OCTUBRE!AD24</f>
        <v>0</v>
      </c>
      <c r="AC24" s="457">
        <v>0</v>
      </c>
      <c r="AD24" s="20">
        <f t="shared" si="19"/>
        <v>0</v>
      </c>
      <c r="AE24" s="21">
        <f>OCTUBRE!AG24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235975007</v>
      </c>
      <c r="AR24" s="528">
        <f>AD35+AD83</f>
        <v>120539601</v>
      </c>
      <c r="AS24" s="528">
        <f>AG35+AG83</f>
        <v>106228166</v>
      </c>
      <c r="AT24" s="528"/>
      <c r="AU24" s="456">
        <f t="shared" si="25"/>
        <v>0.5108151178060989</v>
      </c>
      <c r="AV24" s="456">
        <f t="shared" si="26"/>
        <v>0.45016702128967412</v>
      </c>
      <c r="AW24" s="456">
        <f>(AR24-AD41-AD88)/$AO$2*12+AD41+AD88</f>
        <v>130448650.90909091</v>
      </c>
      <c r="AX24" s="456">
        <f>(AS24-AG41-AG88)/$AO$2*12+AG41+AG88</f>
        <v>114840476.36363636</v>
      </c>
      <c r="AY24" s="456">
        <f t="shared" si="27"/>
        <v>-105526356.09090909</v>
      </c>
      <c r="AZ24" s="170">
        <f t="shared" si="28"/>
        <v>121134530.63636364</v>
      </c>
      <c r="BA24" s="10"/>
      <c r="BB24" s="534"/>
      <c r="BC24" s="467"/>
      <c r="BD24" s="467"/>
      <c r="BE24" s="467"/>
      <c r="BF24" s="467"/>
      <c r="BG24" s="467"/>
      <c r="BH24" s="467"/>
      <c r="BI24" s="467"/>
      <c r="BJ24" s="467"/>
      <c r="BK24" s="467"/>
      <c r="BL24" s="467"/>
      <c r="BM24" s="164" t="s">
        <v>112</v>
      </c>
      <c r="BN24" s="101">
        <f>X170-X177-X174-X183-X191</f>
        <v>94660623</v>
      </c>
      <c r="BO24" s="99">
        <f>AA170-AA177-AA174-AA183-AA191</f>
        <v>31343783</v>
      </c>
      <c r="BP24" s="99">
        <f>AD170-AD177-AD174-AD183-AD191</f>
        <v>31343783</v>
      </c>
      <c r="BQ24" s="100">
        <f>AF170-AF177-AF174-AF183-AF191</f>
        <v>97331</v>
      </c>
      <c r="BR24" s="467"/>
    </row>
    <row r="25" spans="1:70" s="467" customFormat="1" ht="15" x14ac:dyDescent="0.25">
      <c r="A25" s="57">
        <f>+IF(OCTUBRE!A25=0,"",OCTUBRE!A25)</f>
        <v>1130102</v>
      </c>
      <c r="B25" s="45" t="str">
        <f>+IF(OCTUBRE!B25=0,"",OCTUBRE!B25)</f>
        <v>ARS - REGIMEN SUBSIDIADO</v>
      </c>
      <c r="C25" s="53">
        <f t="shared" ref="C25:N25" si="29">SUM(C26:C27)</f>
        <v>2553198704</v>
      </c>
      <c r="D25" s="53">
        <f t="shared" si="29"/>
        <v>0</v>
      </c>
      <c r="E25" s="53">
        <f t="shared" si="29"/>
        <v>154000000</v>
      </c>
      <c r="F25" s="54">
        <f t="shared" si="29"/>
        <v>2707198704</v>
      </c>
      <c r="G25" s="52">
        <f t="shared" si="29"/>
        <v>2271912148</v>
      </c>
      <c r="H25" s="53">
        <f t="shared" si="29"/>
        <v>215080787</v>
      </c>
      <c r="I25" s="54">
        <f t="shared" si="29"/>
        <v>2486992935</v>
      </c>
      <c r="J25" s="52">
        <f t="shared" si="29"/>
        <v>2027465602</v>
      </c>
      <c r="K25" s="53">
        <f t="shared" si="29"/>
        <v>206494461</v>
      </c>
      <c r="L25" s="54">
        <f t="shared" si="29"/>
        <v>2233960063</v>
      </c>
      <c r="M25" s="52">
        <f t="shared" si="29"/>
        <v>220205769</v>
      </c>
      <c r="N25" s="54">
        <f t="shared" si="29"/>
        <v>473238641</v>
      </c>
      <c r="P25" s="52">
        <f>SUM(P26:P27)</f>
        <v>0</v>
      </c>
      <c r="Q25" s="54">
        <f>SUM(Q26:Q27)</f>
        <v>0</v>
      </c>
      <c r="R25" s="10"/>
      <c r="S25" s="156" t="str">
        <f>+IF(OCTUBRE!S25=0,"",OCTUBRE!S25)</f>
        <v>1010104-5</v>
      </c>
      <c r="T25" s="55" t="str">
        <f>+IF(OCTUBRE!T25=0,"",OCTUBRE!T25)</f>
        <v>Prima de Servicios</v>
      </c>
      <c r="U25" s="29">
        <f>+ENERO!U25</f>
        <v>0</v>
      </c>
      <c r="V25" s="17">
        <f>OCTUBRE!V25+NOVIEMBRE!AL25</f>
        <v>0</v>
      </c>
      <c r="W25" s="17">
        <f>OCTUBRE!W25+NOVIEMBRE!AM25</f>
        <v>0</v>
      </c>
      <c r="X25" s="20">
        <f t="shared" si="17"/>
        <v>0</v>
      </c>
      <c r="Y25" s="21">
        <f>OCTUBRE!AA25</f>
        <v>0</v>
      </c>
      <c r="Z25" s="457">
        <v>0</v>
      </c>
      <c r="AA25" s="20">
        <f t="shared" si="18"/>
        <v>0</v>
      </c>
      <c r="AB25" s="21">
        <f>OCTUBRE!AD25</f>
        <v>0</v>
      </c>
      <c r="AC25" s="457">
        <v>0</v>
      </c>
      <c r="AD25" s="20">
        <f t="shared" si="19"/>
        <v>0</v>
      </c>
      <c r="AE25" s="21">
        <f>OCTUBRE!AG25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459576551</v>
      </c>
      <c r="AS25" s="456">
        <f>AG43+AG57+AG90+AG104</f>
        <v>436452814</v>
      </c>
      <c r="AT25" s="528"/>
      <c r="AU25" s="456">
        <f t="shared" si="25"/>
        <v>0.80264205767699037</v>
      </c>
      <c r="AV25" s="456">
        <f t="shared" si="26"/>
        <v>0.76225687308374601</v>
      </c>
      <c r="AW25" s="456">
        <f>(AR25-AD55-AD61-AD102-AD108)/$AO$2*12+AD55+AD61+AD102+AD108</f>
        <v>500825352.45454544</v>
      </c>
      <c r="AX25" s="456">
        <f>(AS25-AG55-AG61-AG102-AG108)/$AO$2*12+AG55+AG61+AG102+AG108</f>
        <v>475599457.54545456</v>
      </c>
      <c r="AY25" s="456">
        <f t="shared" si="27"/>
        <v>-71754350.545454562</v>
      </c>
      <c r="AZ25" s="170">
        <f t="shared" si="28"/>
        <v>96980245.454545438</v>
      </c>
      <c r="BM25" s="167" t="s">
        <v>475</v>
      </c>
      <c r="BN25" s="124">
        <f>+SUM(BN26:BN28)</f>
        <v>360675926</v>
      </c>
      <c r="BO25" s="125">
        <f>+SUM(BO26:BO28)</f>
        <v>271605056</v>
      </c>
      <c r="BP25" s="125">
        <f>+SUM(BP26:BP28)</f>
        <v>271577742</v>
      </c>
      <c r="BQ25" s="126">
        <f>+SUM(BQ26:BQ28)</f>
        <v>32342282</v>
      </c>
    </row>
    <row r="26" spans="1:70" s="10" customFormat="1" ht="15" x14ac:dyDescent="0.2">
      <c r="A26" s="188" t="str">
        <f>+IF(OCTUBRE!A26=0,"",OCTUBRE!A26)</f>
        <v>1130102-1</v>
      </c>
      <c r="B26" s="189" t="str">
        <f>+CONCATENATE("Vigencia ",INSTRUCCIONES!$F$3)</f>
        <v>Vigencia 2014</v>
      </c>
      <c r="C26" s="456">
        <f>+ENERO!C26</f>
        <v>2490198704</v>
      </c>
      <c r="D26" s="456">
        <f>OCTUBRE!D26+NOVIEMBRE!P26</f>
        <v>0</v>
      </c>
      <c r="E26" s="456">
        <f>OCTUBRE!E26+NOVIEMBRE!Q26</f>
        <v>0</v>
      </c>
      <c r="F26" s="170">
        <f>SUM(C26:E26)</f>
        <v>2490198704</v>
      </c>
      <c r="G26" s="283">
        <f>OCTUBRE!I26</f>
        <v>2051814801</v>
      </c>
      <c r="H26" s="457">
        <v>215001987</v>
      </c>
      <c r="I26" s="170">
        <f>SUM(G26:H26)</f>
        <v>2266816788</v>
      </c>
      <c r="J26" s="283">
        <f>OCTUBRE!L26</f>
        <v>1807368255</v>
      </c>
      <c r="K26" s="457">
        <v>206415661</v>
      </c>
      <c r="L26" s="170">
        <f>SUM(J26:K26)</f>
        <v>2013783916</v>
      </c>
      <c r="M26" s="283">
        <f>F26-I26</f>
        <v>223381916</v>
      </c>
      <c r="N26" s="170">
        <f>F26-L26</f>
        <v>476414788</v>
      </c>
      <c r="P26" s="455">
        <v>0</v>
      </c>
      <c r="Q26" s="458">
        <v>0</v>
      </c>
      <c r="S26" s="156" t="str">
        <f>+IF(OCTUBRE!S26=0,"",OCTUBRE!S26)</f>
        <v>1010104-8</v>
      </c>
      <c r="T26" s="55" t="str">
        <f>+IF(OCTUBRE!T26=0,"",OCTUBRE!T26)</f>
        <v>Bonific. por Servicios Prestados (Convencional)</v>
      </c>
      <c r="U26" s="29">
        <f>+ENERO!U26</f>
        <v>0</v>
      </c>
      <c r="V26" s="17">
        <f>OCTUBRE!V26+NOVIEMBRE!AL26</f>
        <v>0</v>
      </c>
      <c r="W26" s="17">
        <f>OCTUBRE!W26+NOVIEMBRE!AM26</f>
        <v>0</v>
      </c>
      <c r="X26" s="20">
        <f t="shared" si="17"/>
        <v>0</v>
      </c>
      <c r="Y26" s="21">
        <f>OCTUBRE!AA26</f>
        <v>0</v>
      </c>
      <c r="Z26" s="457">
        <v>0</v>
      </c>
      <c r="AA26" s="20">
        <f t="shared" si="18"/>
        <v>0</v>
      </c>
      <c r="AB26" s="21">
        <f>OCTUBRE!AD26</f>
        <v>0</v>
      </c>
      <c r="AC26" s="457">
        <v>0</v>
      </c>
      <c r="AD26" s="20">
        <f t="shared" si="19"/>
        <v>0</v>
      </c>
      <c r="AE26" s="21">
        <f>OCTUBRE!AG26</f>
        <v>0</v>
      </c>
      <c r="AF26" s="457">
        <v>0</v>
      </c>
      <c r="AG26" s="20">
        <f t="shared" si="20"/>
        <v>0</v>
      </c>
      <c r="AH26" s="21">
        <f t="shared" si="21"/>
        <v>0</v>
      </c>
      <c r="AI26" s="17">
        <f t="shared" si="22"/>
        <v>0</v>
      </c>
      <c r="AJ26" s="18">
        <f t="shared" si="23"/>
        <v>0</v>
      </c>
      <c r="AL26" s="455">
        <v>0</v>
      </c>
      <c r="AM26" s="458">
        <v>0</v>
      </c>
      <c r="AO26" s="23"/>
      <c r="AP26" s="536" t="s">
        <v>122</v>
      </c>
      <c r="AQ26" s="401">
        <f>X110</f>
        <v>768954629</v>
      </c>
      <c r="AR26" s="401">
        <f>AD110</f>
        <v>609154851</v>
      </c>
      <c r="AS26" s="401">
        <f>AG110</f>
        <v>558850792</v>
      </c>
      <c r="AT26" s="454">
        <f>AO2/12</f>
        <v>0.91666666666666663</v>
      </c>
      <c r="AU26" s="419">
        <f t="shared" si="25"/>
        <v>0.79218568693992475</v>
      </c>
      <c r="AV26" s="419">
        <f t="shared" si="26"/>
        <v>0.7267669260626819</v>
      </c>
      <c r="AW26" s="533">
        <f>(AR26-AD121-AD139-AD143-AD153-AD168)/$AO$2*12+AD121+AD139+AD143+AD153+AD168</f>
        <v>661095352.90909088</v>
      </c>
      <c r="AX26" s="533">
        <f>(AS26-AG121-AG139-AG143-AG153-AG168)/$AO$2*12+AG121+AG139+AG143+AG153+AG168</f>
        <v>606298370.36363637</v>
      </c>
      <c r="AY26" s="533">
        <f t="shared" si="27"/>
        <v>-107859276.09090912</v>
      </c>
      <c r="AZ26" s="62">
        <f t="shared" si="28"/>
        <v>162656258.63636363</v>
      </c>
      <c r="BA26" s="467"/>
      <c r="BB26" s="467"/>
      <c r="BC26" s="467"/>
      <c r="BD26" s="467"/>
      <c r="BE26" s="467"/>
      <c r="BF26" s="467"/>
      <c r="BG26" s="467"/>
      <c r="BH26" s="467"/>
      <c r="BI26" s="467"/>
      <c r="BJ26" s="467"/>
      <c r="BK26" s="467"/>
      <c r="BM26" s="127" t="s">
        <v>476</v>
      </c>
      <c r="BN26" s="104">
        <f>+X196+X212</f>
        <v>208038050</v>
      </c>
      <c r="BO26" s="102">
        <f>+AA196+AA212</f>
        <v>164317720</v>
      </c>
      <c r="BP26" s="102">
        <f>+AD196+AD212</f>
        <v>164290711</v>
      </c>
      <c r="BQ26" s="103">
        <f>+AF196+AF212</f>
        <v>20514331</v>
      </c>
      <c r="BR26" s="467"/>
    </row>
    <row r="27" spans="1:70" s="514" customFormat="1" ht="15" x14ac:dyDescent="0.2">
      <c r="A27" s="188" t="str">
        <f>+IF(OCTUBRE!A27=0,"",OCTUBRE!A27)</f>
        <v>1130102-2</v>
      </c>
      <c r="B27" s="189" t="str">
        <f>+IF(OCTUBRE!B27=0,"",OCTUBRE!B27)</f>
        <v>Vigencias Anteriores</v>
      </c>
      <c r="C27" s="456">
        <f>+ENERO!C27</f>
        <v>63000000</v>
      </c>
      <c r="D27" s="456">
        <f>OCTUBRE!D27+NOVIEMBRE!P27</f>
        <v>0</v>
      </c>
      <c r="E27" s="456">
        <f>OCTUBRE!E27+NOVIEMBRE!Q27</f>
        <v>154000000</v>
      </c>
      <c r="F27" s="170">
        <f>SUM(C27:E27)</f>
        <v>217000000</v>
      </c>
      <c r="G27" s="283">
        <f>OCTUBRE!I27</f>
        <v>220097347</v>
      </c>
      <c r="H27" s="457">
        <v>78800</v>
      </c>
      <c r="I27" s="170">
        <f>SUM(G27:H27)</f>
        <v>220176147</v>
      </c>
      <c r="J27" s="283">
        <f>OCTUBRE!L27</f>
        <v>220097347</v>
      </c>
      <c r="K27" s="457">
        <v>78800</v>
      </c>
      <c r="L27" s="170">
        <f>SUM(J27:K27)</f>
        <v>220176147</v>
      </c>
      <c r="M27" s="283">
        <f>F27-I27</f>
        <v>-3176147</v>
      </c>
      <c r="N27" s="170">
        <f>F27-L27</f>
        <v>-3176147</v>
      </c>
      <c r="O27" s="467"/>
      <c r="P27" s="455">
        <v>0</v>
      </c>
      <c r="Q27" s="458">
        <v>0</v>
      </c>
      <c r="R27" s="10"/>
      <c r="S27" s="156" t="str">
        <f>+IF(OCTUBRE!S27=0,"",OCTUBRE!S27)</f>
        <v>1010104-9</v>
      </c>
      <c r="T27" s="55" t="str">
        <f>+IF(OCTUBRE!T27=0,"",OCTUBRE!T27)</f>
        <v>Auxilio de Transporte</v>
      </c>
      <c r="U27" s="29">
        <f>+ENERO!U27</f>
        <v>0</v>
      </c>
      <c r="V27" s="17">
        <f>OCTUBRE!V27+NOVIEMBRE!AL27</f>
        <v>0</v>
      </c>
      <c r="W27" s="17">
        <f>OCTUBRE!W27+NOVIEMBRE!AM27</f>
        <v>0</v>
      </c>
      <c r="X27" s="20">
        <f t="shared" si="17"/>
        <v>0</v>
      </c>
      <c r="Y27" s="21">
        <f>OCTUBRE!AA27</f>
        <v>0</v>
      </c>
      <c r="Z27" s="457">
        <v>0</v>
      </c>
      <c r="AA27" s="20">
        <f t="shared" si="18"/>
        <v>0</v>
      </c>
      <c r="AB27" s="21">
        <f>OCTUBRE!AD27</f>
        <v>0</v>
      </c>
      <c r="AC27" s="457">
        <v>0</v>
      </c>
      <c r="AD27" s="20">
        <f t="shared" si="19"/>
        <v>0</v>
      </c>
      <c r="AE27" s="21">
        <f>OCTUBRE!AG27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205581543</v>
      </c>
      <c r="AR27" s="456">
        <f>AD170</f>
        <v>126710924</v>
      </c>
      <c r="AS27" s="456">
        <f>AG170</f>
        <v>116646152</v>
      </c>
      <c r="AT27" s="528"/>
      <c r="AU27" s="456">
        <f t="shared" si="25"/>
        <v>0.61635359940848389</v>
      </c>
      <c r="AV27" s="456">
        <f t="shared" si="26"/>
        <v>0.56739603321296217</v>
      </c>
      <c r="AW27" s="456">
        <f>(AR27-AD174-AD183-AD191)/$AO$2*12+AD174+AD183+AD191</f>
        <v>137610639.45454547</v>
      </c>
      <c r="AX27" s="456">
        <f>(AS27-AG174-AG183-AG191)/$AO$2*12+AG174+AG183+AG191</f>
        <v>126630888.18181819</v>
      </c>
      <c r="AY27" s="456">
        <f t="shared" si="27"/>
        <v>-67970903.545454532</v>
      </c>
      <c r="AZ27" s="170">
        <f t="shared" si="28"/>
        <v>78950654.818181813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+IF(OCTUBRE!A28=0,"",OCTUBRE!A28)</f>
        <v>1130103</v>
      </c>
      <c r="B28" s="60" t="str">
        <f>+IF(OCTUBRE!B28=0,"",OCTUBRE!B28)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+IF(OCTUBRE!S28=0,"",OCTUBRE!S28)</f>
        <v>1010104-10</v>
      </c>
      <c r="T28" s="55" t="str">
        <f>+IF(OCTUBRE!T28=0,"",OCTUBRE!T28)</f>
        <v>Subsidio de Alimentación</v>
      </c>
      <c r="U28" s="29">
        <f>+ENERO!U28</f>
        <v>9130335</v>
      </c>
      <c r="V28" s="17">
        <f>OCTUBRE!V28+NOVIEMBRE!AL28</f>
        <v>0</v>
      </c>
      <c r="W28" s="17">
        <f>OCTUBRE!W28+NOVIEMBRE!AM28</f>
        <v>0</v>
      </c>
      <c r="X28" s="20">
        <f t="shared" si="17"/>
        <v>9130335</v>
      </c>
      <c r="Y28" s="21">
        <f>OCTUBRE!AA28</f>
        <v>7635534</v>
      </c>
      <c r="Z28" s="457">
        <v>768327</v>
      </c>
      <c r="AA28" s="20">
        <f t="shared" si="18"/>
        <v>8403861</v>
      </c>
      <c r="AB28" s="21">
        <f>OCTUBRE!AD28</f>
        <v>7635534</v>
      </c>
      <c r="AC28" s="457">
        <v>768327</v>
      </c>
      <c r="AD28" s="20">
        <f t="shared" si="19"/>
        <v>8403861</v>
      </c>
      <c r="AE28" s="21">
        <f>OCTUBRE!AG28</f>
        <v>7635534</v>
      </c>
      <c r="AF28" s="457">
        <v>768327</v>
      </c>
      <c r="AG28" s="20">
        <f t="shared" si="20"/>
        <v>8403861</v>
      </c>
      <c r="AH28" s="21">
        <f t="shared" si="21"/>
        <v>726474</v>
      </c>
      <c r="AI28" s="17">
        <f t="shared" si="22"/>
        <v>726474</v>
      </c>
      <c r="AJ28" s="18">
        <f t="shared" si="23"/>
        <v>726474</v>
      </c>
      <c r="AK28" s="10"/>
      <c r="AL28" s="455">
        <v>0</v>
      </c>
      <c r="AM28" s="458">
        <v>0</v>
      </c>
      <c r="AN28" s="10"/>
      <c r="AO28" s="428"/>
      <c r="AP28" s="535" t="s">
        <v>129</v>
      </c>
      <c r="AQ28" s="528">
        <f>X193</f>
        <v>420893217</v>
      </c>
      <c r="AR28" s="528">
        <f>AD193</f>
        <v>331795033</v>
      </c>
      <c r="AS28" s="528">
        <f>AG193</f>
        <v>257653201</v>
      </c>
      <c r="AT28" s="528"/>
      <c r="AU28" s="456">
        <f t="shared" si="25"/>
        <v>0.78831166575915623</v>
      </c>
      <c r="AV28" s="456">
        <f t="shared" si="26"/>
        <v>0.61215812133175818</v>
      </c>
      <c r="AW28" s="456">
        <f>(AR28-AD205)/$AO$2*12+AD205</f>
        <v>356483918.63636363</v>
      </c>
      <c r="AX28" s="456">
        <f>(AS28-AG205)/$AO$2*12+AG205</f>
        <v>275601920.09090906</v>
      </c>
      <c r="AY28" s="456">
        <f t="shared" si="27"/>
        <v>-64409298.363636374</v>
      </c>
      <c r="AZ28" s="170">
        <f t="shared" si="28"/>
        <v>145291296.90909094</v>
      </c>
      <c r="BA28" s="467"/>
      <c r="BB28" s="467"/>
      <c r="BC28" s="467"/>
      <c r="BD28" s="467"/>
      <c r="BE28" s="467"/>
      <c r="BF28" s="467"/>
      <c r="BG28" s="467"/>
      <c r="BH28" s="467"/>
      <c r="BI28" s="467"/>
      <c r="BJ28" s="467"/>
      <c r="BK28" s="467"/>
      <c r="BL28" s="467"/>
      <c r="BM28" s="89" t="s">
        <v>478</v>
      </c>
      <c r="BN28" s="101">
        <f>+X194-X196-X205</f>
        <v>152637876</v>
      </c>
      <c r="BO28" s="99">
        <f>+AA194-AA196-AA205</f>
        <v>107287336</v>
      </c>
      <c r="BP28" s="99">
        <f>+AD194-AD196-AD205</f>
        <v>107287031</v>
      </c>
      <c r="BQ28" s="100">
        <f>+AF194-AF196-AF205</f>
        <v>11827951</v>
      </c>
      <c r="BR28" s="10"/>
    </row>
    <row r="29" spans="1:70" s="10" customFormat="1" ht="15" x14ac:dyDescent="0.25">
      <c r="A29" s="61" t="str">
        <f>+IF(OCTUBRE!A29=0,"",OCTUBRE!A29)</f>
        <v>1130103-1</v>
      </c>
      <c r="B29" s="62" t="str">
        <f>+IF(OCTUBRE!B29=0,"",OCTUBRE!B29)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+IF(OCTUBRE!S29=0,"",OCTUBRE!S29)</f>
        <v>1010104-11</v>
      </c>
      <c r="T29" s="55" t="str">
        <f>+IF(OCTUBRE!T29=0,"",OCTUBRE!T29)</f>
        <v>Gastos de Representación</v>
      </c>
      <c r="U29" s="29">
        <f>+ENERO!U29</f>
        <v>0</v>
      </c>
      <c r="V29" s="17">
        <f>OCTUBRE!V29+NOVIEMBRE!AL29</f>
        <v>0</v>
      </c>
      <c r="W29" s="17">
        <f>OCTUBRE!W29+NOVIEMBRE!AM29</f>
        <v>0</v>
      </c>
      <c r="X29" s="20">
        <f t="shared" si="17"/>
        <v>0</v>
      </c>
      <c r="Y29" s="21">
        <f>OCTUBRE!AA29</f>
        <v>0</v>
      </c>
      <c r="Z29" s="457">
        <v>0</v>
      </c>
      <c r="AA29" s="20">
        <f t="shared" si="18"/>
        <v>0</v>
      </c>
      <c r="AB29" s="21">
        <f>OCTUBRE!AD29</f>
        <v>0</v>
      </c>
      <c r="AC29" s="457">
        <v>0</v>
      </c>
      <c r="AD29" s="20">
        <f t="shared" si="19"/>
        <v>0</v>
      </c>
      <c r="AE29" s="21">
        <f>OCTUBRE!AG29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255410140</v>
      </c>
      <c r="BO29" s="125">
        <f>AA232-AA256-AA241</f>
        <v>202323570</v>
      </c>
      <c r="BP29" s="125">
        <f>AD232-AD256-AD241</f>
        <v>202322341</v>
      </c>
      <c r="BQ29" s="126">
        <f>AF232-AF256-AF241</f>
        <v>3958238</v>
      </c>
      <c r="BR29" s="467"/>
    </row>
    <row r="30" spans="1:70" s="514" customFormat="1" ht="15" x14ac:dyDescent="0.25">
      <c r="A30" s="188" t="str">
        <f>+IF(OCTUBRE!A30=0,"",OCTUBRE!A30)</f>
        <v>1130103-1-1</v>
      </c>
      <c r="B30" s="189" t="str">
        <f>+CONCATENATE("Vigencia ",INSTRUCCIONES!$F$3)</f>
        <v>Vigencia 2014</v>
      </c>
      <c r="C30" s="456">
        <f>+ENERO!C30</f>
        <v>227076373</v>
      </c>
      <c r="D30" s="456">
        <f>OCTUBRE!D30+NOVIEMBRE!P30</f>
        <v>-227076373</v>
      </c>
      <c r="E30" s="456">
        <f>OCTUBRE!E30+NOVIEMBRE!Q30</f>
        <v>0</v>
      </c>
      <c r="F30" s="170">
        <f>SUM(C30:E30)</f>
        <v>0</v>
      </c>
      <c r="G30" s="283">
        <f>OCTUBRE!I30</f>
        <v>0</v>
      </c>
      <c r="H30" s="457">
        <v>0</v>
      </c>
      <c r="I30" s="170">
        <f>SUM(G30:H30)</f>
        <v>0</v>
      </c>
      <c r="J30" s="283">
        <f>OCTUBRE!L30</f>
        <v>0</v>
      </c>
      <c r="K30" s="457">
        <v>0</v>
      </c>
      <c r="L30" s="170">
        <f>SUM(J30:K30)</f>
        <v>0</v>
      </c>
      <c r="M30" s="283">
        <f>F30-I30</f>
        <v>0</v>
      </c>
      <c r="N30" s="170">
        <f>F30-L30</f>
        <v>0</v>
      </c>
      <c r="O30" s="10"/>
      <c r="P30" s="455">
        <v>0</v>
      </c>
      <c r="Q30" s="458">
        <v>0</v>
      </c>
      <c r="R30" s="10"/>
      <c r="S30" s="156" t="str">
        <f>+IF(OCTUBRE!S30=0,"",OCTUBRE!S30)</f>
        <v>1010104-12</v>
      </c>
      <c r="T30" s="55" t="str">
        <f>+IF(OCTUBRE!T30=0,"",OCTUBRE!T30)</f>
        <v xml:space="preserve"> Indemnizaciones por Vacaciones o Supresión de Cargos por Reestructuración</v>
      </c>
      <c r="U30" s="29">
        <f>+ENERO!U30</f>
        <v>0</v>
      </c>
      <c r="V30" s="17">
        <f>OCTUBRE!V30+NOVIEMBRE!AL30</f>
        <v>0</v>
      </c>
      <c r="W30" s="17">
        <f>OCTUBRE!W30+NOVIEMBRE!AM30</f>
        <v>0</v>
      </c>
      <c r="X30" s="20">
        <f t="shared" si="17"/>
        <v>0</v>
      </c>
      <c r="Y30" s="21">
        <f>OCTUBRE!AA30</f>
        <v>0</v>
      </c>
      <c r="Z30" s="457">
        <v>0</v>
      </c>
      <c r="AA30" s="20">
        <f t="shared" si="18"/>
        <v>0</v>
      </c>
      <c r="AB30" s="21">
        <f>OCTUBRE!AD30</f>
        <v>0</v>
      </c>
      <c r="AC30" s="457">
        <v>0</v>
      </c>
      <c r="AD30" s="20">
        <f t="shared" si="19"/>
        <v>0</v>
      </c>
      <c r="AE30" s="21">
        <f>OCTUBRE!AG30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255410140</v>
      </c>
      <c r="AR30" s="456">
        <f>AD220+AD232</f>
        <v>202322341</v>
      </c>
      <c r="AS30" s="456">
        <f>AG220+AG232</f>
        <v>180323858</v>
      </c>
      <c r="AT30" s="528"/>
      <c r="AU30" s="456">
        <f t="shared" si="25"/>
        <v>0.79214686229763631</v>
      </c>
      <c r="AV30" s="456">
        <f t="shared" si="26"/>
        <v>0.70601683237791579</v>
      </c>
      <c r="AW30" s="456">
        <f>(AR30-AD225-AD230-AD241-AD256)/$AO$2*12+AD225+AD230+AD241+AD256</f>
        <v>220715281.09090906</v>
      </c>
      <c r="AX30" s="456">
        <f>(AS30-AG225-AG230-AG241-AG256)/$AO$2*12+AG225+AG230+AG241+AG256</f>
        <v>196716936</v>
      </c>
      <c r="AY30" s="456">
        <f t="shared" si="27"/>
        <v>-34694858.909090936</v>
      </c>
      <c r="AZ30" s="170">
        <f t="shared" si="28"/>
        <v>58693204</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+IF(OCTUBRE!A31=0,"",OCTUBRE!A31)</f>
        <v>1130103-1-2</v>
      </c>
      <c r="B31" s="189" t="str">
        <f>+IF(OCTUBRE!B31=0,"",OCTUBRE!B31)</f>
        <v>Vigencias Anteriores</v>
      </c>
      <c r="C31" s="456">
        <f>+ENERO!C31</f>
        <v>0</v>
      </c>
      <c r="D31" s="456">
        <f>OCTUBRE!D31+NOVIEMBRE!P31</f>
        <v>0</v>
      </c>
      <c r="E31" s="456">
        <f>OCTUBRE!E31+NOVIEMBRE!Q31</f>
        <v>0</v>
      </c>
      <c r="F31" s="170">
        <f>SUM(C31:E31)</f>
        <v>0</v>
      </c>
      <c r="G31" s="283">
        <f>OCTUBRE!I31</f>
        <v>0</v>
      </c>
      <c r="H31" s="457">
        <v>0</v>
      </c>
      <c r="I31" s="170">
        <f>SUM(G31:H31)</f>
        <v>0</v>
      </c>
      <c r="J31" s="283">
        <f>OCTUBRE!L31</f>
        <v>0</v>
      </c>
      <c r="K31" s="457">
        <v>0</v>
      </c>
      <c r="L31" s="170">
        <f>SUM(J31:K31)</f>
        <v>0</v>
      </c>
      <c r="M31" s="283">
        <f>F31-I31</f>
        <v>0</v>
      </c>
      <c r="N31" s="170">
        <f>F31-L31</f>
        <v>0</v>
      </c>
      <c r="O31" s="467"/>
      <c r="P31" s="455">
        <v>0</v>
      </c>
      <c r="Q31" s="458">
        <v>0</v>
      </c>
      <c r="R31" s="10"/>
      <c r="S31" s="156" t="str">
        <f>+IF(OCTUBRE!S31=0,"",OCTUBRE!S31)</f>
        <v>1010104-13</v>
      </c>
      <c r="T31" s="55" t="str">
        <f>+IF(OCTUBRE!T31=0,"",OCTUBRE!T31)</f>
        <v>Bonificación Especial por Recreación</v>
      </c>
      <c r="U31" s="29">
        <f>+ENERO!U31</f>
        <v>2046504</v>
      </c>
      <c r="V31" s="17">
        <f>OCTUBRE!V31+NOVIEMBRE!AL31</f>
        <v>0</v>
      </c>
      <c r="W31" s="17">
        <f>OCTUBRE!W31+NOVIEMBRE!AM31</f>
        <v>0</v>
      </c>
      <c r="X31" s="20">
        <f t="shared" si="17"/>
        <v>2046504</v>
      </c>
      <c r="Y31" s="21">
        <f>OCTUBRE!AA31</f>
        <v>1384268</v>
      </c>
      <c r="Z31" s="457">
        <v>69118</v>
      </c>
      <c r="AA31" s="20">
        <f t="shared" si="18"/>
        <v>1453386</v>
      </c>
      <c r="AB31" s="21">
        <f>OCTUBRE!AD31</f>
        <v>1384268</v>
      </c>
      <c r="AC31" s="457">
        <v>69118</v>
      </c>
      <c r="AD31" s="20">
        <f t="shared" si="19"/>
        <v>1453386</v>
      </c>
      <c r="AE31" s="21">
        <f>OCTUBRE!AG31</f>
        <v>1384268</v>
      </c>
      <c r="AF31" s="457">
        <v>69118</v>
      </c>
      <c r="AG31" s="20">
        <f t="shared" si="20"/>
        <v>1453386</v>
      </c>
      <c r="AH31" s="21">
        <f t="shared" si="21"/>
        <v>593118</v>
      </c>
      <c r="AI31" s="17">
        <f t="shared" si="22"/>
        <v>593118</v>
      </c>
      <c r="AJ31" s="18">
        <f t="shared" si="23"/>
        <v>593118</v>
      </c>
      <c r="AK31" s="10"/>
      <c r="AL31" s="455">
        <v>0</v>
      </c>
      <c r="AM31" s="458">
        <v>0</v>
      </c>
      <c r="AN31" s="10"/>
      <c r="AO31" s="428"/>
      <c r="AP31" s="507" t="s">
        <v>139</v>
      </c>
      <c r="AQ31" s="528">
        <f>X258</f>
        <v>0</v>
      </c>
      <c r="AR31" s="528">
        <f>AD258</f>
        <v>173490053</v>
      </c>
      <c r="AS31" s="528">
        <f>AG258</f>
        <v>-2959858041</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0</v>
      </c>
      <c r="BR31" s="10"/>
    </row>
    <row r="32" spans="1:70" s="10" customFormat="1" ht="15.75" thickBot="1" x14ac:dyDescent="0.3">
      <c r="A32" s="61" t="str">
        <f>+IF(OCTUBRE!A32=0,"",OCTUBRE!A32)</f>
        <v>1130103-2</v>
      </c>
      <c r="B32" s="62" t="str">
        <f>+IF(OCTUBRE!B32=0,"",OCTUBRE!B32)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+IF(OCTUBRE!S32=0,"",OCTUBRE!S32)</f>
        <v>1010104-14</v>
      </c>
      <c r="T32" s="55" t="str">
        <f>+IF(OCTUBRE!T32=0,"",OCTUBRE!T32)</f>
        <v/>
      </c>
      <c r="U32" s="29">
        <f>+ENERO!U32</f>
        <v>0</v>
      </c>
      <c r="V32" s="17">
        <f>OCTUBRE!V32+NOVIEMBRE!AL32</f>
        <v>0</v>
      </c>
      <c r="W32" s="17">
        <f>OCTUBRE!W32+NOVIEMBRE!AM32</f>
        <v>0</v>
      </c>
      <c r="X32" s="20">
        <f t="shared" si="17"/>
        <v>0</v>
      </c>
      <c r="Y32" s="21">
        <f>OCTUBRE!AA32</f>
        <v>0</v>
      </c>
      <c r="Z32" s="457">
        <v>0</v>
      </c>
      <c r="AA32" s="20">
        <f t="shared" si="18"/>
        <v>0</v>
      </c>
      <c r="AB32" s="21">
        <f>OCTUBRE!AD32</f>
        <v>0</v>
      </c>
      <c r="AC32" s="457">
        <v>0</v>
      </c>
      <c r="AD32" s="20">
        <f t="shared" si="19"/>
        <v>0</v>
      </c>
      <c r="AE32" s="21">
        <f>OCTUBRE!AG32</f>
        <v>0</v>
      </c>
      <c r="AF32" s="457">
        <v>0</v>
      </c>
      <c r="AG32" s="20">
        <f t="shared" si="20"/>
        <v>0</v>
      </c>
      <c r="AH32" s="21">
        <f t="shared" si="21"/>
        <v>0</v>
      </c>
      <c r="AI32" s="17">
        <f t="shared" si="22"/>
        <v>0</v>
      </c>
      <c r="AJ32" s="18">
        <f t="shared" si="23"/>
        <v>0</v>
      </c>
      <c r="AL32" s="455">
        <v>0</v>
      </c>
      <c r="AM32" s="458">
        <v>0</v>
      </c>
      <c r="AO32" s="23"/>
      <c r="AP32" s="537" t="s">
        <v>144</v>
      </c>
      <c r="AQ32" s="483">
        <f>SUM(AQ22:AQ31)</f>
        <v>4088834335</v>
      </c>
      <c r="AR32" s="483">
        <f>SUM(AR22:AR31)</f>
        <v>3383249435</v>
      </c>
      <c r="AS32" s="483">
        <f>SUM(AS22:AS31)</f>
        <v>0</v>
      </c>
      <c r="AT32" s="538"/>
      <c r="AU32" s="539">
        <f t="shared" si="25"/>
        <v>0.82743617319971463</v>
      </c>
      <c r="AV32" s="539">
        <f t="shared" si="26"/>
        <v>0</v>
      </c>
      <c r="AW32" s="430">
        <f>SUM(AW22:AW31)</f>
        <v>3682452335.681818</v>
      </c>
      <c r="AX32" s="430">
        <f>SUM(AX22:AX31)</f>
        <v>3427814152.4090905</v>
      </c>
      <c r="AY32" s="430">
        <f>SUM(AY22:AY31)</f>
        <v>-406381999.31818187</v>
      </c>
      <c r="AZ32" s="431">
        <f>SUM(AZ22:AZ31)</f>
        <v>661020182.59090924</v>
      </c>
      <c r="BA32" s="467"/>
      <c r="BB32" s="514"/>
      <c r="BC32" s="514"/>
      <c r="BD32" s="514"/>
      <c r="BE32" s="514"/>
      <c r="BF32" s="514"/>
      <c r="BG32" s="467"/>
      <c r="BH32" s="467"/>
      <c r="BI32" s="467"/>
      <c r="BJ32" s="467"/>
      <c r="BK32" s="467"/>
      <c r="BM32" s="128" t="s">
        <v>140</v>
      </c>
      <c r="BN32" s="124">
        <f>+BN7+BN25+BN29+BN30+BN31</f>
        <v>4088834335</v>
      </c>
      <c r="BO32" s="125">
        <f t="shared" ref="BO32:BQ32" si="33">+BO7+BO25+BO29+BO30+BO31</f>
        <v>3211745532</v>
      </c>
      <c r="BP32" s="125">
        <f t="shared" si="33"/>
        <v>3209759382</v>
      </c>
      <c r="BQ32" s="126">
        <f t="shared" si="33"/>
        <v>271084159</v>
      </c>
      <c r="BR32" s="467"/>
    </row>
    <row r="33" spans="1:70" s="514" customFormat="1" ht="15.75" thickBot="1" x14ac:dyDescent="0.3">
      <c r="A33" s="188" t="str">
        <f>+IF(OCTUBRE!A33=0,"",OCTUBRE!A33)</f>
        <v>1130103-2-1</v>
      </c>
      <c r="B33" s="189" t="str">
        <f>+CONCATENATE("Vigencia ",INSTRUCCIONES!$F$3)</f>
        <v>Vigencia 2014</v>
      </c>
      <c r="C33" s="456">
        <f>+ENERO!C33</f>
        <v>0</v>
      </c>
      <c r="D33" s="456">
        <f>OCTUBRE!D33+NOVIEMBRE!P33</f>
        <v>0</v>
      </c>
      <c r="E33" s="456">
        <f>OCTUBRE!E33+NOVIEMBRE!Q33</f>
        <v>0</v>
      </c>
      <c r="F33" s="170">
        <f>SUM(C33:E33)</f>
        <v>0</v>
      </c>
      <c r="G33" s="283">
        <f>OCTUBRE!I33</f>
        <v>0</v>
      </c>
      <c r="H33" s="457">
        <v>0</v>
      </c>
      <c r="I33" s="170">
        <f>SUM(G33:H33)</f>
        <v>0</v>
      </c>
      <c r="J33" s="283">
        <f>OCTUBRE!L33</f>
        <v>0</v>
      </c>
      <c r="K33" s="457">
        <v>0</v>
      </c>
      <c r="L33" s="170">
        <f>SUM(J33:K33)</f>
        <v>0</v>
      </c>
      <c r="M33" s="283">
        <f>F33-I33</f>
        <v>0</v>
      </c>
      <c r="N33" s="170">
        <f>F33-L33</f>
        <v>0</v>
      </c>
      <c r="O33" s="10"/>
      <c r="P33" s="455">
        <v>0</v>
      </c>
      <c r="Q33" s="458">
        <v>0</v>
      </c>
      <c r="R33" s="10"/>
      <c r="S33" s="155">
        <f>+IF(OCTUBRE!S33=0,"",OCTUBRE!S33)</f>
        <v>1010199</v>
      </c>
      <c r="T33" s="159" t="str">
        <f>+IF(OCTUBRE!T33=0,"",OCTUBRE!T33)</f>
        <v>Vigencias Anteriores</v>
      </c>
      <c r="U33" s="29">
        <f>+ENERO!U33</f>
        <v>4029851</v>
      </c>
      <c r="V33" s="17">
        <f>OCTUBRE!V33+NOVIEMBRE!AL33</f>
        <v>-3476851</v>
      </c>
      <c r="W33" s="17">
        <f>OCTUBRE!W33+NOVIEMBRE!AM33</f>
        <v>0</v>
      </c>
      <c r="X33" s="20">
        <f t="shared" si="17"/>
        <v>553000</v>
      </c>
      <c r="Y33" s="21">
        <f>OCTUBRE!AA33</f>
        <v>553000</v>
      </c>
      <c r="Z33" s="457">
        <v>0</v>
      </c>
      <c r="AA33" s="20">
        <f t="shared" si="18"/>
        <v>553000</v>
      </c>
      <c r="AB33" s="21">
        <f>OCTUBRE!AD33</f>
        <v>553000</v>
      </c>
      <c r="AC33" s="457">
        <v>0</v>
      </c>
      <c r="AD33" s="20">
        <f t="shared" si="19"/>
        <v>553000</v>
      </c>
      <c r="AE33" s="21">
        <f>OCTUBRE!AG33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629686022</v>
      </c>
      <c r="BP33" s="131">
        <f>AD258</f>
        <v>173490053</v>
      </c>
      <c r="BQ33" s="132">
        <f>AF258</f>
        <v>434500741</v>
      </c>
      <c r="BR33" s="467"/>
    </row>
    <row r="34" spans="1:70" s="514" customFormat="1" ht="16.5" thickBot="1" x14ac:dyDescent="0.25">
      <c r="A34" s="188" t="str">
        <f>+IF(OCTUBRE!A34=0,"",OCTUBRE!A34)</f>
        <v>1130103-2-2</v>
      </c>
      <c r="B34" s="189" t="str">
        <f>+IF(OCTUBRE!B34=0,"",OCTUBRE!B34)</f>
        <v>Vigencias Anteriores</v>
      </c>
      <c r="C34" s="456">
        <f>+ENERO!C34</f>
        <v>0</v>
      </c>
      <c r="D34" s="456">
        <f>OCTUBRE!D34+NOVIEMBRE!P34</f>
        <v>0</v>
      </c>
      <c r="E34" s="456">
        <f>OCTUBRE!E34+NOVIEMBRE!Q34</f>
        <v>0</v>
      </c>
      <c r="F34" s="170">
        <f>SUM(C34:E34)</f>
        <v>0</v>
      </c>
      <c r="G34" s="283">
        <f>OCTUBRE!I34</f>
        <v>0</v>
      </c>
      <c r="H34" s="457">
        <v>0</v>
      </c>
      <c r="I34" s="170">
        <f>SUM(G34:H34)</f>
        <v>0</v>
      </c>
      <c r="J34" s="283">
        <f>OCTUBRE!L34</f>
        <v>0</v>
      </c>
      <c r="K34" s="457">
        <v>0</v>
      </c>
      <c r="L34" s="170">
        <f>SUM(J34:K34)</f>
        <v>0</v>
      </c>
      <c r="M34" s="283">
        <f>F34-I34</f>
        <v>0</v>
      </c>
      <c r="N34" s="170">
        <f>F34-L34</f>
        <v>0</v>
      </c>
      <c r="O34" s="467"/>
      <c r="P34" s="455">
        <v>0</v>
      </c>
      <c r="Q34" s="458">
        <v>0</v>
      </c>
      <c r="R34" s="10"/>
      <c r="S34" s="448" t="str">
        <f>+IF(OCTUBRE!S34=0,"",OCTUBRE!S34)</f>
        <v/>
      </c>
      <c r="T34" s="649" t="str">
        <f>+IF(OCTUBRE!T34=0,"",OCTUBRE!T34)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+IF(OCTUBRE!A35=0,"",OCTUBRE!A35)</f>
        <v>1130103-3</v>
      </c>
      <c r="B35" s="62" t="str">
        <f>+IF(OCTUBRE!B35=0,"",OCTUBRE!B35)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+IF(OCTUBRE!S35=0,"",OCTUBRE!S35)</f>
        <v>1010200</v>
      </c>
      <c r="T35" s="158" t="str">
        <f>+IF(OCTUBRE!T35=0,"",OCTUBRE!T35)</f>
        <v>Servicios Personales Indirectos</v>
      </c>
      <c r="U35" s="157">
        <f t="shared" ref="U35:AJ35" si="35">SUM(U36:U41)</f>
        <v>113755696</v>
      </c>
      <c r="V35" s="144">
        <f t="shared" si="35"/>
        <v>-2668000</v>
      </c>
      <c r="W35" s="144">
        <f t="shared" si="35"/>
        <v>24200000</v>
      </c>
      <c r="X35" s="152">
        <f t="shared" si="35"/>
        <v>135287696</v>
      </c>
      <c r="Y35" s="151">
        <f t="shared" si="35"/>
        <v>65291508</v>
      </c>
      <c r="Z35" s="144">
        <f t="shared" si="35"/>
        <v>10935109</v>
      </c>
      <c r="AA35" s="152">
        <f t="shared" si="35"/>
        <v>76226617</v>
      </c>
      <c r="AB35" s="151">
        <f t="shared" si="35"/>
        <v>65291508</v>
      </c>
      <c r="AC35" s="144">
        <f t="shared" si="35"/>
        <v>9252505</v>
      </c>
      <c r="AD35" s="152">
        <f t="shared" si="35"/>
        <v>74544013</v>
      </c>
      <c r="AE35" s="151">
        <f t="shared" si="35"/>
        <v>60369839</v>
      </c>
      <c r="AF35" s="144">
        <f t="shared" si="35"/>
        <v>3719796</v>
      </c>
      <c r="AG35" s="152">
        <f t="shared" si="35"/>
        <v>64089635</v>
      </c>
      <c r="AH35" s="151">
        <f t="shared" si="35"/>
        <v>59061079</v>
      </c>
      <c r="AI35" s="144">
        <f t="shared" si="35"/>
        <v>60743683</v>
      </c>
      <c r="AJ35" s="153">
        <f t="shared" si="35"/>
        <v>71198061</v>
      </c>
      <c r="AK35" s="10"/>
      <c r="AL35" s="151">
        <f>SUM(AL36:AL41)</f>
        <v>0</v>
      </c>
      <c r="AM35" s="153">
        <f>SUM(AM36:AM41)</f>
        <v>0</v>
      </c>
      <c r="AN35" s="10"/>
      <c r="AO35" s="428"/>
      <c r="AP35" s="547"/>
      <c r="AQ35" s="363"/>
      <c r="AR35" s="548"/>
      <c r="AS35" s="548"/>
      <c r="AT35" s="548"/>
      <c r="AU35" s="549">
        <f>AR17-AR32</f>
        <v>226700464</v>
      </c>
      <c r="AV35" s="550">
        <f>AS17-AR32</f>
        <v>-231481655</v>
      </c>
      <c r="AW35" s="550" t="s">
        <v>158</v>
      </c>
      <c r="AX35" s="551"/>
      <c r="AY35" s="550">
        <f>AY17+AY32</f>
        <v>-360603799.04545456</v>
      </c>
      <c r="AZ35" s="552">
        <f>AZ17+AY32</f>
        <v>-864529911.409091</v>
      </c>
      <c r="BB35" s="514"/>
      <c r="BC35" s="514"/>
      <c r="BD35" s="514"/>
      <c r="BE35" s="514"/>
      <c r="BF35" s="514"/>
    </row>
    <row r="36" spans="1:70" s="467" customFormat="1" ht="15.75" thickBot="1" x14ac:dyDescent="0.25">
      <c r="A36" s="188" t="str">
        <f>+IF(OCTUBRE!A36=0,"",OCTUBRE!A36)</f>
        <v>1130103-3-1</v>
      </c>
      <c r="B36" s="189" t="str">
        <f>+CONCATENATE("Vigencia ",INSTRUCCIONES!$F$3)</f>
        <v>Vigencia 2014</v>
      </c>
      <c r="C36" s="456">
        <f>+ENERO!C36</f>
        <v>0</v>
      </c>
      <c r="D36" s="456">
        <f>OCTUBRE!D36+NOVIEMBRE!P36</f>
        <v>0</v>
      </c>
      <c r="E36" s="456">
        <f>OCTUBRE!E36+NOVIEMBRE!Q36</f>
        <v>0</v>
      </c>
      <c r="F36" s="170">
        <f t="shared" ref="F36:F41" si="36">SUM(C36:E36)</f>
        <v>0</v>
      </c>
      <c r="G36" s="283">
        <f>OCTUBRE!I36</f>
        <v>0</v>
      </c>
      <c r="H36" s="457">
        <v>0</v>
      </c>
      <c r="I36" s="170">
        <f t="shared" ref="I36:I41" si="37">SUM(G36:H36)</f>
        <v>0</v>
      </c>
      <c r="J36" s="283">
        <f>OCTUBRE!L36</f>
        <v>0</v>
      </c>
      <c r="K36" s="457">
        <v>0</v>
      </c>
      <c r="L36" s="170">
        <f t="shared" ref="L36:L41" si="38">SUM(J36:K36)</f>
        <v>0</v>
      </c>
      <c r="M36" s="283">
        <f t="shared" ref="M36:M41" si="39">F36-I36</f>
        <v>0</v>
      </c>
      <c r="N36" s="170">
        <f t="shared" ref="N36:N41" si="40">F36-L36</f>
        <v>0</v>
      </c>
      <c r="O36" s="10"/>
      <c r="P36" s="455">
        <v>0</v>
      </c>
      <c r="Q36" s="458">
        <v>0</v>
      </c>
      <c r="R36" s="10"/>
      <c r="S36" s="155" t="str">
        <f>+IF(OCTUBRE!S36=0,"",OCTUBRE!S36)</f>
        <v>1010200-1</v>
      </c>
      <c r="T36" s="159" t="str">
        <f>+IF(OCTUBRE!T36=0,"",OCTUBRE!T36)</f>
        <v>Remuneración y Honorarios por Servicios Técnicos y Profesionales</v>
      </c>
      <c r="U36" s="29">
        <f>+ENERO!U36</f>
        <v>16339906</v>
      </c>
      <c r="V36" s="17">
        <f>OCTUBRE!V36+NOVIEMBRE!AL36</f>
        <v>0</v>
      </c>
      <c r="W36" s="17">
        <f>OCTUBRE!W36+NOVIEMBRE!AM36</f>
        <v>12000000</v>
      </c>
      <c r="X36" s="20">
        <f t="shared" ref="X36:X41" si="41">SUM(U36:W36)</f>
        <v>28339906</v>
      </c>
      <c r="Y36" s="21">
        <f>OCTUBRE!AA36</f>
        <v>10816857</v>
      </c>
      <c r="Z36" s="457">
        <v>1682604</v>
      </c>
      <c r="AA36" s="20">
        <f t="shared" ref="AA36:AA41" si="42">SUM(Y36:Z36)</f>
        <v>12499461</v>
      </c>
      <c r="AB36" s="21">
        <f>OCTUBRE!AD36</f>
        <v>10816857</v>
      </c>
      <c r="AC36" s="457">
        <v>0</v>
      </c>
      <c r="AD36" s="20">
        <f t="shared" ref="AD36:AD41" si="43">SUM(AB36:AC36)</f>
        <v>10816857</v>
      </c>
      <c r="AE36" s="21">
        <f>OCTUBRE!AG36</f>
        <v>9614984</v>
      </c>
      <c r="AF36" s="457">
        <v>0</v>
      </c>
      <c r="AG36" s="20">
        <f t="shared" ref="AG36:AG41" si="44">SUM(AE36:AF36)</f>
        <v>9614984</v>
      </c>
      <c r="AH36" s="21">
        <f t="shared" ref="AH36:AH41" si="45">X36-AA36</f>
        <v>15840445</v>
      </c>
      <c r="AI36" s="17">
        <f t="shared" ref="AI36:AI41" si="46">X36-AD36</f>
        <v>17523049</v>
      </c>
      <c r="AJ36" s="18">
        <f t="shared" ref="AJ36:AJ41" si="47">X36-AG36</f>
        <v>18724922</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+IF(OCTUBRE!A37=0,"",OCTUBRE!A37)</f>
        <v>1130103-3-2</v>
      </c>
      <c r="B37" s="189" t="str">
        <f>+IF(OCTUBRE!B37=0,"",OCTUBRE!B37)</f>
        <v>Vigencias Anteriores</v>
      </c>
      <c r="C37" s="456">
        <f>+ENERO!C37</f>
        <v>0</v>
      </c>
      <c r="D37" s="456">
        <f>OCTUBRE!D37+NOVIEMBRE!P37</f>
        <v>0</v>
      </c>
      <c r="E37" s="456">
        <f>OCTUBRE!E37+NOVIEMBRE!Q37</f>
        <v>0</v>
      </c>
      <c r="F37" s="170">
        <f t="shared" si="36"/>
        <v>0</v>
      </c>
      <c r="G37" s="283">
        <f>OCTUBRE!I37</f>
        <v>0</v>
      </c>
      <c r="H37" s="457">
        <v>0</v>
      </c>
      <c r="I37" s="170">
        <f t="shared" si="37"/>
        <v>0</v>
      </c>
      <c r="J37" s="283">
        <f>OCTUBRE!L37</f>
        <v>0</v>
      </c>
      <c r="K37" s="457">
        <v>0</v>
      </c>
      <c r="L37" s="170">
        <f t="shared" si="38"/>
        <v>0</v>
      </c>
      <c r="M37" s="283">
        <f t="shared" si="39"/>
        <v>0</v>
      </c>
      <c r="N37" s="170">
        <f t="shared" si="40"/>
        <v>0</v>
      </c>
      <c r="P37" s="455">
        <v>0</v>
      </c>
      <c r="Q37" s="458">
        <v>0</v>
      </c>
      <c r="R37" s="10"/>
      <c r="S37" s="155" t="str">
        <f>+IF(OCTUBRE!S37=0,"",OCTUBRE!S37)</f>
        <v>1010200-2</v>
      </c>
      <c r="T37" s="159" t="str">
        <f>+IF(OCTUBRE!T37=0,"",OCTUBRE!T37)</f>
        <v>Personal Supernumerario</v>
      </c>
      <c r="U37" s="29">
        <f>+ENERO!U37</f>
        <v>10000000</v>
      </c>
      <c r="V37" s="17">
        <f>OCTUBRE!V37+NOVIEMBRE!AL37</f>
        <v>0</v>
      </c>
      <c r="W37" s="17">
        <f>OCTUBRE!W37+NOVIEMBRE!AM37</f>
        <v>0</v>
      </c>
      <c r="X37" s="20">
        <f t="shared" si="41"/>
        <v>10000000</v>
      </c>
      <c r="Y37" s="21">
        <f>OCTUBRE!AA37</f>
        <v>0</v>
      </c>
      <c r="Z37" s="457">
        <v>0</v>
      </c>
      <c r="AA37" s="20">
        <f t="shared" si="42"/>
        <v>0</v>
      </c>
      <c r="AB37" s="21">
        <f>OCTUBRE!AD37</f>
        <v>0</v>
      </c>
      <c r="AC37" s="457">
        <v>0</v>
      </c>
      <c r="AD37" s="20">
        <f t="shared" si="43"/>
        <v>0</v>
      </c>
      <c r="AE37" s="21">
        <f>OCTUBRE!AG37</f>
        <v>0</v>
      </c>
      <c r="AF37" s="457">
        <v>0</v>
      </c>
      <c r="AG37" s="20">
        <f t="shared" si="44"/>
        <v>0</v>
      </c>
      <c r="AH37" s="21">
        <f t="shared" si="45"/>
        <v>10000000</v>
      </c>
      <c r="AI37" s="17">
        <f t="shared" si="46"/>
        <v>10000000</v>
      </c>
      <c r="AJ37" s="18">
        <f t="shared" si="47"/>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+IF(OCTUBRE!S38=0,"",OCTUBRE!S38)</f>
        <v>1010200-3</v>
      </c>
      <c r="T38" s="159" t="str">
        <f>+IF(OCTUBRE!T38=0,"",OCTUBRE!T38)</f>
        <v>Honorarios de la Junta Directiva</v>
      </c>
      <c r="U38" s="29">
        <f>+ENERO!U38</f>
        <v>1098240</v>
      </c>
      <c r="V38" s="17">
        <f>OCTUBRE!V38+NOVIEMBRE!AL38</f>
        <v>0</v>
      </c>
      <c r="W38" s="17">
        <f>OCTUBRE!W38+NOVIEMBRE!AM38</f>
        <v>2200000</v>
      </c>
      <c r="X38" s="20">
        <f t="shared" si="41"/>
        <v>3298240</v>
      </c>
      <c r="Y38" s="21">
        <f>OCTUBRE!AA38</f>
        <v>1639350</v>
      </c>
      <c r="Z38" s="457">
        <v>0</v>
      </c>
      <c r="AA38" s="20">
        <f t="shared" si="42"/>
        <v>1639350</v>
      </c>
      <c r="AB38" s="21">
        <f>OCTUBRE!AD38</f>
        <v>1639350</v>
      </c>
      <c r="AC38" s="457">
        <v>0</v>
      </c>
      <c r="AD38" s="20">
        <f t="shared" si="43"/>
        <v>1639350</v>
      </c>
      <c r="AE38" s="21">
        <f>OCTUBRE!AG38</f>
        <v>1639350</v>
      </c>
      <c r="AF38" s="457">
        <v>0</v>
      </c>
      <c r="AG38" s="20">
        <f t="shared" si="44"/>
        <v>1639350</v>
      </c>
      <c r="AH38" s="21">
        <f t="shared" si="45"/>
        <v>1658890</v>
      </c>
      <c r="AI38" s="17">
        <f t="shared" si="46"/>
        <v>1658890</v>
      </c>
      <c r="AJ38" s="18">
        <f t="shared" si="47"/>
        <v>1658890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+IF(OCTUBRE!S39=0,"",OCTUBRE!S39)</f>
        <v>1010200-4</v>
      </c>
      <c r="T39" s="159" t="str">
        <f>+IF(OCTUBRE!T39=0,"",OCTUBRE!T39)</f>
        <v>Otros Honorarios (Servicios de Cooperativa)</v>
      </c>
      <c r="U39" s="29">
        <f>+ENERO!U39</f>
        <v>80796809</v>
      </c>
      <c r="V39" s="17">
        <f>OCTUBRE!V39+NOVIEMBRE!AL39</f>
        <v>0</v>
      </c>
      <c r="W39" s="17">
        <f>OCTUBRE!W39+NOVIEMBRE!AM39</f>
        <v>10000000</v>
      </c>
      <c r="X39" s="20">
        <f t="shared" si="41"/>
        <v>90796809</v>
      </c>
      <c r="Y39" s="21">
        <f>OCTUBRE!AA39</f>
        <v>49982560</v>
      </c>
      <c r="Z39" s="457">
        <v>9252505</v>
      </c>
      <c r="AA39" s="20">
        <f t="shared" si="42"/>
        <v>59235065</v>
      </c>
      <c r="AB39" s="21">
        <f>OCTUBRE!AD39</f>
        <v>49982560</v>
      </c>
      <c r="AC39" s="457">
        <v>9252505</v>
      </c>
      <c r="AD39" s="20">
        <f t="shared" si="43"/>
        <v>59235065</v>
      </c>
      <c r="AE39" s="21">
        <f>OCTUBRE!AG39</f>
        <v>46262764</v>
      </c>
      <c r="AF39" s="457">
        <v>3719796</v>
      </c>
      <c r="AG39" s="20">
        <f t="shared" si="44"/>
        <v>49982560</v>
      </c>
      <c r="AH39" s="21">
        <f t="shared" si="45"/>
        <v>31561744</v>
      </c>
      <c r="AI39" s="17">
        <f t="shared" si="46"/>
        <v>31561744</v>
      </c>
      <c r="AJ39" s="18">
        <f t="shared" si="47"/>
        <v>40814249</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+IF(OCTUBRE!S40=0,"",OCTUBRE!S40)</f>
        <v>1010200-6</v>
      </c>
      <c r="T40" s="159" t="str">
        <f>+IF(OCTUBRE!T40=0,"",OCTUBRE!T40)</f>
        <v>Certificación, Habilitación y Acreditación</v>
      </c>
      <c r="U40" s="29">
        <f>+ENERO!U40</f>
        <v>0</v>
      </c>
      <c r="V40" s="17">
        <f>OCTUBRE!V40+NOVIEMBRE!AL40</f>
        <v>0</v>
      </c>
      <c r="W40" s="17">
        <f>OCTUBRE!W40+NOVIEMBRE!AM40</f>
        <v>0</v>
      </c>
      <c r="X40" s="20">
        <f t="shared" si="41"/>
        <v>0</v>
      </c>
      <c r="Y40" s="21">
        <f>OCTUBRE!AA40</f>
        <v>0</v>
      </c>
      <c r="Z40" s="457">
        <v>0</v>
      </c>
      <c r="AA40" s="20">
        <f t="shared" si="42"/>
        <v>0</v>
      </c>
      <c r="AB40" s="21">
        <f>OCTUBRE!AD40</f>
        <v>0</v>
      </c>
      <c r="AC40" s="457">
        <v>0</v>
      </c>
      <c r="AD40" s="20">
        <f t="shared" si="43"/>
        <v>0</v>
      </c>
      <c r="AE40" s="21">
        <f>OCTUBRE!AG40</f>
        <v>0</v>
      </c>
      <c r="AF40" s="457">
        <v>0</v>
      </c>
      <c r="AG40" s="20">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t="str">
        <f>+IF(OCTUBRE!A41=0,"",OCTUBRE!A41)</f>
        <v/>
      </c>
      <c r="B41" s="45" t="str">
        <f>+IF(OCTUBRE!B41=0,"",OCTUBRE!B41)</f>
        <v/>
      </c>
      <c r="C41" s="27">
        <f>+ENERO!C41</f>
        <v>0</v>
      </c>
      <c r="D41" s="27">
        <f>OCTUBRE!D41+NOVIEMBRE!P41</f>
        <v>0</v>
      </c>
      <c r="E41" s="27">
        <f>OCTUBRE!E41+NOVIEMBRE!Q41</f>
        <v>0</v>
      </c>
      <c r="F41" s="28">
        <f t="shared" si="36"/>
        <v>0</v>
      </c>
      <c r="G41" s="31">
        <f>OCTUBRE!I41</f>
        <v>0</v>
      </c>
      <c r="H41" s="457">
        <v>0</v>
      </c>
      <c r="I41" s="28">
        <f t="shared" si="37"/>
        <v>0</v>
      </c>
      <c r="J41" s="31">
        <f>OCTUBRE!L41</f>
        <v>0</v>
      </c>
      <c r="K41" s="457">
        <v>0</v>
      </c>
      <c r="L41" s="28">
        <f t="shared" si="38"/>
        <v>0</v>
      </c>
      <c r="M41" s="31">
        <f t="shared" si="39"/>
        <v>0</v>
      </c>
      <c r="N41" s="28">
        <f t="shared" si="40"/>
        <v>0</v>
      </c>
      <c r="O41" s="467"/>
      <c r="P41" s="455">
        <v>0</v>
      </c>
      <c r="Q41" s="458">
        <v>0</v>
      </c>
      <c r="R41" s="10"/>
      <c r="S41" s="155">
        <f>+IF(OCTUBRE!S41=0,"",OCTUBRE!S41)</f>
        <v>1010299</v>
      </c>
      <c r="T41" s="159" t="str">
        <f>+IF(OCTUBRE!T41=0,"",OCTUBRE!T41)</f>
        <v>Vigencias Anteriores</v>
      </c>
      <c r="U41" s="29">
        <f>+ENERO!U41</f>
        <v>5520741</v>
      </c>
      <c r="V41" s="17">
        <f>OCTUBRE!V41+NOVIEMBRE!AL41</f>
        <v>-2668000</v>
      </c>
      <c r="W41" s="17">
        <f>OCTUBRE!W41+NOVIEMBRE!AM41</f>
        <v>0</v>
      </c>
      <c r="X41" s="20">
        <f t="shared" si="41"/>
        <v>2852741</v>
      </c>
      <c r="Y41" s="21">
        <f>OCTUBRE!AA41</f>
        <v>2852741</v>
      </c>
      <c r="Z41" s="457">
        <v>0</v>
      </c>
      <c r="AA41" s="20">
        <f t="shared" si="42"/>
        <v>2852741</v>
      </c>
      <c r="AB41" s="21">
        <f>OCTUBRE!AD41</f>
        <v>2852741</v>
      </c>
      <c r="AC41" s="457">
        <v>0</v>
      </c>
      <c r="AD41" s="20">
        <f t="shared" si="43"/>
        <v>2852741</v>
      </c>
      <c r="AE41" s="21">
        <f>OCTUBRE!AG41</f>
        <v>2852741</v>
      </c>
      <c r="AF41" s="457">
        <v>0</v>
      </c>
      <c r="AG41" s="20">
        <f t="shared" si="44"/>
        <v>2852741</v>
      </c>
      <c r="AH41" s="21">
        <f t="shared" si="45"/>
        <v>0</v>
      </c>
      <c r="AI41" s="17">
        <f t="shared" si="46"/>
        <v>0</v>
      </c>
      <c r="AJ41" s="18">
        <f t="shared" si="47"/>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+IF(OCTUBRE!A42=0,"",OCTUBRE!A42)</f>
        <v>1130106</v>
      </c>
      <c r="B42" s="45" t="str">
        <f>+IF(OCTUBRE!B42=0,"",OCTUBRE!B42)</f>
        <v>SALUD PUBLICA - PLAN DE INTERVENCIONES COLECTIVAS</v>
      </c>
      <c r="C42" s="53">
        <f t="shared" ref="C42:N42" si="48">SUM(C43:C44)</f>
        <v>125397398</v>
      </c>
      <c r="D42" s="53">
        <f t="shared" si="48"/>
        <v>0</v>
      </c>
      <c r="E42" s="53">
        <f t="shared" si="48"/>
        <v>50000000</v>
      </c>
      <c r="F42" s="54">
        <f t="shared" si="48"/>
        <v>175397398</v>
      </c>
      <c r="G42" s="52">
        <f t="shared" si="48"/>
        <v>111330469</v>
      </c>
      <c r="H42" s="53">
        <f t="shared" si="48"/>
        <v>10017527</v>
      </c>
      <c r="I42" s="54">
        <f t="shared" si="48"/>
        <v>121347996</v>
      </c>
      <c r="J42" s="52">
        <f t="shared" si="48"/>
        <v>63941789</v>
      </c>
      <c r="K42" s="53">
        <f t="shared" si="48"/>
        <v>20035054</v>
      </c>
      <c r="L42" s="54">
        <f t="shared" si="48"/>
        <v>83976843</v>
      </c>
      <c r="M42" s="52">
        <f t="shared" si="48"/>
        <v>54049402</v>
      </c>
      <c r="N42" s="54">
        <f t="shared" si="48"/>
        <v>91420555</v>
      </c>
      <c r="P42" s="52">
        <f>SUM(P43:P44)</f>
        <v>0</v>
      </c>
      <c r="Q42" s="54">
        <f>SUM(Q43:Q44)</f>
        <v>0</v>
      </c>
      <c r="R42" s="10"/>
      <c r="S42" s="448" t="str">
        <f>+IF(OCTUBRE!S42=0,"",OCTUBRE!S42)</f>
        <v/>
      </c>
      <c r="T42" s="649" t="str">
        <f>+IF(OCTUBRE!T42=0,"",OCTUBRE!T42)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+IF(OCTUBRE!A43=0,"",OCTUBRE!A43)</f>
        <v>1130106-1</v>
      </c>
      <c r="B43" s="189" t="str">
        <f>+CONCATENATE("Vigencia ",INSTRUCCIONES!$F$3)</f>
        <v>Vigencia 2014</v>
      </c>
      <c r="C43" s="456">
        <f>+ENERO!C43</f>
        <v>125397398</v>
      </c>
      <c r="D43" s="456">
        <f>OCTUBRE!D43+NOVIEMBRE!P43</f>
        <v>0</v>
      </c>
      <c r="E43" s="456">
        <f>OCTUBRE!E43+NOVIEMBRE!Q43</f>
        <v>50000000</v>
      </c>
      <c r="F43" s="170">
        <f>SUM(C43:E43)</f>
        <v>175397398</v>
      </c>
      <c r="G43" s="283">
        <f>OCTUBRE!I43</f>
        <v>111330469</v>
      </c>
      <c r="H43" s="457">
        <v>10017527</v>
      </c>
      <c r="I43" s="575">
        <f>SUM(G43:H43)</f>
        <v>121347996</v>
      </c>
      <c r="J43" s="283">
        <f>OCTUBRE!L43</f>
        <v>63941789</v>
      </c>
      <c r="K43" s="457">
        <v>20035054</v>
      </c>
      <c r="L43" s="170">
        <f>SUM(J43:K43)</f>
        <v>83976843</v>
      </c>
      <c r="M43" s="283">
        <f>F43-I43</f>
        <v>54049402</v>
      </c>
      <c r="N43" s="170">
        <f>F43-L43</f>
        <v>91420555</v>
      </c>
      <c r="O43" s="467"/>
      <c r="P43" s="455">
        <v>0</v>
      </c>
      <c r="Q43" s="458">
        <v>0</v>
      </c>
      <c r="R43" s="10"/>
      <c r="S43" s="34">
        <f>+IF(OCTUBRE!S43=0,"",OCTUBRE!S43)</f>
        <v>1010300</v>
      </c>
      <c r="T43" s="158" t="str">
        <f>+IF(OCTUBRE!T43=0,"",OCTUBRE!T43)</f>
        <v>Contribuciones Inherentes nómina al Sector Privado</v>
      </c>
      <c r="U43" s="157">
        <f t="shared" ref="U43:AJ43" si="49">U44+U49+U55</f>
        <v>119647956</v>
      </c>
      <c r="V43" s="144">
        <f t="shared" si="49"/>
        <v>487148</v>
      </c>
      <c r="W43" s="144">
        <f t="shared" si="49"/>
        <v>0</v>
      </c>
      <c r="X43" s="152">
        <f t="shared" si="49"/>
        <v>120135104</v>
      </c>
      <c r="Y43" s="151">
        <f t="shared" si="49"/>
        <v>88948001</v>
      </c>
      <c r="Z43" s="144">
        <f t="shared" si="49"/>
        <v>14002117</v>
      </c>
      <c r="AA43" s="152">
        <f t="shared" si="49"/>
        <v>102950118</v>
      </c>
      <c r="AB43" s="151">
        <f t="shared" si="49"/>
        <v>88948001</v>
      </c>
      <c r="AC43" s="144">
        <f t="shared" si="49"/>
        <v>14002117</v>
      </c>
      <c r="AD43" s="152">
        <f t="shared" si="49"/>
        <v>102950118</v>
      </c>
      <c r="AE43" s="151">
        <f t="shared" si="49"/>
        <v>84659881</v>
      </c>
      <c r="AF43" s="144">
        <f t="shared" si="49"/>
        <v>13885537</v>
      </c>
      <c r="AG43" s="152">
        <f t="shared" si="49"/>
        <v>98545418</v>
      </c>
      <c r="AH43" s="151">
        <f t="shared" si="49"/>
        <v>17184986</v>
      </c>
      <c r="AI43" s="144">
        <f t="shared" si="49"/>
        <v>17184986</v>
      </c>
      <c r="AJ43" s="153">
        <f t="shared" si="49"/>
        <v>21589686</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+IF(OCTUBRE!A44=0,"",OCTUBRE!A44)</f>
        <v>1130106-2</v>
      </c>
      <c r="B44" s="189" t="str">
        <f>+IF(OCTUBRE!B44=0,"",OCTUBRE!B44)</f>
        <v>Vigencias Anteriores</v>
      </c>
      <c r="C44" s="456">
        <f>+ENERO!C44</f>
        <v>0</v>
      </c>
      <c r="D44" s="456">
        <f>OCTUBRE!D44+NOVIEMBRE!P44</f>
        <v>0</v>
      </c>
      <c r="E44" s="456">
        <f>OCTUBRE!E44+NOVIEMBRE!Q44</f>
        <v>0</v>
      </c>
      <c r="F44" s="170">
        <f>SUM(C44:E44)</f>
        <v>0</v>
      </c>
      <c r="G44" s="283">
        <f>OCTUBRE!I44</f>
        <v>0</v>
      </c>
      <c r="H44" s="457">
        <v>0</v>
      </c>
      <c r="I44" s="170">
        <f>SUM(G44:H44)</f>
        <v>0</v>
      </c>
      <c r="J44" s="283">
        <f>OCTUBRE!L44</f>
        <v>0</v>
      </c>
      <c r="K44" s="457">
        <v>0</v>
      </c>
      <c r="L44" s="170">
        <f>SUM(J44:K44)</f>
        <v>0</v>
      </c>
      <c r="M44" s="283">
        <f>F44-I44</f>
        <v>0</v>
      </c>
      <c r="N44" s="170">
        <f>F44-L44</f>
        <v>0</v>
      </c>
      <c r="O44" s="467"/>
      <c r="P44" s="455">
        <v>0</v>
      </c>
      <c r="Q44" s="458">
        <v>0</v>
      </c>
      <c r="R44" s="10"/>
      <c r="S44" s="155">
        <f>+IF(OCTUBRE!S44=0,"",OCTUBRE!S44)</f>
        <v>1010301</v>
      </c>
      <c r="T44" s="159" t="str">
        <f>+IF(OCTUBRE!T44=0,"",OCTUBRE!T44)</f>
        <v>Contribuciones - Sin Situación de Fondos</v>
      </c>
      <c r="U44" s="29">
        <f t="shared" ref="U44:AJ44" si="50">SUM(U45:U48)</f>
        <v>56401928</v>
      </c>
      <c r="V44" s="17">
        <f t="shared" si="50"/>
        <v>0</v>
      </c>
      <c r="W44" s="17">
        <f t="shared" si="50"/>
        <v>0</v>
      </c>
      <c r="X44" s="20">
        <f t="shared" si="50"/>
        <v>56401928</v>
      </c>
      <c r="Y44" s="21">
        <f t="shared" si="50"/>
        <v>28986883</v>
      </c>
      <c r="Z44" s="169">
        <f t="shared" si="50"/>
        <v>12822117</v>
      </c>
      <c r="AA44" s="20">
        <f t="shared" si="50"/>
        <v>41809000</v>
      </c>
      <c r="AB44" s="21">
        <f t="shared" si="50"/>
        <v>28986883</v>
      </c>
      <c r="AC44" s="169">
        <f t="shared" si="50"/>
        <v>12822117</v>
      </c>
      <c r="AD44" s="20">
        <f t="shared" si="50"/>
        <v>41809000</v>
      </c>
      <c r="AE44" s="21">
        <f t="shared" si="50"/>
        <v>25825763</v>
      </c>
      <c r="AF44" s="169">
        <f t="shared" si="50"/>
        <v>12758537</v>
      </c>
      <c r="AG44" s="20">
        <f t="shared" si="50"/>
        <v>38584300</v>
      </c>
      <c r="AH44" s="21">
        <f t="shared" si="50"/>
        <v>14592928</v>
      </c>
      <c r="AI44" s="17">
        <f t="shared" si="50"/>
        <v>14592928</v>
      </c>
      <c r="AJ44" s="18">
        <f t="shared" si="50"/>
        <v>17817628</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+IF(OCTUBRE!A45=0,"",OCTUBRE!A45)</f>
        <v>1130107</v>
      </c>
      <c r="B45" s="45" t="str">
        <f>+IF(OCTUBRE!B45=0,"",OCTUBRE!B45)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+IF(OCTUBRE!S45=0,"",OCTUBRE!S45)</f>
        <v>1010301-1</v>
      </c>
      <c r="T45" s="55" t="str">
        <f>+IF(OCTUBRE!T45=0,"",OCTUBRE!T45)</f>
        <v>Aportes a E.P.S.- Sin sit. Fondos</v>
      </c>
      <c r="U45" s="29">
        <f>+ENERO!U45</f>
        <v>24712429</v>
      </c>
      <c r="V45" s="17">
        <f>OCTUBRE!V45+NOVIEMBRE!AL45</f>
        <v>0</v>
      </c>
      <c r="W45" s="17">
        <f>OCTUBRE!W45+NOVIEMBRE!AM45</f>
        <v>0</v>
      </c>
      <c r="X45" s="20">
        <f>SUM(U45:W45)</f>
        <v>24712429</v>
      </c>
      <c r="Y45" s="21">
        <f>OCTUBRE!AA45</f>
        <v>14919163</v>
      </c>
      <c r="Z45" s="457">
        <v>5565133</v>
      </c>
      <c r="AA45" s="20">
        <f>SUM(Y45:Z45)</f>
        <v>20484296</v>
      </c>
      <c r="AB45" s="21">
        <f>OCTUBRE!AD45</f>
        <v>14919163</v>
      </c>
      <c r="AC45" s="457">
        <v>5565133</v>
      </c>
      <c r="AD45" s="20">
        <f>SUM(AB45:AC45)</f>
        <v>20484296</v>
      </c>
      <c r="AE45" s="21">
        <f>OCTUBRE!AG45</f>
        <v>13608563</v>
      </c>
      <c r="AF45" s="457">
        <v>5538733</v>
      </c>
      <c r="AG45" s="20">
        <f>SUM(AE45:AF45)</f>
        <v>19147296</v>
      </c>
      <c r="AH45" s="21">
        <f>X45-AA45</f>
        <v>4228133</v>
      </c>
      <c r="AI45" s="17">
        <f>X45-AD45</f>
        <v>4228133</v>
      </c>
      <c r="AJ45" s="18">
        <f>X45-AG45</f>
        <v>5565133</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+IF(OCTUBRE!A46=0,"",OCTUBRE!A46)</f>
        <v>1130107-1</v>
      </c>
      <c r="B46" s="189" t="str">
        <f>+CONCATENATE("Vigencia ",INSTRUCCIONES!$F$3)</f>
        <v>Vigencia 2014</v>
      </c>
      <c r="C46" s="456">
        <f>+ENERO!C46</f>
        <v>0</v>
      </c>
      <c r="D46" s="456">
        <f>OCTUBRE!D46+NOVIEMBRE!P46</f>
        <v>0</v>
      </c>
      <c r="E46" s="456">
        <f>OCTUBRE!E46+NOVIEMBRE!Q46</f>
        <v>0</v>
      </c>
      <c r="F46" s="170">
        <f>SUM(C46:E46)</f>
        <v>0</v>
      </c>
      <c r="G46" s="283">
        <f>OCTUBRE!I46</f>
        <v>0</v>
      </c>
      <c r="H46" s="457">
        <v>0</v>
      </c>
      <c r="I46" s="170">
        <f>SUM(G46:H46)</f>
        <v>0</v>
      </c>
      <c r="J46" s="283">
        <f>OCTUBRE!L46</f>
        <v>0</v>
      </c>
      <c r="K46" s="457">
        <v>0</v>
      </c>
      <c r="L46" s="170">
        <f>SUM(J46:K46)</f>
        <v>0</v>
      </c>
      <c r="M46" s="283">
        <f>F46-I46</f>
        <v>0</v>
      </c>
      <c r="N46" s="170">
        <f>F46-L46</f>
        <v>0</v>
      </c>
      <c r="O46" s="467"/>
      <c r="P46" s="455">
        <v>0</v>
      </c>
      <c r="Q46" s="458">
        <v>0</v>
      </c>
      <c r="R46" s="10"/>
      <c r="S46" s="156" t="str">
        <f>+IF(OCTUBRE!S46=0,"",OCTUBRE!S46)</f>
        <v>1010301-2</v>
      </c>
      <c r="T46" s="55" t="str">
        <f>+IF(OCTUBRE!T46=0,"",OCTUBRE!T46)</f>
        <v>Aportes Fondos Pensionales - Sin Sit. Fondos</v>
      </c>
      <c r="U46" s="29">
        <f>+ENERO!U46</f>
        <v>26693987</v>
      </c>
      <c r="V46" s="17">
        <f>OCTUBRE!V46+NOVIEMBRE!AL46</f>
        <v>0</v>
      </c>
      <c r="W46" s="17">
        <f>OCTUBRE!W46+NOVIEMBRE!AM46</f>
        <v>0</v>
      </c>
      <c r="X46" s="20">
        <f>SUM(U46:W46)</f>
        <v>26693987</v>
      </c>
      <c r="Y46" s="21">
        <f>OCTUBRE!AA46</f>
        <v>14067720</v>
      </c>
      <c r="Z46" s="457">
        <v>7256984</v>
      </c>
      <c r="AA46" s="20">
        <f>SUM(Y46:Z46)</f>
        <v>21324704</v>
      </c>
      <c r="AB46" s="21">
        <f>OCTUBRE!AD46</f>
        <v>14067720</v>
      </c>
      <c r="AC46" s="457">
        <v>7256984</v>
      </c>
      <c r="AD46" s="20">
        <f>SUM(AB46:AC46)</f>
        <v>21324704</v>
      </c>
      <c r="AE46" s="21">
        <f>OCTUBRE!AG46</f>
        <v>12217200</v>
      </c>
      <c r="AF46" s="457">
        <v>7219804</v>
      </c>
      <c r="AG46" s="20">
        <f>SUM(AE46:AF46)</f>
        <v>19437004</v>
      </c>
      <c r="AH46" s="21">
        <f>X46-AA46</f>
        <v>5369283</v>
      </c>
      <c r="AI46" s="17">
        <f>X46-AD46</f>
        <v>5369283</v>
      </c>
      <c r="AJ46" s="18">
        <f>X46-AG46</f>
        <v>7256983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+IF(OCTUBRE!A47=0,"",OCTUBRE!A47)</f>
        <v>1130107-2</v>
      </c>
      <c r="B47" s="189" t="str">
        <f>+IF(OCTUBRE!B47=0,"",OCTUBRE!B47)</f>
        <v>Vigencias Anteriores</v>
      </c>
      <c r="C47" s="456">
        <f>+ENERO!C47</f>
        <v>0</v>
      </c>
      <c r="D47" s="456">
        <f>OCTUBRE!D47+NOVIEMBRE!P47</f>
        <v>0</v>
      </c>
      <c r="E47" s="456">
        <f>OCTUBRE!E47+NOVIEMBRE!Q47</f>
        <v>0</v>
      </c>
      <c r="F47" s="170">
        <f>SUM(C47:E47)</f>
        <v>0</v>
      </c>
      <c r="G47" s="283">
        <f>OCTUBRE!I47</f>
        <v>0</v>
      </c>
      <c r="H47" s="457">
        <v>0</v>
      </c>
      <c r="I47" s="170">
        <f>SUM(G47:H47)</f>
        <v>0</v>
      </c>
      <c r="J47" s="283">
        <f>OCTUBRE!L47</f>
        <v>0</v>
      </c>
      <c r="K47" s="457">
        <v>0</v>
      </c>
      <c r="L47" s="170">
        <f>SUM(J47:K47)</f>
        <v>0</v>
      </c>
      <c r="M47" s="283">
        <f>F47-I47</f>
        <v>0</v>
      </c>
      <c r="N47" s="170">
        <f>F47-L47</f>
        <v>0</v>
      </c>
      <c r="O47" s="467"/>
      <c r="P47" s="455">
        <v>0</v>
      </c>
      <c r="Q47" s="458">
        <v>0</v>
      </c>
      <c r="R47" s="10"/>
      <c r="S47" s="156" t="str">
        <f>+IF(OCTUBRE!S47=0,"",OCTUBRE!S47)</f>
        <v>1010301-3</v>
      </c>
      <c r="T47" s="55" t="str">
        <f>+IF(OCTUBRE!T47=0,"",OCTUBRE!T47)</f>
        <v xml:space="preserve">Aportes a Fondos de Cesantia - Sin Sit. de Fondos </v>
      </c>
      <c r="U47" s="29">
        <f>+ENERO!U47</f>
        <v>4995512</v>
      </c>
      <c r="V47" s="17">
        <f>OCTUBRE!V47+NOVIEMBRE!AL47</f>
        <v>0</v>
      </c>
      <c r="W47" s="17">
        <f>OCTUBRE!W47+NOVIEMBRE!AM47</f>
        <v>0</v>
      </c>
      <c r="X47" s="20">
        <f>SUM(U47:W47)</f>
        <v>4995512</v>
      </c>
      <c r="Y47" s="21">
        <f>OCTUBRE!AA47</f>
        <v>0</v>
      </c>
      <c r="Z47" s="457">
        <v>0</v>
      </c>
      <c r="AA47" s="20">
        <f>SUM(Y47:Z47)</f>
        <v>0</v>
      </c>
      <c r="AB47" s="21">
        <f>OCTUBRE!AD47</f>
        <v>0</v>
      </c>
      <c r="AC47" s="457">
        <v>0</v>
      </c>
      <c r="AD47" s="20">
        <f>SUM(AB47:AC47)</f>
        <v>0</v>
      </c>
      <c r="AE47" s="21">
        <f>OCTUBRE!AG47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+IF(OCTUBRE!A48=0,"",OCTUBRE!A48)</f>
        <v>1130108</v>
      </c>
      <c r="B48" s="45" t="str">
        <f>+IF(OCTUBRE!B48=0,"",OCTUBRE!B48)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+IF(OCTUBRE!S48=0,"",OCTUBRE!S48)</f>
        <v>1010301-4</v>
      </c>
      <c r="T48" s="55" t="str">
        <f>+IF(OCTUBRE!T48=0,"",OCTUBRE!T48)</f>
        <v xml:space="preserve">Aporte a ARL. - Sin Sit. de Fondos </v>
      </c>
      <c r="U48" s="29">
        <f>+ENERO!U48</f>
        <v>0</v>
      </c>
      <c r="V48" s="17">
        <f>OCTUBRE!V48+NOVIEMBRE!AL48</f>
        <v>0</v>
      </c>
      <c r="W48" s="17">
        <f>OCTUBRE!W48+NOVIEMBRE!AM48</f>
        <v>0</v>
      </c>
      <c r="X48" s="20">
        <f>SUM(U48:W48)</f>
        <v>0</v>
      </c>
      <c r="Y48" s="21">
        <f>OCTUBRE!AA48</f>
        <v>0</v>
      </c>
      <c r="Z48" s="457">
        <v>0</v>
      </c>
      <c r="AA48" s="20">
        <f>SUM(Y48:Z48)</f>
        <v>0</v>
      </c>
      <c r="AB48" s="21">
        <f>OCTUBRE!AD48</f>
        <v>0</v>
      </c>
      <c r="AC48" s="457">
        <v>0</v>
      </c>
      <c r="AD48" s="20">
        <f>SUM(AB48:AC48)</f>
        <v>0</v>
      </c>
      <c r="AE48" s="21">
        <f>OCTUBRE!AG48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+IF(OCTUBRE!A49=0,"",OCTUBRE!A49)</f>
        <v>1130108-1</v>
      </c>
      <c r="B49" s="189" t="str">
        <f>+CONCATENATE("Vigencia ",INSTRUCCIONES!$F$3)</f>
        <v>Vigencia 2014</v>
      </c>
      <c r="C49" s="456">
        <f>+ENERO!C49</f>
        <v>0</v>
      </c>
      <c r="D49" s="456">
        <f>OCTUBRE!D49+NOVIEMBRE!P49</f>
        <v>0</v>
      </c>
      <c r="E49" s="456">
        <f>OCTUBRE!E49+NOVIEMBRE!Q49</f>
        <v>0</v>
      </c>
      <c r="F49" s="170">
        <f>SUM(C49:E49)</f>
        <v>0</v>
      </c>
      <c r="G49" s="283">
        <f>OCTUBRE!I49</f>
        <v>0</v>
      </c>
      <c r="H49" s="457">
        <v>0</v>
      </c>
      <c r="I49" s="170">
        <f>SUM(G49:H49)</f>
        <v>0</v>
      </c>
      <c r="J49" s="283">
        <f>OCTUBRE!L49</f>
        <v>0</v>
      </c>
      <c r="K49" s="457">
        <v>0</v>
      </c>
      <c r="L49" s="170">
        <f>SUM(J49:K49)</f>
        <v>0</v>
      </c>
      <c r="M49" s="283">
        <f>F49-I49</f>
        <v>0</v>
      </c>
      <c r="N49" s="170">
        <f>F49-L49</f>
        <v>0</v>
      </c>
      <c r="O49" s="467"/>
      <c r="P49" s="455">
        <v>0</v>
      </c>
      <c r="Q49" s="458">
        <v>0</v>
      </c>
      <c r="R49" s="10"/>
      <c r="S49" s="155">
        <f>+IF(OCTUBRE!S49=0,"",OCTUBRE!S49)</f>
        <v>1010302</v>
      </c>
      <c r="T49" s="159" t="str">
        <f>+IF(OCTUBRE!T49=0,"",OCTUBRE!T49)</f>
        <v>Contribuciones - Otros</v>
      </c>
      <c r="U49" s="29">
        <f t="shared" ref="U49:AJ49" si="53">SUM(U50:U54)</f>
        <v>63246028</v>
      </c>
      <c r="V49" s="17">
        <f t="shared" si="53"/>
        <v>0</v>
      </c>
      <c r="W49" s="17">
        <f t="shared" si="53"/>
        <v>0</v>
      </c>
      <c r="X49" s="20">
        <f t="shared" si="53"/>
        <v>63246028</v>
      </c>
      <c r="Y49" s="21">
        <f t="shared" si="53"/>
        <v>59473970</v>
      </c>
      <c r="Z49" s="169">
        <f t="shared" si="53"/>
        <v>1180000</v>
      </c>
      <c r="AA49" s="20">
        <f t="shared" si="53"/>
        <v>60653970</v>
      </c>
      <c r="AB49" s="21">
        <f t="shared" si="53"/>
        <v>59473970</v>
      </c>
      <c r="AC49" s="169">
        <f t="shared" si="53"/>
        <v>1180000</v>
      </c>
      <c r="AD49" s="20">
        <f t="shared" si="53"/>
        <v>60653970</v>
      </c>
      <c r="AE49" s="21">
        <f t="shared" si="53"/>
        <v>58346970</v>
      </c>
      <c r="AF49" s="169">
        <f t="shared" si="53"/>
        <v>1127000</v>
      </c>
      <c r="AG49" s="20">
        <f t="shared" si="53"/>
        <v>59473970</v>
      </c>
      <c r="AH49" s="21">
        <f t="shared" si="53"/>
        <v>2592058</v>
      </c>
      <c r="AI49" s="17">
        <f t="shared" si="53"/>
        <v>2592058</v>
      </c>
      <c r="AJ49" s="18">
        <f t="shared" si="53"/>
        <v>3772058</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+IF(OCTUBRE!A50=0,"",OCTUBRE!A50)</f>
        <v>1130108-2</v>
      </c>
      <c r="B50" s="189" t="str">
        <f>+IF(OCTUBRE!B50=0,"",OCTUBRE!B50)</f>
        <v>Vigencias Anteriores</v>
      </c>
      <c r="C50" s="456">
        <f>+ENERO!C50</f>
        <v>0</v>
      </c>
      <c r="D50" s="456">
        <f>OCTUBRE!D50+NOVIEMBRE!P50</f>
        <v>0</v>
      </c>
      <c r="E50" s="456">
        <f>OCTUBRE!E50+NOVIEMBRE!Q50</f>
        <v>0</v>
      </c>
      <c r="F50" s="170">
        <f>SUM(C50:E50)</f>
        <v>0</v>
      </c>
      <c r="G50" s="283">
        <f>OCTUBRE!I50</f>
        <v>0</v>
      </c>
      <c r="H50" s="457">
        <v>0</v>
      </c>
      <c r="I50" s="170">
        <f>SUM(G50:H50)</f>
        <v>0</v>
      </c>
      <c r="J50" s="283">
        <f>OCTUBRE!L50</f>
        <v>0</v>
      </c>
      <c r="K50" s="457">
        <v>0</v>
      </c>
      <c r="L50" s="170">
        <f>SUM(J50:K50)</f>
        <v>0</v>
      </c>
      <c r="M50" s="283">
        <f>F50-I50</f>
        <v>0</v>
      </c>
      <c r="N50" s="170">
        <f>F50-L50</f>
        <v>0</v>
      </c>
      <c r="O50" s="467"/>
      <c r="P50" s="455">
        <v>0</v>
      </c>
      <c r="Q50" s="458">
        <v>0</v>
      </c>
      <c r="R50" s="10"/>
      <c r="S50" s="156" t="str">
        <f>+IF(OCTUBRE!S50=0,"",OCTUBRE!S50)</f>
        <v>1010302-1</v>
      </c>
      <c r="T50" s="55" t="str">
        <f>+IF(OCTUBRE!T50=0,"",OCTUBRE!T50)</f>
        <v>Aportes a E.P.S.- Con sit. Fondos</v>
      </c>
      <c r="U50" s="29">
        <f>+ENERO!U50</f>
        <v>4719263</v>
      </c>
      <c r="V50" s="17">
        <f>OCTUBRE!V50+NOVIEMBRE!AL50</f>
        <v>0</v>
      </c>
      <c r="W50" s="17">
        <f>OCTUBRE!W50+NOVIEMBRE!AM50</f>
        <v>0</v>
      </c>
      <c r="X50" s="20">
        <f t="shared" ref="X50:X55" si="54">SUM(U50:W50)</f>
        <v>4719263</v>
      </c>
      <c r="Y50" s="21">
        <f>OCTUBRE!AA50</f>
        <v>4318160</v>
      </c>
      <c r="Z50" s="457">
        <v>0</v>
      </c>
      <c r="AA50" s="20">
        <f t="shared" ref="AA50:AA55" si="55">SUM(Y50:Z50)</f>
        <v>4318160</v>
      </c>
      <c r="AB50" s="21">
        <f>OCTUBRE!AD50</f>
        <v>4318160</v>
      </c>
      <c r="AC50" s="457">
        <v>0</v>
      </c>
      <c r="AD50" s="20">
        <f t="shared" ref="AD50:AD55" si="56">SUM(AB50:AC50)</f>
        <v>4318160</v>
      </c>
      <c r="AE50" s="21">
        <f>OCTUBRE!AG50</f>
        <v>4318160</v>
      </c>
      <c r="AF50" s="457">
        <v>0</v>
      </c>
      <c r="AG50" s="20">
        <f t="shared" ref="AG50:AG55" si="57">SUM(AE50:AF50)</f>
        <v>4318160</v>
      </c>
      <c r="AH50" s="21">
        <f t="shared" ref="AH50:AH55" si="58">X50-AA50</f>
        <v>401103</v>
      </c>
      <c r="AI50" s="17">
        <f t="shared" ref="AI50:AI55" si="59">X50-AD50</f>
        <v>401103</v>
      </c>
      <c r="AJ50" s="18">
        <f t="shared" ref="AJ50:AJ55" si="60">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+IF(OCTUBRE!A51=0,"",OCTUBRE!A51)</f>
        <v>1130109</v>
      </c>
      <c r="B51" s="45" t="str">
        <f>+IF(OCTUBRE!B51=0,"",OCTUBRE!B51)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+IF(OCTUBRE!S51=0,"",OCTUBRE!S51)</f>
        <v>1010302-2</v>
      </c>
      <c r="T51" s="55" t="str">
        <f>+IF(OCTUBRE!T51=0,"",OCTUBRE!T51)</f>
        <v>Aportes Fondos Pensionales - Con Sit. Fondos</v>
      </c>
      <c r="U51" s="29">
        <f>+ENERO!U51</f>
        <v>14856625</v>
      </c>
      <c r="V51" s="17">
        <f>OCTUBRE!V51+NOVIEMBRE!AL51</f>
        <v>0</v>
      </c>
      <c r="W51" s="17">
        <f>OCTUBRE!W51+NOVIEMBRE!AM51</f>
        <v>0</v>
      </c>
      <c r="X51" s="20">
        <f t="shared" si="54"/>
        <v>14856625</v>
      </c>
      <c r="Y51" s="21">
        <f>OCTUBRE!AA51</f>
        <v>14765076</v>
      </c>
      <c r="Z51" s="457">
        <v>0</v>
      </c>
      <c r="AA51" s="20">
        <f t="shared" si="55"/>
        <v>14765076</v>
      </c>
      <c r="AB51" s="21">
        <f>OCTUBRE!AD51</f>
        <v>14765076</v>
      </c>
      <c r="AC51" s="457">
        <v>0</v>
      </c>
      <c r="AD51" s="20">
        <f t="shared" si="56"/>
        <v>14765076</v>
      </c>
      <c r="AE51" s="21">
        <f>OCTUBRE!AG51</f>
        <v>14765076</v>
      </c>
      <c r="AF51" s="457">
        <v>0</v>
      </c>
      <c r="AG51" s="20">
        <f t="shared" si="57"/>
        <v>14765076</v>
      </c>
      <c r="AH51" s="21">
        <f t="shared" si="58"/>
        <v>91549</v>
      </c>
      <c r="AI51" s="17">
        <f t="shared" si="59"/>
        <v>91549</v>
      </c>
      <c r="AJ51" s="18">
        <f t="shared" si="60"/>
        <v>91549</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+IF(OCTUBRE!A52=0,"",OCTUBRE!A52)</f>
        <v>1130109-1</v>
      </c>
      <c r="B52" s="189" t="str">
        <f>+CONCATENATE("Vigencia ",INSTRUCCIONES!$F$3)</f>
        <v>Vigencia 2014</v>
      </c>
      <c r="C52" s="456">
        <f>+ENERO!C52</f>
        <v>0</v>
      </c>
      <c r="D52" s="456">
        <f>OCTUBRE!D52+NOVIEMBRE!P52</f>
        <v>0</v>
      </c>
      <c r="E52" s="456">
        <f>OCTUBRE!E52+NOVIEMBRE!Q52</f>
        <v>0</v>
      </c>
      <c r="F52" s="170">
        <f>SUM(C52:E52)</f>
        <v>0</v>
      </c>
      <c r="G52" s="283">
        <f>OCTUBRE!I52</f>
        <v>0</v>
      </c>
      <c r="H52" s="457">
        <v>0</v>
      </c>
      <c r="I52" s="170">
        <f>SUM(G52:H52)</f>
        <v>0</v>
      </c>
      <c r="J52" s="283">
        <f>OCTUBRE!L52</f>
        <v>0</v>
      </c>
      <c r="K52" s="457">
        <v>0</v>
      </c>
      <c r="L52" s="170">
        <f>SUM(J52:K52)</f>
        <v>0</v>
      </c>
      <c r="M52" s="283">
        <f>F52-I52</f>
        <v>0</v>
      </c>
      <c r="N52" s="170">
        <f>F52-L52</f>
        <v>0</v>
      </c>
      <c r="O52" s="467"/>
      <c r="P52" s="455">
        <v>0</v>
      </c>
      <c r="Q52" s="458">
        <v>0</v>
      </c>
      <c r="R52" s="10"/>
      <c r="S52" s="156" t="str">
        <f>+IF(OCTUBRE!S52=0,"",OCTUBRE!S52)</f>
        <v>1010302-3</v>
      </c>
      <c r="T52" s="55" t="str">
        <f>+IF(OCTUBRE!T52=0,"",OCTUBRE!T52)</f>
        <v xml:space="preserve">Aportes a Fondos de Cesantia - Con Sit. de Fondos </v>
      </c>
      <c r="U52" s="29">
        <f>+ENERO!U52</f>
        <v>26296821</v>
      </c>
      <c r="V52" s="17">
        <f>OCTUBRE!V52+NOVIEMBRE!AL52</f>
        <v>0</v>
      </c>
      <c r="W52" s="17">
        <f>OCTUBRE!W52+NOVIEMBRE!AM52</f>
        <v>0</v>
      </c>
      <c r="X52" s="20">
        <f t="shared" si="54"/>
        <v>26296821</v>
      </c>
      <c r="Y52" s="21">
        <f>OCTUBRE!AA52</f>
        <v>25977938</v>
      </c>
      <c r="Z52" s="457">
        <v>0</v>
      </c>
      <c r="AA52" s="20">
        <f t="shared" si="55"/>
        <v>25977938</v>
      </c>
      <c r="AB52" s="21">
        <f>OCTUBRE!AD52</f>
        <v>25977938</v>
      </c>
      <c r="AC52" s="457">
        <v>0</v>
      </c>
      <c r="AD52" s="20">
        <f t="shared" si="56"/>
        <v>25977938</v>
      </c>
      <c r="AE52" s="21">
        <f>OCTUBRE!AG52</f>
        <v>25977938</v>
      </c>
      <c r="AF52" s="457">
        <v>0</v>
      </c>
      <c r="AG52" s="20">
        <f t="shared" si="57"/>
        <v>25977938</v>
      </c>
      <c r="AH52" s="21">
        <f t="shared" si="58"/>
        <v>318883</v>
      </c>
      <c r="AI52" s="17">
        <f t="shared" si="59"/>
        <v>318883</v>
      </c>
      <c r="AJ52" s="18">
        <f t="shared" si="60"/>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+IF(OCTUBRE!A53=0,"",OCTUBRE!A53)</f>
        <v>1130109-2</v>
      </c>
      <c r="B53" s="189" t="str">
        <f>+IF(OCTUBRE!B53=0,"",OCTUBRE!B53)</f>
        <v>Vigencias Anteriores</v>
      </c>
      <c r="C53" s="456">
        <f>+ENERO!C53</f>
        <v>0</v>
      </c>
      <c r="D53" s="456">
        <f>OCTUBRE!D53+NOVIEMBRE!P53</f>
        <v>0</v>
      </c>
      <c r="E53" s="456">
        <f>OCTUBRE!E53+NOVIEMBRE!Q53</f>
        <v>0</v>
      </c>
      <c r="F53" s="170">
        <f>SUM(C53:E53)</f>
        <v>0</v>
      </c>
      <c r="G53" s="283">
        <f>OCTUBRE!I53</f>
        <v>0</v>
      </c>
      <c r="H53" s="457">
        <v>0</v>
      </c>
      <c r="I53" s="170">
        <f>SUM(G53:H53)</f>
        <v>0</v>
      </c>
      <c r="J53" s="283">
        <f>OCTUBRE!L53</f>
        <v>0</v>
      </c>
      <c r="K53" s="457">
        <v>0</v>
      </c>
      <c r="L53" s="170">
        <f>SUM(J53:K53)</f>
        <v>0</v>
      </c>
      <c r="M53" s="283">
        <f>F53-I53</f>
        <v>0</v>
      </c>
      <c r="N53" s="170">
        <f>F53-L53</f>
        <v>0</v>
      </c>
      <c r="O53" s="467"/>
      <c r="P53" s="455">
        <v>0</v>
      </c>
      <c r="Q53" s="458">
        <v>0</v>
      </c>
      <c r="R53" s="10"/>
      <c r="S53" s="156" t="str">
        <f>+IF(OCTUBRE!S53=0,"",OCTUBRE!S53)</f>
        <v>1010302-4</v>
      </c>
      <c r="T53" s="55" t="str">
        <f>+IF(OCTUBRE!T53=0,"",OCTUBRE!T53)</f>
        <v>Aporte a ARL. - Con Sit. de Fondos</v>
      </c>
      <c r="U53" s="29">
        <f>+ENERO!U53</f>
        <v>1807452</v>
      </c>
      <c r="V53" s="17">
        <f>OCTUBRE!V53+NOVIEMBRE!AL53</f>
        <v>0</v>
      </c>
      <c r="W53" s="17">
        <f>OCTUBRE!W53+NOVIEMBRE!AM53</f>
        <v>0</v>
      </c>
      <c r="X53" s="20">
        <f t="shared" si="54"/>
        <v>1807452</v>
      </c>
      <c r="Y53" s="21">
        <f>OCTUBRE!AA53</f>
        <v>1788400</v>
      </c>
      <c r="Z53" s="457">
        <v>0</v>
      </c>
      <c r="AA53" s="20">
        <f t="shared" si="55"/>
        <v>1788400</v>
      </c>
      <c r="AB53" s="21">
        <f>OCTUBRE!AD53</f>
        <v>1788400</v>
      </c>
      <c r="AC53" s="457">
        <v>0</v>
      </c>
      <c r="AD53" s="20">
        <f t="shared" si="56"/>
        <v>1788400</v>
      </c>
      <c r="AE53" s="21">
        <f>OCTUBRE!AG53</f>
        <v>1788400</v>
      </c>
      <c r="AF53" s="457">
        <v>0</v>
      </c>
      <c r="AG53" s="20">
        <f t="shared" si="57"/>
        <v>1788400</v>
      </c>
      <c r="AH53" s="21">
        <f t="shared" si="58"/>
        <v>19052</v>
      </c>
      <c r="AI53" s="17">
        <f t="shared" si="59"/>
        <v>19052</v>
      </c>
      <c r="AJ53" s="18">
        <f t="shared" si="60"/>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+IF(OCTUBRE!A54=0,"",OCTUBRE!A54)</f>
        <v>1130110</v>
      </c>
      <c r="B54" s="45" t="str">
        <f>+IF(OCTUBRE!B54=0,"",OCTUBRE!B54)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+IF(OCTUBRE!S54=0,"",OCTUBRE!S54)</f>
        <v>1010302-5</v>
      </c>
      <c r="T54" s="55" t="str">
        <f>+IF(OCTUBRE!T54=0,"",OCTUBRE!T54)</f>
        <v>Aporte a Caja Compensación Familiar</v>
      </c>
      <c r="U54" s="29">
        <f>+ENERO!U54</f>
        <v>15565867</v>
      </c>
      <c r="V54" s="17">
        <f>OCTUBRE!V54+NOVIEMBRE!AL54</f>
        <v>0</v>
      </c>
      <c r="W54" s="17">
        <f>OCTUBRE!W54+NOVIEMBRE!AM54</f>
        <v>0</v>
      </c>
      <c r="X54" s="20">
        <f t="shared" si="54"/>
        <v>15565867</v>
      </c>
      <c r="Y54" s="21">
        <f>OCTUBRE!AA54</f>
        <v>12624396</v>
      </c>
      <c r="Z54" s="457">
        <v>1180000</v>
      </c>
      <c r="AA54" s="20">
        <f t="shared" si="55"/>
        <v>13804396</v>
      </c>
      <c r="AB54" s="21">
        <f>OCTUBRE!AD54</f>
        <v>12624396</v>
      </c>
      <c r="AC54" s="457">
        <v>1180000</v>
      </c>
      <c r="AD54" s="20">
        <f t="shared" si="56"/>
        <v>13804396</v>
      </c>
      <c r="AE54" s="21">
        <f>OCTUBRE!AG54</f>
        <v>11497396</v>
      </c>
      <c r="AF54" s="457">
        <v>1127000</v>
      </c>
      <c r="AG54" s="20">
        <f t="shared" si="57"/>
        <v>12624396</v>
      </c>
      <c r="AH54" s="21">
        <f t="shared" si="58"/>
        <v>1761471</v>
      </c>
      <c r="AI54" s="17">
        <f t="shared" si="59"/>
        <v>1761471</v>
      </c>
      <c r="AJ54" s="18">
        <f t="shared" si="60"/>
        <v>2941471</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+IF(OCTUBRE!A55=0,"",OCTUBRE!A55)</f>
        <v>1130110-1</v>
      </c>
      <c r="B55" s="189" t="str">
        <f>+CONCATENATE("Vigencia ",INSTRUCCIONES!$F$3)</f>
        <v>Vigencia 2014</v>
      </c>
      <c r="C55" s="456">
        <f>+ENERO!C55</f>
        <v>0</v>
      </c>
      <c r="D55" s="456">
        <f>OCTUBRE!D55+NOVIEMBRE!P55</f>
        <v>0</v>
      </c>
      <c r="E55" s="456">
        <f>OCTUBRE!E55+NOVIEMBRE!Q55</f>
        <v>0</v>
      </c>
      <c r="F55" s="170">
        <f>SUM(C55:E55)</f>
        <v>0</v>
      </c>
      <c r="G55" s="283">
        <f>OCTUBRE!I55</f>
        <v>0</v>
      </c>
      <c r="H55" s="457">
        <v>0</v>
      </c>
      <c r="I55" s="170">
        <f>SUM(G55:H55)</f>
        <v>0</v>
      </c>
      <c r="J55" s="283">
        <f>OCTUBRE!L55</f>
        <v>0</v>
      </c>
      <c r="K55" s="457">
        <v>0</v>
      </c>
      <c r="L55" s="170">
        <f>SUM(J55:K55)</f>
        <v>0</v>
      </c>
      <c r="M55" s="283">
        <f>F55-I55</f>
        <v>0</v>
      </c>
      <c r="N55" s="170">
        <f>F55-L55</f>
        <v>0</v>
      </c>
      <c r="O55" s="467"/>
      <c r="P55" s="455">
        <v>0</v>
      </c>
      <c r="Q55" s="458">
        <v>0</v>
      </c>
      <c r="R55" s="10"/>
      <c r="S55" s="155">
        <f>+IF(OCTUBRE!S55=0,"",OCTUBRE!S55)</f>
        <v>1010399</v>
      </c>
      <c r="T55" s="159" t="str">
        <f>+IF(OCTUBRE!T55=0,"",OCTUBRE!T55)</f>
        <v>Vigencias Anteriores</v>
      </c>
      <c r="U55" s="29">
        <f>+ENERO!U55</f>
        <v>0</v>
      </c>
      <c r="V55" s="17">
        <f>OCTUBRE!V55+NOVIEMBRE!AL55</f>
        <v>487148</v>
      </c>
      <c r="W55" s="17">
        <f>OCTUBRE!W55+NOVIEMBRE!AM55</f>
        <v>0</v>
      </c>
      <c r="X55" s="20">
        <f t="shared" si="54"/>
        <v>487148</v>
      </c>
      <c r="Y55" s="21">
        <f>OCTUBRE!AA55</f>
        <v>487148</v>
      </c>
      <c r="Z55" s="457">
        <v>0</v>
      </c>
      <c r="AA55" s="20">
        <f t="shared" si="55"/>
        <v>487148</v>
      </c>
      <c r="AB55" s="21">
        <f>OCTUBRE!AD55</f>
        <v>487148</v>
      </c>
      <c r="AC55" s="457">
        <v>0</v>
      </c>
      <c r="AD55" s="20">
        <f t="shared" si="56"/>
        <v>487148</v>
      </c>
      <c r="AE55" s="21">
        <f>OCTUBRE!AG55</f>
        <v>487148</v>
      </c>
      <c r="AF55" s="457">
        <v>0</v>
      </c>
      <c r="AG55" s="20">
        <f t="shared" si="57"/>
        <v>487148</v>
      </c>
      <c r="AH55" s="21">
        <f t="shared" si="58"/>
        <v>0</v>
      </c>
      <c r="AI55" s="17">
        <f t="shared" si="59"/>
        <v>0</v>
      </c>
      <c r="AJ55" s="18">
        <f t="shared" si="60"/>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+IF(OCTUBRE!A56=0,"",OCTUBRE!A56)</f>
        <v>1130110-2</v>
      </c>
      <c r="B56" s="189" t="str">
        <f>+IF(OCTUBRE!B56=0,"",OCTUBRE!B56)</f>
        <v>Vigencias Anteriores</v>
      </c>
      <c r="C56" s="456">
        <f>+ENERO!C56</f>
        <v>0</v>
      </c>
      <c r="D56" s="456">
        <f>OCTUBRE!D56+NOVIEMBRE!P56</f>
        <v>0</v>
      </c>
      <c r="E56" s="456">
        <f>OCTUBRE!E56+NOVIEMBRE!Q56</f>
        <v>0</v>
      </c>
      <c r="F56" s="170">
        <f>SUM(C56:E56)</f>
        <v>0</v>
      </c>
      <c r="G56" s="283">
        <f>OCTUBRE!I56</f>
        <v>0</v>
      </c>
      <c r="H56" s="457">
        <v>0</v>
      </c>
      <c r="I56" s="170">
        <f>SUM(G56:H56)</f>
        <v>0</v>
      </c>
      <c r="J56" s="283">
        <f>OCTUBRE!L56</f>
        <v>0</v>
      </c>
      <c r="K56" s="457">
        <v>0</v>
      </c>
      <c r="L56" s="170">
        <f>SUM(J56:K56)</f>
        <v>0</v>
      </c>
      <c r="M56" s="283">
        <f>F56-I56</f>
        <v>0</v>
      </c>
      <c r="N56" s="170">
        <f>F56-L56</f>
        <v>0</v>
      </c>
      <c r="O56" s="467"/>
      <c r="P56" s="455">
        <v>0</v>
      </c>
      <c r="Q56" s="458">
        <v>0</v>
      </c>
      <c r="R56" s="10"/>
      <c r="S56" s="448" t="str">
        <f>+IF(OCTUBRE!S56=0,"",OCTUBRE!S56)</f>
        <v/>
      </c>
      <c r="T56" s="649" t="str">
        <f>+IF(OCTUBRE!T56=0,"",OCTUBRE!T56)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+IF(OCTUBRE!A57=0,"",OCTUBRE!A57)</f>
        <v>1130111</v>
      </c>
      <c r="B57" s="45" t="str">
        <f>+IF(OCTUBRE!B57=0,"",OCTUBRE!B57)</f>
        <v>IPS PRIVADAS</v>
      </c>
      <c r="C57" s="53">
        <f t="shared" ref="C57:N57" si="63">SUM(C58:C59)</f>
        <v>0</v>
      </c>
      <c r="D57" s="53">
        <f t="shared" si="63"/>
        <v>0</v>
      </c>
      <c r="E57" s="53">
        <f t="shared" si="63"/>
        <v>0</v>
      </c>
      <c r="F57" s="54">
        <f t="shared" si="63"/>
        <v>0</v>
      </c>
      <c r="G57" s="52">
        <f t="shared" si="63"/>
        <v>0</v>
      </c>
      <c r="H57" s="53">
        <f t="shared" si="63"/>
        <v>0</v>
      </c>
      <c r="I57" s="54">
        <f t="shared" si="63"/>
        <v>0</v>
      </c>
      <c r="J57" s="52">
        <f t="shared" si="63"/>
        <v>0</v>
      </c>
      <c r="K57" s="53">
        <f t="shared" si="63"/>
        <v>0</v>
      </c>
      <c r="L57" s="54">
        <f t="shared" si="63"/>
        <v>0</v>
      </c>
      <c r="M57" s="52">
        <f t="shared" si="63"/>
        <v>0</v>
      </c>
      <c r="N57" s="54">
        <f t="shared" si="63"/>
        <v>0</v>
      </c>
      <c r="P57" s="52">
        <f>SUM(P58:P59)</f>
        <v>0</v>
      </c>
      <c r="Q57" s="54">
        <f>SUM(Q58:Q59)</f>
        <v>0</v>
      </c>
      <c r="R57" s="10"/>
      <c r="S57" s="34">
        <f>+IF(OCTUBRE!S57=0,"",OCTUBRE!S57)</f>
        <v>1010400</v>
      </c>
      <c r="T57" s="158" t="str">
        <f>+IF(OCTUBRE!T57=0,"",OCTUBRE!T57)</f>
        <v>Contribuciones Inherentes nómina del Sector Publico</v>
      </c>
      <c r="U57" s="157">
        <f t="shared" ref="U57:AJ57" si="64">U58+U61</f>
        <v>19457334</v>
      </c>
      <c r="V57" s="144">
        <f t="shared" si="64"/>
        <v>0</v>
      </c>
      <c r="W57" s="144">
        <f t="shared" si="64"/>
        <v>0</v>
      </c>
      <c r="X57" s="152">
        <f t="shared" si="64"/>
        <v>19457334</v>
      </c>
      <c r="Y57" s="151">
        <f t="shared" si="64"/>
        <v>15046972</v>
      </c>
      <c r="Z57" s="144">
        <f t="shared" si="64"/>
        <v>1474300</v>
      </c>
      <c r="AA57" s="152">
        <f t="shared" si="64"/>
        <v>16521272</v>
      </c>
      <c r="AB57" s="151">
        <f t="shared" si="64"/>
        <v>15046972</v>
      </c>
      <c r="AC57" s="144">
        <f t="shared" si="64"/>
        <v>1474300</v>
      </c>
      <c r="AD57" s="152">
        <f t="shared" si="64"/>
        <v>16521272</v>
      </c>
      <c r="AE57" s="151">
        <f t="shared" si="64"/>
        <v>13639272</v>
      </c>
      <c r="AF57" s="144">
        <f t="shared" si="64"/>
        <v>1407700</v>
      </c>
      <c r="AG57" s="152">
        <f t="shared" si="64"/>
        <v>15046972</v>
      </c>
      <c r="AH57" s="151">
        <f t="shared" si="64"/>
        <v>2936062</v>
      </c>
      <c r="AI57" s="144">
        <f t="shared" si="64"/>
        <v>2936062</v>
      </c>
      <c r="AJ57" s="153">
        <f t="shared" si="64"/>
        <v>4410362</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+IF(OCTUBRE!A58=0,"",OCTUBRE!A58)</f>
        <v>1130111-1</v>
      </c>
      <c r="B58" s="189" t="str">
        <f>+CONCATENATE("Vigencia ",INSTRUCCIONES!$F$3)</f>
        <v>Vigencia 2014</v>
      </c>
      <c r="C58" s="456">
        <f>+ENERO!C58</f>
        <v>0</v>
      </c>
      <c r="D58" s="456">
        <f>OCTUBRE!D58+NOVIEMBRE!P58</f>
        <v>0</v>
      </c>
      <c r="E58" s="456">
        <f>OCTUBRE!E58+NOVIEMBRE!Q58</f>
        <v>0</v>
      </c>
      <c r="F58" s="170">
        <f>SUM(C58:E58)</f>
        <v>0</v>
      </c>
      <c r="G58" s="283">
        <f>OCTUBRE!I58</f>
        <v>0</v>
      </c>
      <c r="H58" s="457">
        <v>0</v>
      </c>
      <c r="I58" s="170">
        <f>SUM(G58:H58)</f>
        <v>0</v>
      </c>
      <c r="J58" s="283">
        <f>OCTUBRE!L58</f>
        <v>0</v>
      </c>
      <c r="K58" s="457">
        <v>0</v>
      </c>
      <c r="L58" s="170">
        <f>SUM(J58:K58)</f>
        <v>0</v>
      </c>
      <c r="M58" s="283">
        <f>F58-I58</f>
        <v>0</v>
      </c>
      <c r="N58" s="170">
        <f>F58-L58</f>
        <v>0</v>
      </c>
      <c r="O58" s="467"/>
      <c r="P58" s="455">
        <v>0</v>
      </c>
      <c r="Q58" s="458">
        <v>0</v>
      </c>
      <c r="R58" s="10"/>
      <c r="S58" s="155">
        <f>+IF(OCTUBRE!S58=0,"",OCTUBRE!S58)</f>
        <v>1010402</v>
      </c>
      <c r="T58" s="159" t="str">
        <f>+IF(OCTUBRE!T58=0,"",OCTUBRE!T58)</f>
        <v>Contribuciones - Otros</v>
      </c>
      <c r="U58" s="29">
        <f t="shared" ref="U58:AJ58" si="65">SUM(U59:U60)</f>
        <v>19457334</v>
      </c>
      <c r="V58" s="17">
        <f t="shared" si="65"/>
        <v>0</v>
      </c>
      <c r="W58" s="17">
        <f t="shared" si="65"/>
        <v>0</v>
      </c>
      <c r="X58" s="20">
        <f t="shared" si="65"/>
        <v>19457334</v>
      </c>
      <c r="Y58" s="21">
        <f t="shared" si="65"/>
        <v>15046972</v>
      </c>
      <c r="Z58" s="169">
        <f t="shared" si="65"/>
        <v>1474300</v>
      </c>
      <c r="AA58" s="20">
        <f t="shared" si="65"/>
        <v>16521272</v>
      </c>
      <c r="AB58" s="21">
        <f t="shared" si="65"/>
        <v>15046972</v>
      </c>
      <c r="AC58" s="169">
        <f t="shared" si="65"/>
        <v>1474300</v>
      </c>
      <c r="AD58" s="20">
        <f t="shared" si="65"/>
        <v>16521272</v>
      </c>
      <c r="AE58" s="21">
        <f t="shared" si="65"/>
        <v>13639272</v>
      </c>
      <c r="AF58" s="169">
        <f t="shared" si="65"/>
        <v>1407700</v>
      </c>
      <c r="AG58" s="20">
        <f t="shared" si="65"/>
        <v>15046972</v>
      </c>
      <c r="AH58" s="21">
        <f t="shared" si="65"/>
        <v>2936062</v>
      </c>
      <c r="AI58" s="17">
        <f t="shared" si="65"/>
        <v>2936062</v>
      </c>
      <c r="AJ58" s="18">
        <f t="shared" si="65"/>
        <v>4410362</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+IF(OCTUBRE!A59=0,"",OCTUBRE!A59)</f>
        <v>1130111-2</v>
      </c>
      <c r="B59" s="189" t="str">
        <f>+IF(OCTUBRE!B59=0,"",OCTUBRE!B59)</f>
        <v>Vigencias Anteriores</v>
      </c>
      <c r="C59" s="456">
        <f>+ENERO!C59</f>
        <v>0</v>
      </c>
      <c r="D59" s="456">
        <f>OCTUBRE!D59+NOVIEMBRE!P59</f>
        <v>0</v>
      </c>
      <c r="E59" s="456">
        <f>OCTUBRE!E59+NOVIEMBRE!Q59</f>
        <v>0</v>
      </c>
      <c r="F59" s="170">
        <f>SUM(C59:E59)</f>
        <v>0</v>
      </c>
      <c r="G59" s="283">
        <f>OCTUBRE!I59</f>
        <v>0</v>
      </c>
      <c r="H59" s="457">
        <v>0</v>
      </c>
      <c r="I59" s="170">
        <f>SUM(G59:H59)</f>
        <v>0</v>
      </c>
      <c r="J59" s="283">
        <f>OCTUBRE!L59</f>
        <v>0</v>
      </c>
      <c r="K59" s="457">
        <v>0</v>
      </c>
      <c r="L59" s="170">
        <f>SUM(J59:K59)</f>
        <v>0</v>
      </c>
      <c r="M59" s="283">
        <f>F59-I59</f>
        <v>0</v>
      </c>
      <c r="N59" s="170">
        <f>F59-L59</f>
        <v>0</v>
      </c>
      <c r="O59" s="467"/>
      <c r="P59" s="455">
        <v>0</v>
      </c>
      <c r="Q59" s="458">
        <v>0</v>
      </c>
      <c r="R59" s="10"/>
      <c r="S59" s="156" t="str">
        <f>+IF(OCTUBRE!S59=0,"",OCTUBRE!S59)</f>
        <v>1010402-1</v>
      </c>
      <c r="T59" s="55" t="str">
        <f>+IF(OCTUBRE!T59=0,"",OCTUBRE!T59)</f>
        <v>S.E.N.A.</v>
      </c>
      <c r="U59" s="29">
        <f>+ENERO!U59</f>
        <v>7782934</v>
      </c>
      <c r="V59" s="17">
        <f>OCTUBRE!V59+NOVIEMBRE!AL59</f>
        <v>0</v>
      </c>
      <c r="W59" s="17">
        <f>OCTUBRE!W59+NOVIEMBRE!AM59</f>
        <v>0</v>
      </c>
      <c r="X59" s="20">
        <f>SUM(U59:W59)</f>
        <v>7782934</v>
      </c>
      <c r="Y59" s="21">
        <f>OCTUBRE!AA59</f>
        <v>5866534</v>
      </c>
      <c r="Z59" s="457">
        <v>589700</v>
      </c>
      <c r="AA59" s="20">
        <f>SUM(Y59:Z59)</f>
        <v>6456234</v>
      </c>
      <c r="AB59" s="21">
        <f>OCTUBRE!AD59</f>
        <v>5866534</v>
      </c>
      <c r="AC59" s="457">
        <v>589700</v>
      </c>
      <c r="AD59" s="20">
        <f>SUM(AB59:AC59)</f>
        <v>6456234</v>
      </c>
      <c r="AE59" s="21">
        <f>OCTUBRE!AG59</f>
        <v>5303634</v>
      </c>
      <c r="AF59" s="457">
        <v>562900</v>
      </c>
      <c r="AG59" s="20">
        <f>SUM(AE59:AF59)</f>
        <v>5866534</v>
      </c>
      <c r="AH59" s="21">
        <f>X59-AA59</f>
        <v>1326700</v>
      </c>
      <c r="AI59" s="17">
        <f>X59-AD59</f>
        <v>1326700</v>
      </c>
      <c r="AJ59" s="18">
        <f>X59-AG59</f>
        <v>1916400</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+IF(OCTUBRE!A60=0,"",OCTUBRE!A60)</f>
        <v>1130112</v>
      </c>
      <c r="B60" s="45" t="str">
        <f>+IF(OCTUBRE!B60=0,"",OCTUBRE!B60)</f>
        <v>IPS PUBLICAS</v>
      </c>
      <c r="C60" s="53">
        <f t="shared" ref="C60:N60" si="66">SUM(C61:C62)</f>
        <v>8883897</v>
      </c>
      <c r="D60" s="53">
        <f t="shared" si="66"/>
        <v>0</v>
      </c>
      <c r="E60" s="53">
        <f t="shared" si="66"/>
        <v>0</v>
      </c>
      <c r="F60" s="54">
        <f t="shared" si="66"/>
        <v>8883897</v>
      </c>
      <c r="G60" s="52">
        <f t="shared" si="66"/>
        <v>4740163</v>
      </c>
      <c r="H60" s="53">
        <f t="shared" si="66"/>
        <v>220302</v>
      </c>
      <c r="I60" s="54">
        <f t="shared" si="66"/>
        <v>4960465</v>
      </c>
      <c r="J60" s="52">
        <f t="shared" si="66"/>
        <v>2752706</v>
      </c>
      <c r="K60" s="53">
        <f t="shared" si="66"/>
        <v>220305</v>
      </c>
      <c r="L60" s="54">
        <f t="shared" si="66"/>
        <v>2973011</v>
      </c>
      <c r="M60" s="52">
        <f t="shared" si="66"/>
        <v>3923432</v>
      </c>
      <c r="N60" s="54">
        <f t="shared" si="66"/>
        <v>5910886</v>
      </c>
      <c r="P60" s="52">
        <f>SUM(P61:P62)</f>
        <v>0</v>
      </c>
      <c r="Q60" s="54">
        <f>SUM(Q61:Q62)</f>
        <v>0</v>
      </c>
      <c r="R60" s="10"/>
      <c r="S60" s="156" t="str">
        <f>+IF(OCTUBRE!S60=0,"",OCTUBRE!S60)</f>
        <v>1010402-2</v>
      </c>
      <c r="T60" s="55" t="str">
        <f>+IF(OCTUBRE!T60=0,"",OCTUBRE!T60)</f>
        <v>I.C.B.F.</v>
      </c>
      <c r="U60" s="29">
        <f>+ENERO!U60</f>
        <v>11674400</v>
      </c>
      <c r="V60" s="17">
        <f>OCTUBRE!V60+NOVIEMBRE!AL60</f>
        <v>0</v>
      </c>
      <c r="W60" s="17">
        <f>OCTUBRE!W60+NOVIEMBRE!AM60</f>
        <v>0</v>
      </c>
      <c r="X60" s="20">
        <f>SUM(U60:W60)</f>
        <v>11674400</v>
      </c>
      <c r="Y60" s="21">
        <f>OCTUBRE!AA60</f>
        <v>9180438</v>
      </c>
      <c r="Z60" s="457">
        <v>884600</v>
      </c>
      <c r="AA60" s="20">
        <f>SUM(Y60:Z60)</f>
        <v>10065038</v>
      </c>
      <c r="AB60" s="21">
        <f>OCTUBRE!AD60</f>
        <v>9180438</v>
      </c>
      <c r="AC60" s="457">
        <v>884600</v>
      </c>
      <c r="AD60" s="20">
        <f>SUM(AB60:AC60)</f>
        <v>10065038</v>
      </c>
      <c r="AE60" s="21">
        <f>OCTUBRE!AG60</f>
        <v>8335638</v>
      </c>
      <c r="AF60" s="457">
        <v>844800</v>
      </c>
      <c r="AG60" s="20">
        <f>SUM(AE60:AF60)</f>
        <v>9180438</v>
      </c>
      <c r="AH60" s="21">
        <f>X60-AA60</f>
        <v>1609362</v>
      </c>
      <c r="AI60" s="17">
        <f>X60-AD60</f>
        <v>1609362</v>
      </c>
      <c r="AJ60" s="18">
        <f>X60-AG60</f>
        <v>2493962</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+IF(OCTUBRE!A61=0,"",OCTUBRE!A61)</f>
        <v>1130112-1</v>
      </c>
      <c r="B61" s="189" t="str">
        <f>+CONCATENATE("Vigencia ",INSTRUCCIONES!$F$3)</f>
        <v>Vigencia 2014</v>
      </c>
      <c r="C61" s="456">
        <f>+ENERO!C61</f>
        <v>5883897</v>
      </c>
      <c r="D61" s="456">
        <f>OCTUBRE!D61+NOVIEMBRE!P61</f>
        <v>0</v>
      </c>
      <c r="E61" s="456">
        <f>OCTUBRE!E61+NOVIEMBRE!Q61</f>
        <v>0</v>
      </c>
      <c r="F61" s="170">
        <f>SUM(C61:E61)</f>
        <v>5883897</v>
      </c>
      <c r="G61" s="283">
        <f>OCTUBRE!I61</f>
        <v>2202029</v>
      </c>
      <c r="H61" s="457">
        <v>0</v>
      </c>
      <c r="I61" s="170">
        <f>SUM(G61:H61)</f>
        <v>2202029</v>
      </c>
      <c r="J61" s="283">
        <f>OCTUBRE!L61</f>
        <v>214572</v>
      </c>
      <c r="K61" s="457">
        <v>0</v>
      </c>
      <c r="L61" s="170">
        <f>SUM(J61:K61)</f>
        <v>214572</v>
      </c>
      <c r="M61" s="283">
        <f>F61-I61</f>
        <v>3681868</v>
      </c>
      <c r="N61" s="170">
        <f>F61-L61</f>
        <v>5669325</v>
      </c>
      <c r="O61" s="467"/>
      <c r="P61" s="455">
        <v>0</v>
      </c>
      <c r="Q61" s="458">
        <v>0</v>
      </c>
      <c r="R61" s="10"/>
      <c r="S61" s="155">
        <f>+IF(OCTUBRE!S61=0,"",OCTUBRE!S61)</f>
        <v>1010499</v>
      </c>
      <c r="T61" s="159" t="str">
        <f>+IF(OCTUBRE!T61=0,"",OCTUBRE!T61)</f>
        <v>Vigencias Anteriores</v>
      </c>
      <c r="U61" s="29">
        <f>+ENERO!U61</f>
        <v>0</v>
      </c>
      <c r="V61" s="17">
        <f>OCTUBRE!V61+NOVIEMBRE!AL61</f>
        <v>0</v>
      </c>
      <c r="W61" s="17">
        <f>OCTUBRE!W61+NOVIEMBRE!AM61</f>
        <v>0</v>
      </c>
      <c r="X61" s="20">
        <f>SUM(U61:W61)</f>
        <v>0</v>
      </c>
      <c r="Y61" s="21">
        <f>OCTUBRE!AA61</f>
        <v>0</v>
      </c>
      <c r="Z61" s="457">
        <v>0</v>
      </c>
      <c r="AA61" s="20">
        <f>SUM(Y61:Z61)</f>
        <v>0</v>
      </c>
      <c r="AB61" s="21">
        <f>OCTUBRE!AD61</f>
        <v>0</v>
      </c>
      <c r="AC61" s="457">
        <v>0</v>
      </c>
      <c r="AD61" s="20">
        <f>SUM(AB61:AC61)</f>
        <v>0</v>
      </c>
      <c r="AE61" s="21">
        <f>OCTUBRE!AG61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+IF(OCTUBRE!A62=0,"",OCTUBRE!A62)</f>
        <v>1130112-2</v>
      </c>
      <c r="B62" s="189" t="str">
        <f>+IF(OCTUBRE!B62=0,"",OCTUBRE!B62)</f>
        <v>Vigencias Anteriores</v>
      </c>
      <c r="C62" s="456">
        <f>+ENERO!C62</f>
        <v>3000000</v>
      </c>
      <c r="D62" s="456">
        <f>OCTUBRE!D62+NOVIEMBRE!P62</f>
        <v>0</v>
      </c>
      <c r="E62" s="456">
        <f>OCTUBRE!E62+NOVIEMBRE!Q62</f>
        <v>0</v>
      </c>
      <c r="F62" s="170">
        <f>SUM(C62:E62)</f>
        <v>3000000</v>
      </c>
      <c r="G62" s="283">
        <f>OCTUBRE!I62</f>
        <v>2538134</v>
      </c>
      <c r="H62" s="457">
        <v>220302</v>
      </c>
      <c r="I62" s="170">
        <f>SUM(G62:H62)</f>
        <v>2758436</v>
      </c>
      <c r="J62" s="283">
        <f>OCTUBRE!L62</f>
        <v>2538134</v>
      </c>
      <c r="K62" s="457">
        <v>220305</v>
      </c>
      <c r="L62" s="170">
        <f>SUM(J62:K62)</f>
        <v>2758439</v>
      </c>
      <c r="M62" s="283">
        <f>F62-I62</f>
        <v>241564</v>
      </c>
      <c r="N62" s="170">
        <f>F62-L62</f>
        <v>241561</v>
      </c>
      <c r="O62" s="467"/>
      <c r="P62" s="455">
        <v>0</v>
      </c>
      <c r="Q62" s="458">
        <v>0</v>
      </c>
      <c r="R62" s="10"/>
      <c r="S62" s="448" t="str">
        <f>+IF(OCTUBRE!S62=0,"",OCTUBRE!S62)</f>
        <v/>
      </c>
      <c r="T62" s="649" t="str">
        <f>+IF(OCTUBRE!T62=0,"",OCTUBRE!T62)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+IF(OCTUBRE!A63=0,"",OCTUBRE!A63)</f>
        <v>1130113</v>
      </c>
      <c r="B63" s="45" t="str">
        <f>+IF(OCTUBRE!B63=0,"",OCTUBRE!B63)</f>
        <v>COMPAÑIAS DE SEGUROS  - ACCIDENTES DE TRANSITO (SOAT)</v>
      </c>
      <c r="C63" s="53">
        <f t="shared" ref="C63:N63" si="67">SUM(C64:C65)</f>
        <v>52973202</v>
      </c>
      <c r="D63" s="53">
        <f t="shared" si="67"/>
        <v>0</v>
      </c>
      <c r="E63" s="53">
        <f t="shared" si="67"/>
        <v>0</v>
      </c>
      <c r="F63" s="54">
        <f t="shared" si="67"/>
        <v>52973202</v>
      </c>
      <c r="G63" s="52">
        <f t="shared" si="67"/>
        <v>39131665</v>
      </c>
      <c r="H63" s="53">
        <f t="shared" si="67"/>
        <v>5728318</v>
      </c>
      <c r="I63" s="54">
        <f t="shared" si="67"/>
        <v>44859983</v>
      </c>
      <c r="J63" s="52">
        <f t="shared" si="67"/>
        <v>29336493</v>
      </c>
      <c r="K63" s="53">
        <f t="shared" si="67"/>
        <v>6389794</v>
      </c>
      <c r="L63" s="54">
        <f t="shared" si="67"/>
        <v>35726287</v>
      </c>
      <c r="M63" s="52">
        <f t="shared" si="67"/>
        <v>8113219</v>
      </c>
      <c r="N63" s="54">
        <f t="shared" si="67"/>
        <v>17246915</v>
      </c>
      <c r="P63" s="52">
        <f>SUM(P64:P65)</f>
        <v>0</v>
      </c>
      <c r="Q63" s="54">
        <f>SUM(Q64:Q65)</f>
        <v>0</v>
      </c>
      <c r="R63" s="10"/>
      <c r="S63" s="469">
        <f>+IF(OCTUBRE!S63=0,"",OCTUBRE!S63)</f>
        <v>1020010</v>
      </c>
      <c r="T63" s="470" t="str">
        <f>+IF(OCTUBRE!T63=0,"",OCTUBRE!T63)</f>
        <v>Gastos de Operación</v>
      </c>
      <c r="U63" s="157">
        <f t="shared" ref="U63:AJ63" si="68">U65+U83+U90+U104</f>
        <v>1656122409</v>
      </c>
      <c r="V63" s="144">
        <f t="shared" si="68"/>
        <v>5657703</v>
      </c>
      <c r="W63" s="144">
        <f t="shared" si="68"/>
        <v>48789110</v>
      </c>
      <c r="X63" s="152">
        <f t="shared" si="68"/>
        <v>1710569222</v>
      </c>
      <c r="Y63" s="151">
        <f t="shared" si="68"/>
        <v>1257708547</v>
      </c>
      <c r="Z63" s="144">
        <f t="shared" si="68"/>
        <v>141152003</v>
      </c>
      <c r="AA63" s="152">
        <f t="shared" si="68"/>
        <v>1398860550</v>
      </c>
      <c r="AB63" s="151">
        <f t="shared" si="68"/>
        <v>1257708547</v>
      </c>
      <c r="AC63" s="144">
        <f t="shared" si="68"/>
        <v>141152003</v>
      </c>
      <c r="AD63" s="152">
        <f t="shared" si="68"/>
        <v>1398860550</v>
      </c>
      <c r="AE63" s="151">
        <f t="shared" si="68"/>
        <v>1202835931</v>
      </c>
      <c r="AF63" s="144">
        <f t="shared" si="68"/>
        <v>123915370</v>
      </c>
      <c r="AG63" s="152">
        <f t="shared" si="68"/>
        <v>1326751301</v>
      </c>
      <c r="AH63" s="151">
        <f t="shared" si="68"/>
        <v>311708672</v>
      </c>
      <c r="AI63" s="144">
        <f t="shared" si="68"/>
        <v>311708672</v>
      </c>
      <c r="AJ63" s="153">
        <f t="shared" si="68"/>
        <v>383817921</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+IF(OCTUBRE!A64=0,"",OCTUBRE!A64)</f>
        <v>1130113-1</v>
      </c>
      <c r="B64" s="189" t="str">
        <f>+CONCATENATE("Vigencia ",INSTRUCCIONES!$F$3)</f>
        <v>Vigencia 2014</v>
      </c>
      <c r="C64" s="456">
        <f>+ENERO!C64</f>
        <v>40103182</v>
      </c>
      <c r="D64" s="456">
        <f>OCTUBRE!D64+NOVIEMBRE!P64</f>
        <v>0</v>
      </c>
      <c r="E64" s="456">
        <f>OCTUBRE!E64+NOVIEMBRE!Q64</f>
        <v>0</v>
      </c>
      <c r="F64" s="170">
        <f>SUM(C64:E64)</f>
        <v>40103182</v>
      </c>
      <c r="G64" s="283">
        <f>OCTUBRE!I64</f>
        <v>30981739</v>
      </c>
      <c r="H64" s="457">
        <v>5728318</v>
      </c>
      <c r="I64" s="170">
        <f>SUM(G64:H64)</f>
        <v>36710057</v>
      </c>
      <c r="J64" s="283">
        <f>OCTUBRE!L64</f>
        <v>21186567</v>
      </c>
      <c r="K64" s="457">
        <v>6389794</v>
      </c>
      <c r="L64" s="170">
        <f>SUM(J64:K64)</f>
        <v>27576361</v>
      </c>
      <c r="M64" s="283">
        <f>F64-I64</f>
        <v>3393125</v>
      </c>
      <c r="N64" s="170">
        <f>F64-L64</f>
        <v>12526821</v>
      </c>
      <c r="O64" s="467"/>
      <c r="P64" s="455">
        <v>0</v>
      </c>
      <c r="Q64" s="458">
        <v>0</v>
      </c>
      <c r="R64" s="10"/>
      <c r="S64" s="448" t="str">
        <f>+IF(OCTUBRE!S64=0,"",OCTUBRE!S64)</f>
        <v/>
      </c>
      <c r="T64" s="649" t="str">
        <f>+IF(OCTUBRE!T64=0,"",OCTUBRE!T64)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+IF(OCTUBRE!A65=0,"",OCTUBRE!A65)</f>
        <v>1130113-2</v>
      </c>
      <c r="B65" s="189" t="str">
        <f>+IF(OCTUBRE!B65=0,"",OCTUBRE!B65)</f>
        <v>Vigencias Anteriores</v>
      </c>
      <c r="C65" s="456">
        <f>+ENERO!C65</f>
        <v>12870020</v>
      </c>
      <c r="D65" s="456">
        <f>OCTUBRE!D65+NOVIEMBRE!P65</f>
        <v>0</v>
      </c>
      <c r="E65" s="456">
        <f>OCTUBRE!E65+NOVIEMBRE!Q65</f>
        <v>0</v>
      </c>
      <c r="F65" s="170">
        <f>SUM(C65:E65)</f>
        <v>12870020</v>
      </c>
      <c r="G65" s="283">
        <f>OCTUBRE!I65</f>
        <v>8149926</v>
      </c>
      <c r="H65" s="457">
        <v>0</v>
      </c>
      <c r="I65" s="170">
        <f>SUM(G65:H65)</f>
        <v>8149926</v>
      </c>
      <c r="J65" s="283">
        <f>OCTUBRE!L65</f>
        <v>8149926</v>
      </c>
      <c r="K65" s="457">
        <v>0</v>
      </c>
      <c r="L65" s="170">
        <f>SUM(J65:K65)</f>
        <v>8149926</v>
      </c>
      <c r="M65" s="283">
        <f>F65-I65</f>
        <v>4720094</v>
      </c>
      <c r="N65" s="170">
        <f>F65-L65</f>
        <v>4720094</v>
      </c>
      <c r="O65" s="467"/>
      <c r="P65" s="455">
        <v>0</v>
      </c>
      <c r="Q65" s="458">
        <v>0</v>
      </c>
      <c r="R65" s="10"/>
      <c r="S65" s="34">
        <f>+IF(OCTUBRE!S65=0,"",OCTUBRE!S65)</f>
        <v>1020100</v>
      </c>
      <c r="T65" s="158" t="str">
        <f>+IF(OCTUBRE!T65=0,"",OCTUBRE!T65)</f>
        <v>Servicios Personales Asociados a Nómina</v>
      </c>
      <c r="U65" s="157">
        <f t="shared" ref="U65:AJ65" si="69">SUM(U66:U69)+U81</f>
        <v>1157487731</v>
      </c>
      <c r="V65" s="144">
        <f t="shared" si="69"/>
        <v>5657703</v>
      </c>
      <c r="W65" s="144">
        <f t="shared" si="69"/>
        <v>13749212</v>
      </c>
      <c r="X65" s="152">
        <f t="shared" si="69"/>
        <v>1176894646</v>
      </c>
      <c r="Y65" s="151">
        <f t="shared" si="69"/>
        <v>907916150</v>
      </c>
      <c r="Z65" s="144">
        <f t="shared" si="69"/>
        <v>104843651</v>
      </c>
      <c r="AA65" s="152">
        <f t="shared" si="69"/>
        <v>1012759801</v>
      </c>
      <c r="AB65" s="151">
        <f t="shared" si="69"/>
        <v>907916150</v>
      </c>
      <c r="AC65" s="144">
        <f t="shared" si="69"/>
        <v>104843651</v>
      </c>
      <c r="AD65" s="152">
        <f t="shared" si="69"/>
        <v>1012759801</v>
      </c>
      <c r="AE65" s="151">
        <f t="shared" si="69"/>
        <v>876251109</v>
      </c>
      <c r="AF65" s="144">
        <f t="shared" si="69"/>
        <v>85501237</v>
      </c>
      <c r="AG65" s="152">
        <f t="shared" si="69"/>
        <v>961752346</v>
      </c>
      <c r="AH65" s="151">
        <f t="shared" si="69"/>
        <v>164134845</v>
      </c>
      <c r="AI65" s="144">
        <f t="shared" si="69"/>
        <v>164134845</v>
      </c>
      <c r="AJ65" s="153">
        <f t="shared" si="69"/>
        <v>215142300</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+IF(OCTUBRE!A66=0,"",OCTUBRE!A66)</f>
        <v>1130114</v>
      </c>
      <c r="B66" s="45" t="str">
        <f>+IF(OCTUBRE!B66=0,"",OCTUBRE!B66)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+IF(OCTUBRE!S66=0,"",OCTUBRE!S66)</f>
        <v>1020101</v>
      </c>
      <c r="T66" s="159" t="str">
        <f>+IF(OCTUBRE!T66=0,"",OCTUBRE!T66)</f>
        <v>Sueldos del Personal de nómina</v>
      </c>
      <c r="U66" s="29">
        <f>+ENERO!U66</f>
        <v>901111176</v>
      </c>
      <c r="V66" s="17">
        <f>OCTUBRE!V66+NOVIEMBRE!AL66</f>
        <v>0</v>
      </c>
      <c r="W66" s="17">
        <f>OCTUBRE!W66+NOVIEMBRE!AM66</f>
        <v>0</v>
      </c>
      <c r="X66" s="20">
        <f>SUM(U66:W66)</f>
        <v>901111176</v>
      </c>
      <c r="Y66" s="21">
        <f>OCTUBRE!AA66</f>
        <v>768438537</v>
      </c>
      <c r="Z66" s="457">
        <v>83482744</v>
      </c>
      <c r="AA66" s="20">
        <f>SUM(Y66:Z66)</f>
        <v>851921281</v>
      </c>
      <c r="AB66" s="21">
        <f>OCTUBRE!AD66</f>
        <v>768438537</v>
      </c>
      <c r="AC66" s="457">
        <v>83482744</v>
      </c>
      <c r="AD66" s="20">
        <f>SUM(AB66:AC66)</f>
        <v>851921281</v>
      </c>
      <c r="AE66" s="21">
        <f>OCTUBRE!AG66</f>
        <v>747412343</v>
      </c>
      <c r="AF66" s="457">
        <v>71997614</v>
      </c>
      <c r="AG66" s="20">
        <f>SUM(AE66:AF66)</f>
        <v>819409957</v>
      </c>
      <c r="AH66" s="21">
        <f>X66-AA66</f>
        <v>49189895</v>
      </c>
      <c r="AI66" s="17">
        <f>X66-AD66</f>
        <v>49189895</v>
      </c>
      <c r="AJ66" s="18">
        <f>X66-AG66</f>
        <v>81701219</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+IF(OCTUBRE!A67=0,"",OCTUBRE!A67)</f>
        <v>1130114-1</v>
      </c>
      <c r="B67" s="189" t="str">
        <f>+CONCATENATE("Vigencia ",INSTRUCCIONES!$F$3)</f>
        <v>Vigencia 2014</v>
      </c>
      <c r="C67" s="456">
        <f>+ENERO!C67</f>
        <v>0</v>
      </c>
      <c r="D67" s="456">
        <f>OCTUBRE!D67+NOVIEMBRE!P67</f>
        <v>0</v>
      </c>
      <c r="E67" s="456">
        <f>OCTUBRE!E67+NOVIEMBRE!Q67</f>
        <v>0</v>
      </c>
      <c r="F67" s="170">
        <f>SUM(C67:E67)</f>
        <v>0</v>
      </c>
      <c r="G67" s="283">
        <f>OCTUBRE!I67</f>
        <v>0</v>
      </c>
      <c r="H67" s="457">
        <v>0</v>
      </c>
      <c r="I67" s="170">
        <f>SUM(G67:H67)</f>
        <v>0</v>
      </c>
      <c r="J67" s="283">
        <f>OCTUBRE!L67</f>
        <v>0</v>
      </c>
      <c r="K67" s="457">
        <v>0</v>
      </c>
      <c r="L67" s="170">
        <f>SUM(J67:K67)</f>
        <v>0</v>
      </c>
      <c r="M67" s="283">
        <f>F67-I67</f>
        <v>0</v>
      </c>
      <c r="N67" s="170">
        <f>F67-L67</f>
        <v>0</v>
      </c>
      <c r="O67" s="467"/>
      <c r="P67" s="455">
        <v>0</v>
      </c>
      <c r="Q67" s="458">
        <v>0</v>
      </c>
      <c r="R67" s="10"/>
      <c r="S67" s="155">
        <f>+IF(OCTUBRE!S67=0,"",OCTUBRE!S67)</f>
        <v>1020102</v>
      </c>
      <c r="T67" s="159" t="str">
        <f>+IF(OCTUBRE!T67=0,"",OCTUBRE!T67)</f>
        <v>Horas Extras,Dominic.,Festivos y Rec. Nocturnos</v>
      </c>
      <c r="U67" s="29">
        <f>+ENERO!U67</f>
        <v>116857377</v>
      </c>
      <c r="V67" s="17">
        <f>OCTUBRE!V67+NOVIEMBRE!AL67</f>
        <v>0</v>
      </c>
      <c r="W67" s="17">
        <f>OCTUBRE!W67+NOVIEMBRE!AM67</f>
        <v>0</v>
      </c>
      <c r="X67" s="20">
        <f>SUM(U67:W67)</f>
        <v>116857377</v>
      </c>
      <c r="Y67" s="21">
        <f>OCTUBRE!AA67</f>
        <v>77042949</v>
      </c>
      <c r="Z67" s="457">
        <v>7729960</v>
      </c>
      <c r="AA67" s="20">
        <f>SUM(Y67:Z67)</f>
        <v>84772909</v>
      </c>
      <c r="AB67" s="21">
        <f>OCTUBRE!AD67</f>
        <v>77042949</v>
      </c>
      <c r="AC67" s="457">
        <v>7729960</v>
      </c>
      <c r="AD67" s="20">
        <f>SUM(AB67:AC67)</f>
        <v>84772909</v>
      </c>
      <c r="AE67" s="21">
        <f>OCTUBRE!AG67</f>
        <v>75931461</v>
      </c>
      <c r="AF67" s="457">
        <v>7669641</v>
      </c>
      <c r="AG67" s="20">
        <f>SUM(AE67:AF67)</f>
        <v>83601102</v>
      </c>
      <c r="AH67" s="21">
        <f>X67-AA67</f>
        <v>32084468</v>
      </c>
      <c r="AI67" s="17">
        <f>X67-AD67</f>
        <v>32084468</v>
      </c>
      <c r="AJ67" s="18">
        <f>X67-AG67</f>
        <v>33256275</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+IF(OCTUBRE!A68=0,"",OCTUBRE!A68)</f>
        <v>1130114-2</v>
      </c>
      <c r="B68" s="189" t="str">
        <f>+IF(OCTUBRE!B68=0,"",OCTUBRE!B68)</f>
        <v>Vigencias Anteriores</v>
      </c>
      <c r="C68" s="456">
        <f>+ENERO!C68</f>
        <v>0</v>
      </c>
      <c r="D68" s="456">
        <f>OCTUBRE!D68+NOVIEMBRE!P68</f>
        <v>0</v>
      </c>
      <c r="E68" s="456">
        <f>OCTUBRE!E68+NOVIEMBRE!Q68</f>
        <v>0</v>
      </c>
      <c r="F68" s="170">
        <f>SUM(C68:E68)</f>
        <v>0</v>
      </c>
      <c r="G68" s="283">
        <f>OCTUBRE!I68</f>
        <v>0</v>
      </c>
      <c r="H68" s="457">
        <v>0</v>
      </c>
      <c r="I68" s="170">
        <f>SUM(G68:H68)</f>
        <v>0</v>
      </c>
      <c r="J68" s="283">
        <f>OCTUBRE!L68</f>
        <v>0</v>
      </c>
      <c r="K68" s="457">
        <v>0</v>
      </c>
      <c r="L68" s="170">
        <f>SUM(J68:K68)</f>
        <v>0</v>
      </c>
      <c r="M68" s="283">
        <f>F68-I68</f>
        <v>0</v>
      </c>
      <c r="N68" s="170">
        <f>F68-L68</f>
        <v>0</v>
      </c>
      <c r="O68" s="467"/>
      <c r="P68" s="455">
        <v>0</v>
      </c>
      <c r="Q68" s="458">
        <v>0</v>
      </c>
      <c r="R68" s="10"/>
      <c r="S68" s="155">
        <f>+IF(OCTUBRE!S68=0,"",OCTUBRE!S68)</f>
        <v>1020103</v>
      </c>
      <c r="T68" s="159" t="str">
        <f>+IF(OCTUBRE!T68=0,"",OCTUBRE!T68)</f>
        <v>Prima Técnica</v>
      </c>
      <c r="U68" s="29">
        <f>+ENERO!U68</f>
        <v>0</v>
      </c>
      <c r="V68" s="17">
        <f>OCTUBRE!V68+NOVIEMBRE!AL68</f>
        <v>0</v>
      </c>
      <c r="W68" s="17">
        <f>OCTUBRE!W68+NOVIEMBRE!AM68</f>
        <v>0</v>
      </c>
      <c r="X68" s="20">
        <f>SUM(U68:W68)</f>
        <v>0</v>
      </c>
      <c r="Y68" s="21">
        <f>OCTUBRE!AA68</f>
        <v>0</v>
      </c>
      <c r="Z68" s="457">
        <v>0</v>
      </c>
      <c r="AA68" s="20">
        <f>SUM(Y68:Z68)</f>
        <v>0</v>
      </c>
      <c r="AB68" s="21">
        <f>OCTUBRE!AD68</f>
        <v>0</v>
      </c>
      <c r="AC68" s="457">
        <v>0</v>
      </c>
      <c r="AD68" s="20">
        <f>SUM(AB68:AC68)</f>
        <v>0</v>
      </c>
      <c r="AE68" s="21">
        <f>OCTUBRE!AG68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+IF(OCTUBRE!A69=0,"",OCTUBRE!A69)</f>
        <v>1130115</v>
      </c>
      <c r="B69" s="45" t="str">
        <f>+IF(OCTUBRE!B69=0,"",OCTUBRE!B69)</f>
        <v>ENTIDADES DE REGIMEN ESPECIAL (Magisterio, Fuerza Pca.)</v>
      </c>
      <c r="C69" s="53">
        <f t="shared" ref="C69:N69" si="71">SUM(C70:C71)</f>
        <v>111446544</v>
      </c>
      <c r="D69" s="53">
        <f t="shared" si="71"/>
        <v>0</v>
      </c>
      <c r="E69" s="53">
        <f t="shared" si="71"/>
        <v>0</v>
      </c>
      <c r="F69" s="54">
        <f t="shared" si="71"/>
        <v>111446544</v>
      </c>
      <c r="G69" s="52">
        <f t="shared" si="71"/>
        <v>96469647</v>
      </c>
      <c r="H69" s="53">
        <f t="shared" si="71"/>
        <v>4156518</v>
      </c>
      <c r="I69" s="54">
        <f t="shared" si="71"/>
        <v>100626165</v>
      </c>
      <c r="J69" s="52">
        <f t="shared" si="71"/>
        <v>65207278</v>
      </c>
      <c r="K69" s="53">
        <f t="shared" si="71"/>
        <v>5249604</v>
      </c>
      <c r="L69" s="54">
        <f t="shared" si="71"/>
        <v>70456882</v>
      </c>
      <c r="M69" s="52">
        <f t="shared" si="71"/>
        <v>10820379</v>
      </c>
      <c r="N69" s="54">
        <f t="shared" si="71"/>
        <v>40989662</v>
      </c>
      <c r="P69" s="52">
        <f>SUM(P70:P71)</f>
        <v>0</v>
      </c>
      <c r="Q69" s="54">
        <f>SUM(Q70:Q71)</f>
        <v>0</v>
      </c>
      <c r="R69" s="10"/>
      <c r="S69" s="155">
        <f>+IF(OCTUBRE!S69=0,"",OCTUBRE!S69)</f>
        <v>1020104</v>
      </c>
      <c r="T69" s="159" t="str">
        <f>+IF(OCTUBRE!T69=0,"",OCTUBRE!T69)</f>
        <v>Otros</v>
      </c>
      <c r="U69" s="29">
        <f t="shared" ref="U69:AJ69" si="72">SUM(U70:U80)</f>
        <v>130781064</v>
      </c>
      <c r="V69" s="17">
        <f t="shared" si="72"/>
        <v>0</v>
      </c>
      <c r="W69" s="17">
        <f t="shared" si="72"/>
        <v>5000000</v>
      </c>
      <c r="X69" s="20">
        <f t="shared" si="72"/>
        <v>135781064</v>
      </c>
      <c r="Y69" s="21">
        <f t="shared" si="72"/>
        <v>39754635</v>
      </c>
      <c r="Z69" s="169">
        <f t="shared" si="72"/>
        <v>13630947</v>
      </c>
      <c r="AA69" s="20">
        <f t="shared" si="72"/>
        <v>53385582</v>
      </c>
      <c r="AB69" s="21">
        <f t="shared" si="72"/>
        <v>39754635</v>
      </c>
      <c r="AC69" s="169">
        <f t="shared" si="72"/>
        <v>13630947</v>
      </c>
      <c r="AD69" s="20">
        <f t="shared" si="72"/>
        <v>53385582</v>
      </c>
      <c r="AE69" s="21">
        <f t="shared" si="72"/>
        <v>30227276</v>
      </c>
      <c r="AF69" s="169">
        <f t="shared" si="72"/>
        <v>5833982</v>
      </c>
      <c r="AG69" s="20">
        <f t="shared" si="72"/>
        <v>36061258</v>
      </c>
      <c r="AH69" s="21">
        <f t="shared" si="72"/>
        <v>82395482</v>
      </c>
      <c r="AI69" s="17">
        <f t="shared" si="72"/>
        <v>82395482</v>
      </c>
      <c r="AJ69" s="18">
        <f t="shared" si="72"/>
        <v>99719806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+IF(OCTUBRE!A70=0,"",OCTUBRE!A70)</f>
        <v>1130115-1</v>
      </c>
      <c r="B70" s="189" t="str">
        <f>+CONCATENATE("Vigencia ",INSTRUCCIONES!$F$3)</f>
        <v>Vigencia 2014</v>
      </c>
      <c r="C70" s="456">
        <f>+ENERO!C70</f>
        <v>75639118</v>
      </c>
      <c r="D70" s="456">
        <f>OCTUBRE!D70+NOVIEMBRE!P70</f>
        <v>0</v>
      </c>
      <c r="E70" s="456">
        <f>OCTUBRE!E70+NOVIEMBRE!Q70</f>
        <v>0</v>
      </c>
      <c r="F70" s="170">
        <f>SUM(C70:E70)</f>
        <v>75639118</v>
      </c>
      <c r="G70" s="283">
        <f>OCTUBRE!I70</f>
        <v>45439665</v>
      </c>
      <c r="H70" s="457">
        <v>4156518</v>
      </c>
      <c r="I70" s="170">
        <f>SUM(G70:H70)</f>
        <v>49596183</v>
      </c>
      <c r="J70" s="283">
        <f>OCTUBRE!L70</f>
        <v>14177296</v>
      </c>
      <c r="K70" s="457">
        <v>5249604</v>
      </c>
      <c r="L70" s="170">
        <f>SUM(J70:K70)</f>
        <v>19426900</v>
      </c>
      <c r="M70" s="283">
        <f>F70-I70</f>
        <v>26042935</v>
      </c>
      <c r="N70" s="170">
        <f>F70-L70</f>
        <v>56212218</v>
      </c>
      <c r="O70" s="467"/>
      <c r="P70" s="455">
        <v>0</v>
      </c>
      <c r="Q70" s="458">
        <v>0</v>
      </c>
      <c r="R70" s="10"/>
      <c r="S70" s="156" t="str">
        <f>+IF(OCTUBRE!S70=0,"",OCTUBRE!S70)</f>
        <v>1020104-1</v>
      </c>
      <c r="T70" s="55" t="str">
        <f>+IF(OCTUBRE!T70=0,"",OCTUBRE!T70)</f>
        <v xml:space="preserve">Prima de Navidad </v>
      </c>
      <c r="U70" s="29">
        <f>+ENERO!U70</f>
        <v>78694383</v>
      </c>
      <c r="V70" s="17">
        <f>OCTUBRE!V70+NOVIEMBRE!AL70</f>
        <v>0</v>
      </c>
      <c r="W70" s="17">
        <f>OCTUBRE!W70+NOVIEMBRE!AM70</f>
        <v>5000000</v>
      </c>
      <c r="X70" s="20">
        <f t="shared" ref="X70:X81" si="73">SUM(U70:W70)</f>
        <v>83694383</v>
      </c>
      <c r="Y70" s="21">
        <f>OCTUBRE!AA70</f>
        <v>6426065</v>
      </c>
      <c r="Z70" s="457">
        <v>5496929</v>
      </c>
      <c r="AA70" s="20">
        <f t="shared" ref="AA70:AA81" si="74">SUM(Y70:Z70)</f>
        <v>11922994</v>
      </c>
      <c r="AB70" s="21">
        <f>OCTUBRE!AD70</f>
        <v>6426065</v>
      </c>
      <c r="AC70" s="457">
        <v>5496929</v>
      </c>
      <c r="AD70" s="20">
        <f t="shared" ref="AD70:AD81" si="75">SUM(AB70:AC70)</f>
        <v>11922994</v>
      </c>
      <c r="AE70" s="21">
        <f>OCTUBRE!AG70</f>
        <v>1199797</v>
      </c>
      <c r="AF70" s="457">
        <v>1208261</v>
      </c>
      <c r="AG70" s="20">
        <f t="shared" ref="AG70:AG81" si="76">SUM(AE70:AF70)</f>
        <v>2408058</v>
      </c>
      <c r="AH70" s="21">
        <f t="shared" ref="AH70:AH81" si="77">X70-AA70</f>
        <v>71771389</v>
      </c>
      <c r="AI70" s="17">
        <f t="shared" ref="AI70:AI81" si="78">X70-AD70</f>
        <v>71771389</v>
      </c>
      <c r="AJ70" s="18">
        <f t="shared" ref="AJ70:AJ81" si="79">X70-AG70</f>
        <v>81286325</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+IF(OCTUBRE!A71=0,"",OCTUBRE!A71)</f>
        <v>1130115-2</v>
      </c>
      <c r="B71" s="189" t="str">
        <f>+IF(OCTUBRE!B71=0,"",OCTUBRE!B71)</f>
        <v>Vigencias Anteriores</v>
      </c>
      <c r="C71" s="456">
        <f>+ENERO!C71</f>
        <v>35807426</v>
      </c>
      <c r="D71" s="456">
        <f>OCTUBRE!D71+NOVIEMBRE!P71</f>
        <v>0</v>
      </c>
      <c r="E71" s="456">
        <f>OCTUBRE!E71+NOVIEMBRE!Q71</f>
        <v>0</v>
      </c>
      <c r="F71" s="170">
        <f>SUM(C71:E71)</f>
        <v>35807426</v>
      </c>
      <c r="G71" s="283">
        <f>OCTUBRE!I71</f>
        <v>51029982</v>
      </c>
      <c r="H71" s="457">
        <v>0</v>
      </c>
      <c r="I71" s="170">
        <f>SUM(G71:H71)</f>
        <v>51029982</v>
      </c>
      <c r="J71" s="283">
        <f>OCTUBRE!L71</f>
        <v>51029982</v>
      </c>
      <c r="K71" s="457">
        <v>0</v>
      </c>
      <c r="L71" s="170">
        <f>SUM(J71:K71)</f>
        <v>51029982</v>
      </c>
      <c r="M71" s="283">
        <f>F71-I71</f>
        <v>-15222556</v>
      </c>
      <c r="N71" s="170">
        <f>F71-L71</f>
        <v>-15222556</v>
      </c>
      <c r="O71" s="467"/>
      <c r="P71" s="455">
        <v>0</v>
      </c>
      <c r="Q71" s="458">
        <v>0</v>
      </c>
      <c r="R71" s="10"/>
      <c r="S71" s="156" t="str">
        <f>+IF(OCTUBRE!S71=0,"",OCTUBRE!S71)</f>
        <v>1020104-2</v>
      </c>
      <c r="T71" s="55" t="str">
        <f>+IF(OCTUBRE!T71=0,"",OCTUBRE!T71)</f>
        <v>Prima Vida Cara</v>
      </c>
      <c r="U71" s="29">
        <f>+ENERO!U71</f>
        <v>0</v>
      </c>
      <c r="V71" s="17">
        <f>OCTUBRE!V71+NOVIEMBRE!AL71</f>
        <v>0</v>
      </c>
      <c r="W71" s="17">
        <f>OCTUBRE!W71+NOVIEMBRE!AM71</f>
        <v>0</v>
      </c>
      <c r="X71" s="20">
        <f t="shared" si="73"/>
        <v>0</v>
      </c>
      <c r="Y71" s="21">
        <f>OCTUBRE!AA71</f>
        <v>0</v>
      </c>
      <c r="Z71" s="457">
        <v>0</v>
      </c>
      <c r="AA71" s="20">
        <f t="shared" si="74"/>
        <v>0</v>
      </c>
      <c r="AB71" s="21">
        <f>OCTUBRE!AD71</f>
        <v>0</v>
      </c>
      <c r="AC71" s="457">
        <v>0</v>
      </c>
      <c r="AD71" s="20">
        <f t="shared" si="75"/>
        <v>0</v>
      </c>
      <c r="AE71" s="21">
        <f>OCTUBRE!AG71</f>
        <v>0</v>
      </c>
      <c r="AF71" s="457">
        <v>0</v>
      </c>
      <c r="AG71" s="20">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+IF(OCTUBRE!A72=0,"",OCTUBRE!A72)</f>
        <v>1130116</v>
      </c>
      <c r="B72" s="45" t="str">
        <f>+IF(OCTUBRE!B72=0,"",OCTUBRE!B72)</f>
        <v>ADMINISTRADORAS DE RIESGOS PROFESIONALES</v>
      </c>
      <c r="C72" s="53">
        <f t="shared" ref="C72:N72" si="80">SUM(C73:C74)</f>
        <v>17675457</v>
      </c>
      <c r="D72" s="53">
        <f t="shared" si="80"/>
        <v>0</v>
      </c>
      <c r="E72" s="53">
        <f t="shared" si="80"/>
        <v>0</v>
      </c>
      <c r="F72" s="54">
        <f t="shared" si="80"/>
        <v>17675457</v>
      </c>
      <c r="G72" s="52">
        <f t="shared" si="80"/>
        <v>23028663</v>
      </c>
      <c r="H72" s="53">
        <f t="shared" si="80"/>
        <v>577498</v>
      </c>
      <c r="I72" s="54">
        <f t="shared" si="80"/>
        <v>23606161</v>
      </c>
      <c r="J72" s="52">
        <f t="shared" si="80"/>
        <v>16549040</v>
      </c>
      <c r="K72" s="53">
        <f t="shared" si="80"/>
        <v>2083410</v>
      </c>
      <c r="L72" s="54">
        <f t="shared" si="80"/>
        <v>18632450</v>
      </c>
      <c r="M72" s="52">
        <f t="shared" si="80"/>
        <v>-5930704</v>
      </c>
      <c r="N72" s="54">
        <f t="shared" si="80"/>
        <v>-956993</v>
      </c>
      <c r="P72" s="52">
        <f>SUM(P73:P74)</f>
        <v>0</v>
      </c>
      <c r="Q72" s="54">
        <f>SUM(Q73:Q74)</f>
        <v>0</v>
      </c>
      <c r="R72" s="10"/>
      <c r="S72" s="156" t="str">
        <f>+IF(OCTUBRE!S72=0,"",OCTUBRE!S72)</f>
        <v>1020104-3</v>
      </c>
      <c r="T72" s="55" t="str">
        <f>+IF(OCTUBRE!T72=0,"",OCTUBRE!T72)</f>
        <v>Prima de Vacaciones</v>
      </c>
      <c r="U72" s="29">
        <f>+ENERO!U72</f>
        <v>37546299</v>
      </c>
      <c r="V72" s="17">
        <f>OCTUBRE!V72+NOVIEMBRE!AL72</f>
        <v>0</v>
      </c>
      <c r="W72" s="17">
        <f>OCTUBRE!W72+NOVIEMBRE!AM72</f>
        <v>0</v>
      </c>
      <c r="X72" s="20">
        <f t="shared" si="73"/>
        <v>37546299</v>
      </c>
      <c r="Y72" s="21">
        <f>OCTUBRE!AA72</f>
        <v>21775545</v>
      </c>
      <c r="Z72" s="457">
        <v>6814482</v>
      </c>
      <c r="AA72" s="20">
        <f t="shared" si="74"/>
        <v>28590027</v>
      </c>
      <c r="AB72" s="21">
        <f>OCTUBRE!AD72</f>
        <v>21775545</v>
      </c>
      <c r="AC72" s="457">
        <v>6814482</v>
      </c>
      <c r="AD72" s="20">
        <f t="shared" si="75"/>
        <v>28590027</v>
      </c>
      <c r="AE72" s="21">
        <f>OCTUBRE!AG72</f>
        <v>17980463</v>
      </c>
      <c r="AF72" s="457">
        <v>3718927</v>
      </c>
      <c r="AG72" s="20">
        <f t="shared" si="76"/>
        <v>21699390</v>
      </c>
      <c r="AH72" s="21">
        <f t="shared" si="77"/>
        <v>8956272</v>
      </c>
      <c r="AI72" s="17">
        <f t="shared" si="78"/>
        <v>8956272</v>
      </c>
      <c r="AJ72" s="18">
        <f t="shared" si="79"/>
        <v>15846909</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+IF(OCTUBRE!A73=0,"",OCTUBRE!A73)</f>
        <v>1130116-1</v>
      </c>
      <c r="B73" s="189" t="str">
        <f>+CONCATENATE("Vigencia ",INSTRUCCIONES!$F$3)</f>
        <v>Vigencia 2014</v>
      </c>
      <c r="C73" s="456">
        <f>+ENERO!C73</f>
        <v>13187137</v>
      </c>
      <c r="D73" s="456">
        <f>OCTUBRE!D73+NOVIEMBRE!P73</f>
        <v>0</v>
      </c>
      <c r="E73" s="456">
        <f>OCTUBRE!E73+NOVIEMBRE!Q73</f>
        <v>0</v>
      </c>
      <c r="F73" s="170">
        <f>SUM(C73:E73)</f>
        <v>13187137</v>
      </c>
      <c r="G73" s="283">
        <f>OCTUBRE!I73</f>
        <v>20181498</v>
      </c>
      <c r="H73" s="457">
        <v>577498</v>
      </c>
      <c r="I73" s="170">
        <f>SUM(G73:H73)</f>
        <v>20758996</v>
      </c>
      <c r="J73" s="283">
        <f>OCTUBRE!L73</f>
        <v>13701875</v>
      </c>
      <c r="K73" s="457">
        <v>2083410</v>
      </c>
      <c r="L73" s="170">
        <f>SUM(J73:K73)</f>
        <v>15785285</v>
      </c>
      <c r="M73" s="283">
        <f>F73-I73</f>
        <v>-7571859</v>
      </c>
      <c r="N73" s="170">
        <f>F73-L73</f>
        <v>-2598148</v>
      </c>
      <c r="O73" s="467"/>
      <c r="P73" s="455">
        <v>0</v>
      </c>
      <c r="Q73" s="458">
        <v>0</v>
      </c>
      <c r="R73" s="10"/>
      <c r="S73" s="156" t="str">
        <f>+IF(OCTUBRE!S73=0,"",OCTUBRE!S73)</f>
        <v>1020104-4</v>
      </c>
      <c r="T73" s="55" t="str">
        <f>+IF(OCTUBRE!T73=0,"",OCTUBRE!T73)</f>
        <v>Prima Clima</v>
      </c>
      <c r="U73" s="29">
        <f>+ENERO!U73</f>
        <v>0</v>
      </c>
      <c r="V73" s="17">
        <f>OCTUBRE!V73+NOVIEMBRE!AL73</f>
        <v>0</v>
      </c>
      <c r="W73" s="17">
        <f>OCTUBRE!W73+NOVIEMBRE!AM73</f>
        <v>0</v>
      </c>
      <c r="X73" s="20">
        <f t="shared" si="73"/>
        <v>0</v>
      </c>
      <c r="Y73" s="21">
        <f>OCTUBRE!AA73</f>
        <v>0</v>
      </c>
      <c r="Z73" s="457">
        <v>0</v>
      </c>
      <c r="AA73" s="20">
        <f t="shared" si="74"/>
        <v>0</v>
      </c>
      <c r="AB73" s="21">
        <f>OCTUBRE!AD73</f>
        <v>0</v>
      </c>
      <c r="AC73" s="457">
        <v>0</v>
      </c>
      <c r="AD73" s="20">
        <f t="shared" si="75"/>
        <v>0</v>
      </c>
      <c r="AE73" s="21">
        <f>OCTUBRE!AG73</f>
        <v>0</v>
      </c>
      <c r="AF73" s="457">
        <v>0</v>
      </c>
      <c r="AG73" s="20">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+IF(OCTUBRE!A74=0,"",OCTUBRE!A74)</f>
        <v>1130116-2</v>
      </c>
      <c r="B74" s="189" t="str">
        <f>+IF(OCTUBRE!B74=0,"",OCTUBRE!B74)</f>
        <v>Vigencias Anteriores</v>
      </c>
      <c r="C74" s="456">
        <f>+ENERO!C74</f>
        <v>4488320</v>
      </c>
      <c r="D74" s="456">
        <f>OCTUBRE!D74+NOVIEMBRE!P74</f>
        <v>0</v>
      </c>
      <c r="E74" s="456">
        <f>OCTUBRE!E74+NOVIEMBRE!Q74</f>
        <v>0</v>
      </c>
      <c r="F74" s="170">
        <f>SUM(C74:E74)</f>
        <v>4488320</v>
      </c>
      <c r="G74" s="283">
        <f>OCTUBRE!I74</f>
        <v>2847165</v>
      </c>
      <c r="H74" s="457">
        <v>0</v>
      </c>
      <c r="I74" s="170">
        <f>SUM(G74:H74)</f>
        <v>2847165</v>
      </c>
      <c r="J74" s="283">
        <f>OCTUBRE!L74</f>
        <v>2847165</v>
      </c>
      <c r="K74" s="457">
        <v>0</v>
      </c>
      <c r="L74" s="170">
        <f>SUM(J74:K74)</f>
        <v>2847165</v>
      </c>
      <c r="M74" s="283">
        <f>F74-I74</f>
        <v>1641155</v>
      </c>
      <c r="N74" s="170">
        <f>F74-L74</f>
        <v>1641155</v>
      </c>
      <c r="O74" s="467"/>
      <c r="P74" s="455">
        <v>0</v>
      </c>
      <c r="Q74" s="458">
        <v>0</v>
      </c>
      <c r="R74" s="10"/>
      <c r="S74" s="156" t="str">
        <f>+IF(OCTUBRE!S74=0,"",OCTUBRE!S74)</f>
        <v>1020104-5</v>
      </c>
      <c r="T74" s="55" t="str">
        <f>+IF(OCTUBRE!T74=0,"",OCTUBRE!T74)</f>
        <v>Prima de Servicios</v>
      </c>
      <c r="U74" s="29">
        <f>+ENERO!U74</f>
        <v>5675116</v>
      </c>
      <c r="V74" s="17">
        <f>OCTUBRE!V74+NOVIEMBRE!AL74</f>
        <v>0</v>
      </c>
      <c r="W74" s="17">
        <f>OCTUBRE!W74+NOVIEMBRE!AM74</f>
        <v>0</v>
      </c>
      <c r="X74" s="20">
        <f t="shared" si="73"/>
        <v>5675116</v>
      </c>
      <c r="Y74" s="21">
        <f>OCTUBRE!AA74</f>
        <v>5675116</v>
      </c>
      <c r="Z74" s="457">
        <v>0</v>
      </c>
      <c r="AA74" s="20">
        <f t="shared" si="74"/>
        <v>5675116</v>
      </c>
      <c r="AB74" s="21">
        <f>OCTUBRE!AD74</f>
        <v>5675116</v>
      </c>
      <c r="AC74" s="457">
        <v>0</v>
      </c>
      <c r="AD74" s="20">
        <f t="shared" si="75"/>
        <v>5675116</v>
      </c>
      <c r="AE74" s="21">
        <f>OCTUBRE!AG74</f>
        <v>5675116</v>
      </c>
      <c r="AF74" s="457">
        <v>0</v>
      </c>
      <c r="AG74" s="20">
        <f t="shared" si="76"/>
        <v>5675116</v>
      </c>
      <c r="AH74" s="21">
        <f t="shared" si="77"/>
        <v>0</v>
      </c>
      <c r="AI74" s="17">
        <f t="shared" si="78"/>
        <v>0</v>
      </c>
      <c r="AJ74" s="18">
        <f t="shared" si="79"/>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+IF(OCTUBRE!A75=0,"",OCTUBRE!A75)</f>
        <v>1130117</v>
      </c>
      <c r="B75" s="45" t="str">
        <f>+IF(OCTUBRE!B75=0,"",OCTUBRE!B75)</f>
        <v>CUOTAS DE RECUPERACION</v>
      </c>
      <c r="C75" s="53">
        <f t="shared" ref="C75:N75" si="81">SUM(C76:C77)</f>
        <v>1100000</v>
      </c>
      <c r="D75" s="53">
        <f t="shared" si="81"/>
        <v>0</v>
      </c>
      <c r="E75" s="53">
        <f t="shared" si="81"/>
        <v>31700000</v>
      </c>
      <c r="F75" s="54">
        <f t="shared" si="81"/>
        <v>32800000</v>
      </c>
      <c r="G75" s="52">
        <f t="shared" si="81"/>
        <v>32860005</v>
      </c>
      <c r="H75" s="53">
        <f t="shared" si="81"/>
        <v>0</v>
      </c>
      <c r="I75" s="54">
        <f t="shared" si="81"/>
        <v>32860005</v>
      </c>
      <c r="J75" s="52">
        <f t="shared" si="81"/>
        <v>32880625</v>
      </c>
      <c r="K75" s="53">
        <f t="shared" si="81"/>
        <v>0</v>
      </c>
      <c r="L75" s="54">
        <f t="shared" si="81"/>
        <v>32880625</v>
      </c>
      <c r="M75" s="52">
        <f t="shared" si="81"/>
        <v>-60005</v>
      </c>
      <c r="N75" s="54">
        <f t="shared" si="81"/>
        <v>-80625</v>
      </c>
      <c r="P75" s="52">
        <f>SUM(P76:P77)</f>
        <v>0</v>
      </c>
      <c r="Q75" s="54">
        <f>SUM(Q76:Q77)</f>
        <v>0</v>
      </c>
      <c r="R75" s="10"/>
      <c r="S75" s="156" t="str">
        <f>+IF(OCTUBRE!S75=0,"",OCTUBRE!S75)</f>
        <v>1020104-8</v>
      </c>
      <c r="T75" s="55" t="str">
        <f>+IF(OCTUBRE!T75=0,"",OCTUBRE!T75)</f>
        <v>Bonific. por Servicios Prestados (Convencional)</v>
      </c>
      <c r="U75" s="29">
        <f>+ENERO!U75</f>
        <v>0</v>
      </c>
      <c r="V75" s="17">
        <f>OCTUBRE!V75+NOVIEMBRE!AL75</f>
        <v>0</v>
      </c>
      <c r="W75" s="17">
        <f>OCTUBRE!W75+NOVIEMBRE!AM75</f>
        <v>0</v>
      </c>
      <c r="X75" s="20">
        <f t="shared" si="73"/>
        <v>0</v>
      </c>
      <c r="Y75" s="21">
        <f>OCTUBRE!AA75</f>
        <v>0</v>
      </c>
      <c r="Z75" s="457">
        <v>0</v>
      </c>
      <c r="AA75" s="20">
        <f t="shared" si="74"/>
        <v>0</v>
      </c>
      <c r="AB75" s="21">
        <f>OCTUBRE!AD75</f>
        <v>0</v>
      </c>
      <c r="AC75" s="457">
        <v>0</v>
      </c>
      <c r="AD75" s="20">
        <f t="shared" si="75"/>
        <v>0</v>
      </c>
      <c r="AE75" s="21">
        <f>OCTUBRE!AG75</f>
        <v>0</v>
      </c>
      <c r="AF75" s="457">
        <v>0</v>
      </c>
      <c r="AG75" s="20">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+IF(OCTUBRE!A76=0,"",OCTUBRE!A76)</f>
        <v>1130117-1</v>
      </c>
      <c r="B76" s="189" t="str">
        <f>+CONCATENATE("Vigencia ",INSTRUCCIONES!$F$3)</f>
        <v>Vigencia 2014</v>
      </c>
      <c r="C76" s="456">
        <f>+ENERO!C76</f>
        <v>1100000</v>
      </c>
      <c r="D76" s="456">
        <f>OCTUBRE!D76+NOVIEMBRE!P76</f>
        <v>0</v>
      </c>
      <c r="E76" s="456">
        <f>OCTUBRE!E76+NOVIEMBRE!Q76</f>
        <v>31700000</v>
      </c>
      <c r="F76" s="170">
        <f t="shared" ref="F76:F83" si="82">SUM(C76:E76)</f>
        <v>32800000</v>
      </c>
      <c r="G76" s="283">
        <f>OCTUBRE!I76</f>
        <v>32860005</v>
      </c>
      <c r="H76" s="457">
        <v>0</v>
      </c>
      <c r="I76" s="170">
        <f t="shared" ref="I76:I83" si="83">SUM(G76:H76)</f>
        <v>32860005</v>
      </c>
      <c r="J76" s="283">
        <f>OCTUBRE!L76</f>
        <v>32880625</v>
      </c>
      <c r="K76" s="457">
        <v>0</v>
      </c>
      <c r="L76" s="170">
        <f t="shared" ref="L76:L83" si="84">SUM(J76:K76)</f>
        <v>32880625</v>
      </c>
      <c r="M76" s="283">
        <f t="shared" ref="M76:M83" si="85">F76-I76</f>
        <v>-60005</v>
      </c>
      <c r="N76" s="170">
        <f t="shared" ref="N76:N83" si="86">F76-L76</f>
        <v>-80625</v>
      </c>
      <c r="O76" s="467"/>
      <c r="P76" s="455">
        <v>0</v>
      </c>
      <c r="Q76" s="458">
        <v>0</v>
      </c>
      <c r="R76" s="10"/>
      <c r="S76" s="156" t="str">
        <f>+IF(OCTUBRE!S76=0,"",OCTUBRE!S76)</f>
        <v>1020104-9</v>
      </c>
      <c r="T76" s="55" t="str">
        <f>+IF(OCTUBRE!T76=0,"",OCTUBRE!T76)</f>
        <v>Auxilio de Transporte</v>
      </c>
      <c r="U76" s="29">
        <f>+ENERO!U76</f>
        <v>0</v>
      </c>
      <c r="V76" s="17">
        <f>OCTUBRE!V76+NOVIEMBRE!AL76</f>
        <v>0</v>
      </c>
      <c r="W76" s="17">
        <f>OCTUBRE!W76+NOVIEMBRE!AM76</f>
        <v>0</v>
      </c>
      <c r="X76" s="20">
        <f t="shared" si="73"/>
        <v>0</v>
      </c>
      <c r="Y76" s="21">
        <f>OCTUBRE!AA76</f>
        <v>0</v>
      </c>
      <c r="Z76" s="457">
        <v>0</v>
      </c>
      <c r="AA76" s="20">
        <f t="shared" si="74"/>
        <v>0</v>
      </c>
      <c r="AB76" s="21">
        <f>OCTUBRE!AD76</f>
        <v>0</v>
      </c>
      <c r="AC76" s="457">
        <v>0</v>
      </c>
      <c r="AD76" s="20">
        <f t="shared" si="75"/>
        <v>0</v>
      </c>
      <c r="AE76" s="21">
        <f>OCTUBRE!AG76</f>
        <v>0</v>
      </c>
      <c r="AF76" s="457">
        <v>0</v>
      </c>
      <c r="AG76" s="20">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+IF(OCTUBRE!A77=0,"",OCTUBRE!A77)</f>
        <v>1130117-2</v>
      </c>
      <c r="B77" s="189" t="str">
        <f>+IF(OCTUBRE!B77=0,"",OCTUBRE!B77)</f>
        <v>Vigencias Anteriores</v>
      </c>
      <c r="C77" s="456">
        <f>+ENERO!C77</f>
        <v>0</v>
      </c>
      <c r="D77" s="456">
        <f>OCTUBRE!D77+NOVIEMBRE!P77</f>
        <v>0</v>
      </c>
      <c r="E77" s="456">
        <f>OCTUBRE!E77+NOVIEMBRE!Q77</f>
        <v>0</v>
      </c>
      <c r="F77" s="170">
        <f t="shared" si="82"/>
        <v>0</v>
      </c>
      <c r="G77" s="283">
        <f>OCTUBRE!I77</f>
        <v>0</v>
      </c>
      <c r="H77" s="457">
        <v>0</v>
      </c>
      <c r="I77" s="170">
        <f t="shared" si="83"/>
        <v>0</v>
      </c>
      <c r="J77" s="283">
        <f>OCTUBRE!L77</f>
        <v>0</v>
      </c>
      <c r="K77" s="457">
        <v>0</v>
      </c>
      <c r="L77" s="170">
        <f t="shared" si="84"/>
        <v>0</v>
      </c>
      <c r="M77" s="283">
        <f t="shared" si="85"/>
        <v>0</v>
      </c>
      <c r="N77" s="170">
        <f t="shared" si="86"/>
        <v>0</v>
      </c>
      <c r="O77" s="467"/>
      <c r="P77" s="455">
        <v>0</v>
      </c>
      <c r="Q77" s="458">
        <v>0</v>
      </c>
      <c r="R77" s="10"/>
      <c r="S77" s="156" t="str">
        <f>+IF(OCTUBRE!S77=0,"",OCTUBRE!S77)</f>
        <v>1020104-10</v>
      </c>
      <c r="T77" s="55" t="str">
        <f>+IF(OCTUBRE!T77=0,"",OCTUBRE!T77)</f>
        <v>Subsidio de Alimentación</v>
      </c>
      <c r="U77" s="29">
        <f>+ENERO!U77</f>
        <v>3859093</v>
      </c>
      <c r="V77" s="17">
        <f>OCTUBRE!V77+NOVIEMBRE!AL77</f>
        <v>0</v>
      </c>
      <c r="W77" s="17">
        <f>OCTUBRE!W77+NOVIEMBRE!AM77</f>
        <v>0</v>
      </c>
      <c r="X77" s="20">
        <f t="shared" si="73"/>
        <v>3859093</v>
      </c>
      <c r="Y77" s="21">
        <f>OCTUBRE!AA77</f>
        <v>2979384</v>
      </c>
      <c r="Z77" s="457">
        <v>410938</v>
      </c>
      <c r="AA77" s="20">
        <f t="shared" si="74"/>
        <v>3390322</v>
      </c>
      <c r="AB77" s="21">
        <f>OCTUBRE!AD77</f>
        <v>2979384</v>
      </c>
      <c r="AC77" s="457">
        <v>410938</v>
      </c>
      <c r="AD77" s="20">
        <f t="shared" si="75"/>
        <v>3390322</v>
      </c>
      <c r="AE77" s="21">
        <f>OCTUBRE!AG77</f>
        <v>2979384</v>
      </c>
      <c r="AF77" s="457">
        <v>410938</v>
      </c>
      <c r="AG77" s="20">
        <f t="shared" si="76"/>
        <v>3390322</v>
      </c>
      <c r="AH77" s="21">
        <f t="shared" si="77"/>
        <v>468771</v>
      </c>
      <c r="AI77" s="17">
        <f t="shared" si="78"/>
        <v>468771</v>
      </c>
      <c r="AJ77" s="18">
        <f t="shared" si="79"/>
        <v>468771</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+IF(OCTUBRE!A78=0,"",OCTUBRE!A78)</f>
        <v>1130118</v>
      </c>
      <c r="B78" s="45" t="str">
        <f>+IF(OCTUBRE!B78=0,"",OCTUBRE!B78)</f>
        <v>PARTICULARES   (Venta de Contado)</v>
      </c>
      <c r="C78" s="53">
        <f>SUM(C79:C80)</f>
        <v>81679743</v>
      </c>
      <c r="D78" s="53">
        <f>SUM(D79:D80)</f>
        <v>0</v>
      </c>
      <c r="E78" s="53">
        <f>SUM(E79:E80)</f>
        <v>0</v>
      </c>
      <c r="F78" s="54">
        <f t="shared" si="82"/>
        <v>81679743</v>
      </c>
      <c r="G78" s="52">
        <f>SUM(G79:G80)</f>
        <v>34897048</v>
      </c>
      <c r="H78" s="53">
        <f>SUM(H79:H80)</f>
        <v>5850655</v>
      </c>
      <c r="I78" s="54">
        <f t="shared" si="83"/>
        <v>40747703</v>
      </c>
      <c r="J78" s="52">
        <f>SUM(J79:J80)</f>
        <v>33963700</v>
      </c>
      <c r="K78" s="53">
        <f>SUM(K79:K80)</f>
        <v>26651948</v>
      </c>
      <c r="L78" s="54">
        <f t="shared" si="84"/>
        <v>60615648</v>
      </c>
      <c r="M78" s="52">
        <f t="shared" si="85"/>
        <v>40932040</v>
      </c>
      <c r="N78" s="54">
        <f t="shared" si="86"/>
        <v>21064095</v>
      </c>
      <c r="O78" s="467"/>
      <c r="P78" s="52">
        <f>SUM(P79:P80)</f>
        <v>0</v>
      </c>
      <c r="Q78" s="54">
        <f>SUM(Q79:Q80)</f>
        <v>0</v>
      </c>
      <c r="R78" s="10"/>
      <c r="S78" s="156" t="str">
        <f>+IF(OCTUBRE!S78=0,"",OCTUBRE!S78)</f>
        <v>1020104-12</v>
      </c>
      <c r="T78" s="55" t="str">
        <f>+IF(OCTUBRE!T78=0,"",OCTUBRE!T78)</f>
        <v>Indemnizaciones por Vacaciones o Supresión de Cargos por Reestructuración</v>
      </c>
      <c r="U78" s="29">
        <f>+ENERO!U78</f>
        <v>0</v>
      </c>
      <c r="V78" s="17">
        <f>OCTUBRE!V78+NOVIEMBRE!AL78</f>
        <v>0</v>
      </c>
      <c r="W78" s="17">
        <f>OCTUBRE!W78+NOVIEMBRE!AM78</f>
        <v>0</v>
      </c>
      <c r="X78" s="20">
        <f t="shared" si="73"/>
        <v>0</v>
      </c>
      <c r="Y78" s="21">
        <f>OCTUBRE!AA78</f>
        <v>0</v>
      </c>
      <c r="Z78" s="457">
        <v>0</v>
      </c>
      <c r="AA78" s="20">
        <f t="shared" si="74"/>
        <v>0</v>
      </c>
      <c r="AB78" s="21">
        <f>OCTUBRE!AD78</f>
        <v>0</v>
      </c>
      <c r="AC78" s="457">
        <v>0</v>
      </c>
      <c r="AD78" s="20">
        <f t="shared" si="75"/>
        <v>0</v>
      </c>
      <c r="AE78" s="21">
        <f>OCTUBRE!AG78</f>
        <v>0</v>
      </c>
      <c r="AF78" s="457">
        <v>0</v>
      </c>
      <c r="AG78" s="20">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+IF(OCTUBRE!A79=0,"",OCTUBRE!A79)</f>
        <v>1130118-1</v>
      </c>
      <c r="B79" s="189" t="str">
        <f>+CONCATENATE("Vigencia ",INSTRUCCIONES!$F$3)</f>
        <v>Vigencia 2014</v>
      </c>
      <c r="C79" s="456">
        <f>+ENERO!C79</f>
        <v>81679743</v>
      </c>
      <c r="D79" s="456">
        <f>OCTUBRE!D79+NOVIEMBRE!P79</f>
        <v>0</v>
      </c>
      <c r="E79" s="456">
        <f>OCTUBRE!E79+NOVIEMBRE!Q79</f>
        <v>0</v>
      </c>
      <c r="F79" s="170">
        <f t="shared" si="82"/>
        <v>81679743</v>
      </c>
      <c r="G79" s="283">
        <f>OCTUBRE!I79</f>
        <v>34897048</v>
      </c>
      <c r="H79" s="457">
        <v>5850655</v>
      </c>
      <c r="I79" s="170">
        <f t="shared" si="83"/>
        <v>40747703</v>
      </c>
      <c r="J79" s="283">
        <f>OCTUBRE!L79</f>
        <v>33963700</v>
      </c>
      <c r="K79" s="457">
        <v>26651948</v>
      </c>
      <c r="L79" s="170">
        <f t="shared" si="84"/>
        <v>60615648</v>
      </c>
      <c r="M79" s="283">
        <f t="shared" si="85"/>
        <v>40932040</v>
      </c>
      <c r="N79" s="170">
        <f t="shared" si="86"/>
        <v>21064095</v>
      </c>
      <c r="P79" s="455">
        <v>0</v>
      </c>
      <c r="Q79" s="458">
        <v>0</v>
      </c>
      <c r="R79" s="10"/>
      <c r="S79" s="156" t="str">
        <f>+IF(OCTUBRE!S79=0,"",OCTUBRE!S79)</f>
        <v>1020104-13</v>
      </c>
      <c r="T79" s="55" t="str">
        <f>+IF(OCTUBRE!T79=0,"",OCTUBRE!T79)</f>
        <v>Bonificación Especial por Recreación</v>
      </c>
      <c r="U79" s="29">
        <f>+ENERO!U79</f>
        <v>5006173</v>
      </c>
      <c r="V79" s="17">
        <f>OCTUBRE!V79+NOVIEMBRE!AL79</f>
        <v>0</v>
      </c>
      <c r="W79" s="17">
        <f>OCTUBRE!W79+NOVIEMBRE!AM79</f>
        <v>0</v>
      </c>
      <c r="X79" s="20">
        <f t="shared" si="73"/>
        <v>5006173</v>
      </c>
      <c r="Y79" s="21">
        <f>OCTUBRE!AA79</f>
        <v>2898525</v>
      </c>
      <c r="Z79" s="457">
        <v>908598</v>
      </c>
      <c r="AA79" s="20">
        <f t="shared" si="74"/>
        <v>3807123</v>
      </c>
      <c r="AB79" s="21">
        <f>OCTUBRE!AD79</f>
        <v>2898525</v>
      </c>
      <c r="AC79" s="457">
        <v>908598</v>
      </c>
      <c r="AD79" s="20">
        <f t="shared" si="75"/>
        <v>3807123</v>
      </c>
      <c r="AE79" s="21">
        <f>OCTUBRE!AG79</f>
        <v>2392516</v>
      </c>
      <c r="AF79" s="457">
        <v>495856</v>
      </c>
      <c r="AG79" s="20">
        <f t="shared" si="76"/>
        <v>2888372</v>
      </c>
      <c r="AH79" s="21">
        <f t="shared" si="77"/>
        <v>1199050</v>
      </c>
      <c r="AI79" s="17">
        <f t="shared" si="78"/>
        <v>1199050</v>
      </c>
      <c r="AJ79" s="18">
        <f t="shared" si="79"/>
        <v>2117801</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+IF(OCTUBRE!A80=0,"",OCTUBRE!A80)</f>
        <v>1130118-2</v>
      </c>
      <c r="B80" s="189" t="str">
        <f>+IF(OCTUBRE!B80=0,"",OCTUBRE!B80)</f>
        <v>Vigencias Anteriores</v>
      </c>
      <c r="C80" s="456">
        <f>+ENERO!C80</f>
        <v>0</v>
      </c>
      <c r="D80" s="456">
        <f>OCTUBRE!D80+NOVIEMBRE!P80</f>
        <v>0</v>
      </c>
      <c r="E80" s="456">
        <f>OCTUBRE!E80+NOVIEMBRE!Q80</f>
        <v>0</v>
      </c>
      <c r="F80" s="170">
        <f t="shared" si="82"/>
        <v>0</v>
      </c>
      <c r="G80" s="283">
        <f>OCTUBRE!I80</f>
        <v>0</v>
      </c>
      <c r="H80" s="457">
        <v>0</v>
      </c>
      <c r="I80" s="170">
        <f t="shared" si="83"/>
        <v>0</v>
      </c>
      <c r="J80" s="283">
        <f>OCTUBRE!L80</f>
        <v>0</v>
      </c>
      <c r="K80" s="457">
        <v>0</v>
      </c>
      <c r="L80" s="170">
        <f t="shared" si="84"/>
        <v>0</v>
      </c>
      <c r="M80" s="283">
        <f t="shared" si="85"/>
        <v>0</v>
      </c>
      <c r="N80" s="170">
        <f t="shared" si="86"/>
        <v>0</v>
      </c>
      <c r="O80" s="467"/>
      <c r="P80" s="455">
        <v>0</v>
      </c>
      <c r="Q80" s="458">
        <v>0</v>
      </c>
      <c r="S80" s="156" t="str">
        <f>+IF(OCTUBRE!S80=0,"",OCTUBRE!S80)</f>
        <v>1020104-14</v>
      </c>
      <c r="T80" s="55" t="str">
        <f>+IF(OCTUBRE!T80=0,"",OCTUBRE!T80)</f>
        <v/>
      </c>
      <c r="U80" s="29">
        <f>+ENERO!U80</f>
        <v>0</v>
      </c>
      <c r="V80" s="17">
        <f>OCTUBRE!V80+NOVIEMBRE!AL80</f>
        <v>0</v>
      </c>
      <c r="W80" s="17">
        <f>OCTUBRE!W80+NOVIEMBRE!AM80</f>
        <v>0</v>
      </c>
      <c r="X80" s="20">
        <f t="shared" si="73"/>
        <v>0</v>
      </c>
      <c r="Y80" s="21">
        <f>OCTUBRE!AA80</f>
        <v>0</v>
      </c>
      <c r="Z80" s="457">
        <v>0</v>
      </c>
      <c r="AA80" s="20">
        <f t="shared" si="74"/>
        <v>0</v>
      </c>
      <c r="AB80" s="21">
        <f>OCTUBRE!AD80</f>
        <v>0</v>
      </c>
      <c r="AC80" s="457">
        <v>0</v>
      </c>
      <c r="AD80" s="20">
        <f t="shared" si="75"/>
        <v>0</v>
      </c>
      <c r="AE80" s="21">
        <f>OCTUBRE!AG80</f>
        <v>0</v>
      </c>
      <c r="AF80" s="457">
        <v>0</v>
      </c>
      <c r="AG80" s="20">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+IF(OCTUBRE!A81=0,"",OCTUBRE!A81)</f>
        <v>1130119</v>
      </c>
      <c r="B81" s="45" t="str">
        <f>+IF(OCTUBRE!B81=0,"",OCTUBRE!B81)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+IF(OCTUBRE!S81=0,"",OCTUBRE!S81)</f>
        <v>1020199</v>
      </c>
      <c r="T81" s="159" t="str">
        <f>+IF(OCTUBRE!T81=0,"",OCTUBRE!T81)</f>
        <v>Vigencias Anteriores</v>
      </c>
      <c r="U81" s="29">
        <f>+ENERO!U81</f>
        <v>8738114</v>
      </c>
      <c r="V81" s="17">
        <f>OCTUBRE!V81+NOVIEMBRE!AL81</f>
        <v>5657703</v>
      </c>
      <c r="W81" s="17">
        <f>OCTUBRE!W81+NOVIEMBRE!AM81</f>
        <v>8749212</v>
      </c>
      <c r="X81" s="20">
        <f t="shared" si="73"/>
        <v>23145029</v>
      </c>
      <c r="Y81" s="21">
        <f>OCTUBRE!AA81</f>
        <v>22680029</v>
      </c>
      <c r="Z81" s="457">
        <v>0</v>
      </c>
      <c r="AA81" s="20">
        <f t="shared" si="74"/>
        <v>22680029</v>
      </c>
      <c r="AB81" s="21">
        <f>OCTUBRE!AD81</f>
        <v>22680029</v>
      </c>
      <c r="AC81" s="457">
        <v>0</v>
      </c>
      <c r="AD81" s="20">
        <f t="shared" si="75"/>
        <v>22680029</v>
      </c>
      <c r="AE81" s="21">
        <f>OCTUBRE!AG81</f>
        <v>22680029</v>
      </c>
      <c r="AF81" s="457">
        <v>0</v>
      </c>
      <c r="AG81" s="20">
        <f t="shared" si="76"/>
        <v>22680029</v>
      </c>
      <c r="AH81" s="21">
        <f t="shared" si="77"/>
        <v>465000</v>
      </c>
      <c r="AI81" s="17">
        <f t="shared" si="78"/>
        <v>465000</v>
      </c>
      <c r="AJ81" s="18">
        <f t="shared" si="79"/>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+IF(OCTUBRE!A82=0,"",OCTUBRE!A82)</f>
        <v>1130119-1</v>
      </c>
      <c r="B82" s="189" t="str">
        <f>+CONCATENATE("Vigencia ",INSTRUCCIONES!$F$3)</f>
        <v>Vigencia 2014</v>
      </c>
      <c r="C82" s="456">
        <f>+ENERO!C82</f>
        <v>0</v>
      </c>
      <c r="D82" s="456">
        <f>OCTUBRE!D82+NOVIEMBRE!P82</f>
        <v>0</v>
      </c>
      <c r="E82" s="456">
        <f>OCTUBRE!E82+NOVIEMBRE!Q82</f>
        <v>0</v>
      </c>
      <c r="F82" s="170">
        <f t="shared" si="82"/>
        <v>0</v>
      </c>
      <c r="G82" s="283">
        <f>OCTUBRE!I82</f>
        <v>0</v>
      </c>
      <c r="H82" s="457">
        <v>0</v>
      </c>
      <c r="I82" s="170">
        <f t="shared" si="83"/>
        <v>0</v>
      </c>
      <c r="J82" s="283">
        <f>OCTUBRE!L82</f>
        <v>0</v>
      </c>
      <c r="K82" s="457">
        <v>0</v>
      </c>
      <c r="L82" s="170">
        <f t="shared" si="84"/>
        <v>0</v>
      </c>
      <c r="M82" s="283">
        <f t="shared" si="85"/>
        <v>0</v>
      </c>
      <c r="N82" s="170">
        <f t="shared" si="86"/>
        <v>0</v>
      </c>
      <c r="P82" s="455">
        <v>0</v>
      </c>
      <c r="Q82" s="458">
        <v>0</v>
      </c>
      <c r="R82" s="10"/>
      <c r="S82" s="448" t="str">
        <f>+IF(OCTUBRE!S82=0,"",OCTUBRE!S82)</f>
        <v/>
      </c>
      <c r="T82" s="649" t="str">
        <f>+IF(OCTUBRE!T82=0,"",OCTUBRE!T82)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+IF(OCTUBRE!A83=0,"",OCTUBRE!A83)</f>
        <v>1130119-2</v>
      </c>
      <c r="B83" s="189" t="str">
        <f>+IF(OCTUBRE!B83=0,"",OCTUBRE!B83)</f>
        <v>Vigencias Anteriores</v>
      </c>
      <c r="C83" s="456">
        <f>+ENERO!C83</f>
        <v>0</v>
      </c>
      <c r="D83" s="456">
        <f>OCTUBRE!D83+NOVIEMBRE!P83</f>
        <v>0</v>
      </c>
      <c r="E83" s="456">
        <f>OCTUBRE!E83+NOVIEMBRE!Q83</f>
        <v>0</v>
      </c>
      <c r="F83" s="170">
        <f t="shared" si="82"/>
        <v>0</v>
      </c>
      <c r="G83" s="283">
        <f>OCTUBRE!I83</f>
        <v>0</v>
      </c>
      <c r="H83" s="457">
        <v>0</v>
      </c>
      <c r="I83" s="170">
        <f t="shared" si="83"/>
        <v>0</v>
      </c>
      <c r="J83" s="283">
        <f>OCTUBRE!L83</f>
        <v>0</v>
      </c>
      <c r="K83" s="457">
        <v>0</v>
      </c>
      <c r="L83" s="170">
        <f t="shared" si="84"/>
        <v>0</v>
      </c>
      <c r="M83" s="283">
        <f t="shared" si="85"/>
        <v>0</v>
      </c>
      <c r="N83" s="170">
        <f t="shared" si="86"/>
        <v>0</v>
      </c>
      <c r="P83" s="455">
        <v>0</v>
      </c>
      <c r="Q83" s="458">
        <v>0</v>
      </c>
      <c r="R83" s="10"/>
      <c r="S83" s="34">
        <f>+IF(OCTUBRE!S83=0,"",OCTUBRE!S83)</f>
        <v>1020200</v>
      </c>
      <c r="T83" s="158" t="str">
        <f>+IF(OCTUBRE!T83=0,"",OCTUBRE!T83)</f>
        <v>Servicios Personales Indirectos</v>
      </c>
      <c r="U83" s="157">
        <f t="shared" ref="U83:AJ83" si="88">SUM(U84:U88)</f>
        <v>71000000</v>
      </c>
      <c r="V83" s="144">
        <f t="shared" si="88"/>
        <v>0</v>
      </c>
      <c r="W83" s="144">
        <f t="shared" si="88"/>
        <v>29687311</v>
      </c>
      <c r="X83" s="152">
        <f t="shared" si="88"/>
        <v>100687311</v>
      </c>
      <c r="Y83" s="151">
        <f t="shared" si="88"/>
        <v>37139431</v>
      </c>
      <c r="Z83" s="144">
        <f t="shared" si="88"/>
        <v>8856157</v>
      </c>
      <c r="AA83" s="152">
        <f t="shared" si="88"/>
        <v>45995588</v>
      </c>
      <c r="AB83" s="151">
        <f t="shared" si="88"/>
        <v>37139431</v>
      </c>
      <c r="AC83" s="144">
        <f t="shared" si="88"/>
        <v>8856157</v>
      </c>
      <c r="AD83" s="152">
        <f t="shared" si="88"/>
        <v>45995588</v>
      </c>
      <c r="AE83" s="151">
        <f t="shared" si="88"/>
        <v>33992932</v>
      </c>
      <c r="AF83" s="144">
        <f t="shared" si="88"/>
        <v>8145599</v>
      </c>
      <c r="AG83" s="152">
        <f t="shared" si="88"/>
        <v>42138531</v>
      </c>
      <c r="AH83" s="151">
        <f t="shared" si="88"/>
        <v>54691723</v>
      </c>
      <c r="AI83" s="144">
        <f t="shared" si="88"/>
        <v>54691723</v>
      </c>
      <c r="AJ83" s="153">
        <f t="shared" si="88"/>
        <v>58548780</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+IF(OCTUBRE!A84=0,"",OCTUBRE!A84)</f>
        <v/>
      </c>
      <c r="B84" s="557" t="str">
        <f>+IF(OCTUBRE!B84=0,"",OCTUBRE!B84)</f>
        <v/>
      </c>
      <c r="C84" s="495"/>
      <c r="D84" s="495"/>
      <c r="E84" s="495"/>
      <c r="F84" s="495"/>
      <c r="G84" s="495"/>
      <c r="H84" s="495"/>
      <c r="I84" s="495"/>
      <c r="J84" s="495"/>
      <c r="K84" s="495"/>
      <c r="L84" s="495"/>
      <c r="M84" s="495"/>
      <c r="N84" s="496"/>
      <c r="P84" s="497"/>
      <c r="Q84" s="496"/>
      <c r="R84" s="10"/>
      <c r="S84" s="155" t="str">
        <f>+IF(OCTUBRE!S84=0,"",OCTUBRE!S84)</f>
        <v>1020200-1</v>
      </c>
      <c r="T84" s="159" t="str">
        <f>+IF(OCTUBRE!T84=0,"",OCTUBRE!T84)</f>
        <v>Remuneración y Honorarios por Servicios Técnicos y Profesionales</v>
      </c>
      <c r="U84" s="29">
        <f>+ENERO!U84</f>
        <v>20000000</v>
      </c>
      <c r="V84" s="17">
        <f>OCTUBRE!V84+NOVIEMBRE!AL84</f>
        <v>0</v>
      </c>
      <c r="W84" s="17">
        <f>OCTUBRE!W84+NOVIEMBRE!AM84</f>
        <v>15000000</v>
      </c>
      <c r="X84" s="20">
        <f>SUM(U84:W84)</f>
        <v>35000000</v>
      </c>
      <c r="Y84" s="21">
        <f>OCTUBRE!AA84</f>
        <v>15000000</v>
      </c>
      <c r="Z84" s="457">
        <v>1917766</v>
      </c>
      <c r="AA84" s="20">
        <f>SUM(Y84:Z84)</f>
        <v>16917766</v>
      </c>
      <c r="AB84" s="21">
        <f>OCTUBRE!AD84</f>
        <v>15000000</v>
      </c>
      <c r="AC84" s="457">
        <v>1917766</v>
      </c>
      <c r="AD84" s="20">
        <f>SUM(AB84:AC84)</f>
        <v>16917766</v>
      </c>
      <c r="AE84" s="21">
        <f>OCTUBRE!AG84</f>
        <v>13517532</v>
      </c>
      <c r="AF84" s="457">
        <v>1482468</v>
      </c>
      <c r="AG84" s="20">
        <f>SUM(AE84:AF84)</f>
        <v>15000000</v>
      </c>
      <c r="AH84" s="21">
        <f>X84-AA84</f>
        <v>18082234</v>
      </c>
      <c r="AI84" s="17">
        <f>X84-AD84</f>
        <v>18082234</v>
      </c>
      <c r="AJ84" s="18">
        <f>X84-AG84</f>
        <v>20000000</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+IF(OCTUBRE!A85=0,"",OCTUBRE!A85)</f>
        <v>11302</v>
      </c>
      <c r="B85" s="460" t="str">
        <f>+IF(OCTUBRE!B85=0,"",OCTUBRE!B85)</f>
        <v>Venta de Otros Bienes y Servicios</v>
      </c>
      <c r="C85" s="559">
        <f t="shared" ref="C85:N85" si="89">SUM(C86:C93)</f>
        <v>115179029</v>
      </c>
      <c r="D85" s="559">
        <f t="shared" si="89"/>
        <v>0</v>
      </c>
      <c r="E85" s="559">
        <f t="shared" si="89"/>
        <v>14000000</v>
      </c>
      <c r="F85" s="560">
        <f t="shared" si="89"/>
        <v>129179029</v>
      </c>
      <c r="G85" s="558">
        <f t="shared" si="89"/>
        <v>125285868</v>
      </c>
      <c r="H85" s="559">
        <f t="shared" si="89"/>
        <v>2898921</v>
      </c>
      <c r="I85" s="560">
        <f t="shared" si="89"/>
        <v>128184789</v>
      </c>
      <c r="J85" s="558">
        <f t="shared" si="89"/>
        <v>125285868</v>
      </c>
      <c r="K85" s="559">
        <f t="shared" si="89"/>
        <v>2898921</v>
      </c>
      <c r="L85" s="560">
        <f t="shared" si="89"/>
        <v>128184789</v>
      </c>
      <c r="M85" s="558">
        <f t="shared" si="89"/>
        <v>994240</v>
      </c>
      <c r="N85" s="560">
        <f t="shared" si="89"/>
        <v>994240</v>
      </c>
      <c r="P85" s="52">
        <f>SUM(P86:P93)</f>
        <v>0</v>
      </c>
      <c r="Q85" s="54">
        <f>SUM(Q86:Q93)</f>
        <v>0</v>
      </c>
      <c r="R85" s="10"/>
      <c r="S85" s="155" t="str">
        <f>+IF(OCTUBRE!S85=0,"",OCTUBRE!S85)</f>
        <v>1020200-2</v>
      </c>
      <c r="T85" s="159" t="str">
        <f>+IF(OCTUBRE!T85=0,"",OCTUBRE!T85)</f>
        <v>Personal Supernumerario</v>
      </c>
      <c r="U85" s="29">
        <f>+ENERO!U85</f>
        <v>22000000</v>
      </c>
      <c r="V85" s="17">
        <f>OCTUBRE!V85+NOVIEMBRE!AL85</f>
        <v>0</v>
      </c>
      <c r="W85" s="17">
        <f>OCTUBRE!W85+NOVIEMBRE!AM85</f>
        <v>0</v>
      </c>
      <c r="X85" s="20">
        <f>SUM(U85:W85)</f>
        <v>22000000</v>
      </c>
      <c r="Y85" s="21">
        <f>OCTUBRE!AA85</f>
        <v>4512589</v>
      </c>
      <c r="Z85" s="457">
        <v>0</v>
      </c>
      <c r="AA85" s="20">
        <f>SUM(Y85:Z85)</f>
        <v>4512589</v>
      </c>
      <c r="AB85" s="21">
        <f>OCTUBRE!AD85</f>
        <v>4512589</v>
      </c>
      <c r="AC85" s="457">
        <v>0</v>
      </c>
      <c r="AD85" s="20">
        <f>SUM(AB85:AC85)</f>
        <v>4512589</v>
      </c>
      <c r="AE85" s="21">
        <f>OCTUBRE!AG85</f>
        <v>4512589</v>
      </c>
      <c r="AF85" s="457">
        <v>0</v>
      </c>
      <c r="AG85" s="20">
        <f>SUM(AE85:AF85)</f>
        <v>4512589</v>
      </c>
      <c r="AH85" s="21">
        <f>X85-AA85</f>
        <v>17487411</v>
      </c>
      <c r="AI85" s="17">
        <f>X85-AD85</f>
        <v>17487411</v>
      </c>
      <c r="AJ85" s="18">
        <f>X85-AG85</f>
        <v>17487411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+IF(OCTUBRE!A86=0,"",OCTUBRE!A86)</f>
        <v>1130201</v>
      </c>
      <c r="B86" s="55" t="str">
        <f>+IF(OCTUBRE!B86=0,"",OCTUBRE!B86)</f>
        <v>ARRENDAMIENTO Y ALQUILER DE BIENES MUEBLES E INMUEBLES</v>
      </c>
      <c r="C86" s="456">
        <f>+ENERO!C86</f>
        <v>3552425</v>
      </c>
      <c r="D86" s="456">
        <f>OCTUBRE!D86+NOVIEMBRE!P86</f>
        <v>0</v>
      </c>
      <c r="E86" s="456">
        <f>OCTUBRE!E86+NOVIEMBRE!Q86</f>
        <v>0</v>
      </c>
      <c r="F86" s="170">
        <f t="shared" ref="F86:F92" si="90">SUM(C86:E86)</f>
        <v>3552425</v>
      </c>
      <c r="G86" s="283">
        <f>OCTUBRE!I86</f>
        <v>5925576</v>
      </c>
      <c r="H86" s="457">
        <v>0</v>
      </c>
      <c r="I86" s="170">
        <f t="shared" ref="I86:I92" si="91">SUM(G86:H86)</f>
        <v>5925576</v>
      </c>
      <c r="J86" s="283">
        <f>OCTUBRE!L86</f>
        <v>5925576</v>
      </c>
      <c r="K86" s="457">
        <v>0</v>
      </c>
      <c r="L86" s="170">
        <f t="shared" ref="L86:L92" si="92">SUM(J86:K86)</f>
        <v>5925576</v>
      </c>
      <c r="M86" s="283">
        <f t="shared" ref="M86:M92" si="93">F86-I86</f>
        <v>-2373151</v>
      </c>
      <c r="N86" s="170">
        <f t="shared" ref="N86:N92" si="94">F86-L86</f>
        <v>-2373151</v>
      </c>
      <c r="O86" s="467"/>
      <c r="P86" s="455">
        <v>0</v>
      </c>
      <c r="Q86" s="458">
        <v>0</v>
      </c>
      <c r="S86" s="155" t="str">
        <f>+IF(OCTUBRE!S86=0,"",OCTUBRE!S86)</f>
        <v>1020200-4</v>
      </c>
      <c r="T86" s="159" t="str">
        <f>+IF(OCTUBRE!T86=0,"",OCTUBRE!T86)</f>
        <v>Otros Honorarios (Servicios de Cooperativa)</v>
      </c>
      <c r="U86" s="29">
        <f>+ENERO!U86</f>
        <v>25000000</v>
      </c>
      <c r="V86" s="17">
        <f>OCTUBRE!V86+NOVIEMBRE!AL86</f>
        <v>0</v>
      </c>
      <c r="W86" s="17">
        <f>OCTUBRE!W86+NOVIEMBRE!AM86</f>
        <v>10000000</v>
      </c>
      <c r="X86" s="20">
        <f>SUM(U86:W86)</f>
        <v>35000000</v>
      </c>
      <c r="Y86" s="21">
        <f>OCTUBRE!AA86</f>
        <v>8939531</v>
      </c>
      <c r="Z86" s="457">
        <v>6938391</v>
      </c>
      <c r="AA86" s="20">
        <f>SUM(Y86:Z86)</f>
        <v>15877922</v>
      </c>
      <c r="AB86" s="21">
        <f>OCTUBRE!AD86</f>
        <v>8939531</v>
      </c>
      <c r="AC86" s="457">
        <v>6938391</v>
      </c>
      <c r="AD86" s="20">
        <f>SUM(AB86:AC86)</f>
        <v>15877922</v>
      </c>
      <c r="AE86" s="21">
        <f>OCTUBRE!AG86</f>
        <v>7322800</v>
      </c>
      <c r="AF86" s="457">
        <v>6663131</v>
      </c>
      <c r="AG86" s="20">
        <f>SUM(AE86:AF86)</f>
        <v>13985931</v>
      </c>
      <c r="AH86" s="21">
        <f>X86-AA86</f>
        <v>19122078</v>
      </c>
      <c r="AI86" s="17">
        <f>X86-AD86</f>
        <v>19122078</v>
      </c>
      <c r="AJ86" s="18">
        <f>X86-AG86</f>
        <v>21014069</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+IF(OCTUBRE!A87=0,"",OCTUBRE!A87)</f>
        <v>1130202</v>
      </c>
      <c r="B87" s="55" t="str">
        <f>+IF(OCTUBRE!B87=0,"",OCTUBRE!B87)</f>
        <v>COMERCIALIZACIÓN DE MERCANCÍAS</v>
      </c>
      <c r="C87" s="456">
        <f>+ENERO!C87</f>
        <v>0</v>
      </c>
      <c r="D87" s="456">
        <f>OCTUBRE!D87+NOVIEMBRE!P87</f>
        <v>0</v>
      </c>
      <c r="E87" s="456">
        <f>OCTUBRE!E87+NOVIEMBRE!Q87</f>
        <v>14000000</v>
      </c>
      <c r="F87" s="170">
        <f t="shared" si="90"/>
        <v>14000000</v>
      </c>
      <c r="G87" s="283">
        <f>OCTUBRE!I87</f>
        <v>14286931</v>
      </c>
      <c r="H87" s="457">
        <v>1886821</v>
      </c>
      <c r="I87" s="170">
        <f t="shared" si="91"/>
        <v>16173752</v>
      </c>
      <c r="J87" s="283">
        <f>OCTUBRE!L87</f>
        <v>14286931</v>
      </c>
      <c r="K87" s="457">
        <v>1886821</v>
      </c>
      <c r="L87" s="170">
        <f t="shared" si="92"/>
        <v>16173752</v>
      </c>
      <c r="M87" s="283">
        <f t="shared" si="93"/>
        <v>-2173752</v>
      </c>
      <c r="N87" s="170">
        <f t="shared" si="94"/>
        <v>-2173752</v>
      </c>
      <c r="P87" s="455">
        <v>0</v>
      </c>
      <c r="Q87" s="458">
        <v>0</v>
      </c>
      <c r="R87" s="10"/>
      <c r="S87" s="155" t="str">
        <f>+IF(OCTUBRE!S87=0,"",OCTUBRE!S87)</f>
        <v/>
      </c>
      <c r="T87" s="159" t="str">
        <f>+IF(OCTUBRE!T87=0,"",OCTUBRE!T87)</f>
        <v/>
      </c>
      <c r="U87" s="29">
        <f>+ENERO!U87</f>
        <v>0</v>
      </c>
      <c r="V87" s="17">
        <f>OCTUBRE!V87+NOVIEMBRE!AL87</f>
        <v>0</v>
      </c>
      <c r="W87" s="17">
        <f>OCTUBRE!W87+NOVIEMBRE!AM87</f>
        <v>0</v>
      </c>
      <c r="X87" s="20">
        <f>SUM(U87:W87)</f>
        <v>0</v>
      </c>
      <c r="Y87" s="21">
        <f>OCTUBRE!AA87</f>
        <v>0</v>
      </c>
      <c r="Z87" s="457">
        <v>0</v>
      </c>
      <c r="AA87" s="20">
        <f>SUM(Y87:Z87)</f>
        <v>0</v>
      </c>
      <c r="AB87" s="21">
        <f>OCTUBRE!AD87</f>
        <v>0</v>
      </c>
      <c r="AC87" s="457">
        <v>0</v>
      </c>
      <c r="AD87" s="20">
        <f>SUM(AB87:AC87)</f>
        <v>0</v>
      </c>
      <c r="AE87" s="21">
        <f>OCTUBRE!AG87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+IF(OCTUBRE!A88=0,"",OCTUBRE!A88)</f>
        <v>1130203</v>
      </c>
      <c r="B88" s="55" t="str">
        <f>+IF(OCTUBRE!B88=0,"",OCTUBRE!B88)</f>
        <v>CONVENIOS CON LA NACION LIGADOS A LA VTA DE SERVICIOS</v>
      </c>
      <c r="C88" s="456">
        <f>+ENERO!C88</f>
        <v>0</v>
      </c>
      <c r="D88" s="456">
        <f>OCTUBRE!D88+NOVIEMBRE!P88</f>
        <v>0</v>
      </c>
      <c r="E88" s="456">
        <f>OCTUBRE!E88+NOVIEMBRE!Q88</f>
        <v>0</v>
      </c>
      <c r="F88" s="170">
        <f t="shared" si="90"/>
        <v>0</v>
      </c>
      <c r="G88" s="283">
        <f>OCTUBRE!I88</f>
        <v>0</v>
      </c>
      <c r="H88" s="457">
        <v>0</v>
      </c>
      <c r="I88" s="170">
        <f t="shared" si="91"/>
        <v>0</v>
      </c>
      <c r="J88" s="283">
        <f>OCTUBRE!L88</f>
        <v>0</v>
      </c>
      <c r="K88" s="457">
        <v>0</v>
      </c>
      <c r="L88" s="170">
        <f t="shared" si="92"/>
        <v>0</v>
      </c>
      <c r="M88" s="283">
        <f t="shared" si="93"/>
        <v>0</v>
      </c>
      <c r="N88" s="170">
        <f t="shared" si="94"/>
        <v>0</v>
      </c>
      <c r="P88" s="455">
        <v>0</v>
      </c>
      <c r="Q88" s="458">
        <v>0</v>
      </c>
      <c r="R88" s="10"/>
      <c r="S88" s="155">
        <f>+IF(OCTUBRE!S88=0,"",OCTUBRE!S88)</f>
        <v>1020299</v>
      </c>
      <c r="T88" s="159" t="str">
        <f>+IF(OCTUBRE!T88=0,"",OCTUBRE!T88)</f>
        <v>Vigencias Anteriores</v>
      </c>
      <c r="U88" s="29">
        <f>+ENERO!U88</f>
        <v>4000000</v>
      </c>
      <c r="V88" s="17">
        <f>OCTUBRE!V88+NOVIEMBRE!AL88</f>
        <v>0</v>
      </c>
      <c r="W88" s="17">
        <f>OCTUBRE!W88+NOVIEMBRE!AM88</f>
        <v>4687311</v>
      </c>
      <c r="X88" s="20">
        <f>SUM(U88:W88)</f>
        <v>8687311</v>
      </c>
      <c r="Y88" s="21">
        <f>OCTUBRE!AA88</f>
        <v>8687311</v>
      </c>
      <c r="Z88" s="457">
        <v>0</v>
      </c>
      <c r="AA88" s="20">
        <f>SUM(Y88:Z88)</f>
        <v>8687311</v>
      </c>
      <c r="AB88" s="21">
        <f>OCTUBRE!AD88</f>
        <v>8687311</v>
      </c>
      <c r="AC88" s="457">
        <v>0</v>
      </c>
      <c r="AD88" s="20">
        <f>SUM(AB88:AC88)</f>
        <v>8687311</v>
      </c>
      <c r="AE88" s="21">
        <f>OCTUBRE!AG88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+IF(OCTUBRE!A89=0,"",OCTUBRE!A89)</f>
        <v>1130204</v>
      </c>
      <c r="B89" s="55" t="str">
        <f>+IF(OCTUBRE!B89=0,"",OCTUBRE!B89)</f>
        <v>CONVENIOS CON EL DEPARTAMENTO LIGADOS A LA VTA SERVICIOS</v>
      </c>
      <c r="C89" s="456">
        <f>+ENERO!C89</f>
        <v>0</v>
      </c>
      <c r="D89" s="456">
        <f>OCTUBRE!D89+NOVIEMBRE!P89</f>
        <v>0</v>
      </c>
      <c r="E89" s="456">
        <f>OCTUBRE!E89+NOVIEMBRE!Q89</f>
        <v>0</v>
      </c>
      <c r="F89" s="170">
        <f t="shared" si="90"/>
        <v>0</v>
      </c>
      <c r="G89" s="283">
        <f>OCTUBRE!I89</f>
        <v>0</v>
      </c>
      <c r="H89" s="457">
        <v>0</v>
      </c>
      <c r="I89" s="170">
        <f t="shared" si="91"/>
        <v>0</v>
      </c>
      <c r="J89" s="283">
        <f>OCTUBRE!L89</f>
        <v>0</v>
      </c>
      <c r="K89" s="457">
        <v>0</v>
      </c>
      <c r="L89" s="170">
        <f t="shared" si="92"/>
        <v>0</v>
      </c>
      <c r="M89" s="283">
        <f t="shared" si="93"/>
        <v>0</v>
      </c>
      <c r="N89" s="170">
        <f t="shared" si="94"/>
        <v>0</v>
      </c>
      <c r="P89" s="455">
        <v>0</v>
      </c>
      <c r="Q89" s="458">
        <v>0</v>
      </c>
      <c r="R89" s="10"/>
      <c r="S89" s="448" t="str">
        <f>+IF(OCTUBRE!S89=0,"",OCTUBRE!S89)</f>
        <v/>
      </c>
      <c r="T89" s="649" t="str">
        <f>+IF(OCTUBRE!T89=0,"",OCTUBRE!T89)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+IF(OCTUBRE!A90=0,"",OCTUBRE!A90)</f>
        <v>1130205</v>
      </c>
      <c r="B90" s="55" t="str">
        <f>+IF(OCTUBRE!B90=0,"",OCTUBRE!B90)</f>
        <v>CONVENIOS CON EL MUNICIPIO LIGADOS A LA VTA DE SERVICIOS</v>
      </c>
      <c r="C90" s="456">
        <f>+ENERO!C90</f>
        <v>0</v>
      </c>
      <c r="D90" s="456">
        <f>OCTUBRE!D90+NOVIEMBRE!P90</f>
        <v>0</v>
      </c>
      <c r="E90" s="456">
        <f>OCTUBRE!E90+NOVIEMBRE!Q90</f>
        <v>0</v>
      </c>
      <c r="F90" s="170">
        <f t="shared" si="90"/>
        <v>0</v>
      </c>
      <c r="G90" s="283">
        <f>OCTUBRE!I90</f>
        <v>0</v>
      </c>
      <c r="H90" s="457">
        <v>0</v>
      </c>
      <c r="I90" s="170">
        <f t="shared" si="91"/>
        <v>0</v>
      </c>
      <c r="J90" s="283">
        <f>OCTUBRE!L90</f>
        <v>0</v>
      </c>
      <c r="K90" s="457">
        <v>0</v>
      </c>
      <c r="L90" s="170">
        <f t="shared" si="92"/>
        <v>0</v>
      </c>
      <c r="M90" s="283">
        <f t="shared" si="93"/>
        <v>0</v>
      </c>
      <c r="N90" s="170">
        <f t="shared" si="94"/>
        <v>0</v>
      </c>
      <c r="O90" s="467"/>
      <c r="P90" s="455">
        <v>0</v>
      </c>
      <c r="Q90" s="458">
        <v>0</v>
      </c>
      <c r="R90" s="32"/>
      <c r="S90" s="34">
        <f>+IF(OCTUBRE!S90=0,"",OCTUBRE!S90)</f>
        <v>1020300</v>
      </c>
      <c r="T90" s="158" t="str">
        <f>+IF(OCTUBRE!T90=0,"",OCTUBRE!T90)</f>
        <v>Contribuciones Inherentes nómina al Sector Privado</v>
      </c>
      <c r="U90" s="157">
        <f t="shared" ref="U90:AJ90" si="95">U91+U96+U102</f>
        <v>371241003</v>
      </c>
      <c r="V90" s="144">
        <f t="shared" si="95"/>
        <v>0</v>
      </c>
      <c r="W90" s="144">
        <f t="shared" si="95"/>
        <v>5352587</v>
      </c>
      <c r="X90" s="152">
        <f t="shared" si="95"/>
        <v>376593590</v>
      </c>
      <c r="Y90" s="151">
        <f t="shared" si="95"/>
        <v>273074738</v>
      </c>
      <c r="Z90" s="144">
        <f t="shared" si="95"/>
        <v>23893395</v>
      </c>
      <c r="AA90" s="152">
        <f t="shared" si="95"/>
        <v>296968133</v>
      </c>
      <c r="AB90" s="151">
        <f t="shared" si="95"/>
        <v>273074738</v>
      </c>
      <c r="AC90" s="144">
        <f t="shared" si="95"/>
        <v>23893395</v>
      </c>
      <c r="AD90" s="152">
        <f t="shared" si="95"/>
        <v>296968133</v>
      </c>
      <c r="AE90" s="151">
        <f t="shared" si="95"/>
        <v>256950562</v>
      </c>
      <c r="AF90" s="144">
        <f t="shared" si="95"/>
        <v>26331634</v>
      </c>
      <c r="AG90" s="152">
        <f t="shared" si="95"/>
        <v>283282196</v>
      </c>
      <c r="AH90" s="151">
        <f t="shared" si="95"/>
        <v>79625457</v>
      </c>
      <c r="AI90" s="144">
        <f t="shared" si="95"/>
        <v>79625457</v>
      </c>
      <c r="AJ90" s="153">
        <f t="shared" si="95"/>
        <v>93311394</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+IF(OCTUBRE!A91=0,"",OCTUBRE!A91)</f>
        <v>1130206</v>
      </c>
      <c r="B91" s="55" t="str">
        <f>+IF(OCTUBRE!B91=0,"",OCTUBRE!B91)</f>
        <v>OTROS CONVENIOS LIGADOS A LA VTA DE SERVICIOS</v>
      </c>
      <c r="C91" s="456">
        <f>+ENERO!C91</f>
        <v>0</v>
      </c>
      <c r="D91" s="456">
        <f>OCTUBRE!D91+NOVIEMBRE!P91</f>
        <v>0</v>
      </c>
      <c r="E91" s="456">
        <f>OCTUBRE!E91+NOVIEMBRE!Q91</f>
        <v>0</v>
      </c>
      <c r="F91" s="170">
        <f t="shared" si="90"/>
        <v>0</v>
      </c>
      <c r="G91" s="283">
        <f>OCTUBRE!I91</f>
        <v>0</v>
      </c>
      <c r="H91" s="457">
        <v>0</v>
      </c>
      <c r="I91" s="170">
        <f t="shared" si="91"/>
        <v>0</v>
      </c>
      <c r="J91" s="283">
        <f>OCTUBRE!L91</f>
        <v>0</v>
      </c>
      <c r="K91" s="457">
        <v>0</v>
      </c>
      <c r="L91" s="170">
        <f t="shared" si="92"/>
        <v>0</v>
      </c>
      <c r="M91" s="283">
        <f t="shared" si="93"/>
        <v>0</v>
      </c>
      <c r="N91" s="170">
        <f t="shared" si="94"/>
        <v>0</v>
      </c>
      <c r="O91" s="467"/>
      <c r="P91" s="455">
        <v>0</v>
      </c>
      <c r="Q91" s="458">
        <v>0</v>
      </c>
      <c r="R91" s="32"/>
      <c r="S91" s="155">
        <f>+IF(OCTUBRE!S91=0,"",OCTUBRE!S91)</f>
        <v>1020301</v>
      </c>
      <c r="T91" s="159" t="str">
        <f>+IF(OCTUBRE!T91=0,"",OCTUBRE!T91)</f>
        <v>Contribuciones - Sin Situación de Fondos</v>
      </c>
      <c r="U91" s="29">
        <f t="shared" ref="U91:AJ91" si="96">SUM(U92:U95)</f>
        <v>165265755</v>
      </c>
      <c r="V91" s="17">
        <f t="shared" si="96"/>
        <v>0</v>
      </c>
      <c r="W91" s="17">
        <f t="shared" si="96"/>
        <v>0</v>
      </c>
      <c r="X91" s="20">
        <f t="shared" si="96"/>
        <v>165265755</v>
      </c>
      <c r="Y91" s="21">
        <f t="shared" si="96"/>
        <v>88425495</v>
      </c>
      <c r="Z91" s="169">
        <f t="shared" si="96"/>
        <v>16431795</v>
      </c>
      <c r="AA91" s="20">
        <f t="shared" si="96"/>
        <v>104857290</v>
      </c>
      <c r="AB91" s="21">
        <f t="shared" si="96"/>
        <v>88425495</v>
      </c>
      <c r="AC91" s="169">
        <f t="shared" si="96"/>
        <v>16431795</v>
      </c>
      <c r="AD91" s="20">
        <f t="shared" si="96"/>
        <v>104857290</v>
      </c>
      <c r="AE91" s="21">
        <f t="shared" si="96"/>
        <v>78200394</v>
      </c>
      <c r="AF91" s="169">
        <f t="shared" si="96"/>
        <v>21037734</v>
      </c>
      <c r="AG91" s="20">
        <f t="shared" si="96"/>
        <v>99238128</v>
      </c>
      <c r="AH91" s="21">
        <f t="shared" si="96"/>
        <v>60408465</v>
      </c>
      <c r="AI91" s="17">
        <f t="shared" si="96"/>
        <v>60408465</v>
      </c>
      <c r="AJ91" s="18">
        <f t="shared" si="96"/>
        <v>66027627</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+IF(OCTUBRE!A92=0,"",OCTUBRE!A92)</f>
        <v>1130207</v>
      </c>
      <c r="B92" s="563" t="s">
        <v>482</v>
      </c>
      <c r="C92" s="456">
        <f>+ENERO!C92</f>
        <v>0</v>
      </c>
      <c r="D92" s="456">
        <f>OCTUBRE!D92+NOVIEMBRE!P92</f>
        <v>0</v>
      </c>
      <c r="E92" s="456">
        <f>OCTUBRE!E92+NOVIEMBRE!Q92</f>
        <v>0</v>
      </c>
      <c r="F92" s="170">
        <f t="shared" si="90"/>
        <v>0</v>
      </c>
      <c r="G92" s="283">
        <f>OCTUBRE!I92</f>
        <v>0</v>
      </c>
      <c r="H92" s="457">
        <v>0</v>
      </c>
      <c r="I92" s="170">
        <f t="shared" si="91"/>
        <v>0</v>
      </c>
      <c r="J92" s="283">
        <f>OCTUBRE!L92</f>
        <v>0</v>
      </c>
      <c r="K92" s="457">
        <v>0</v>
      </c>
      <c r="L92" s="170">
        <f t="shared" si="92"/>
        <v>0</v>
      </c>
      <c r="M92" s="283">
        <f t="shared" si="93"/>
        <v>0</v>
      </c>
      <c r="N92" s="170">
        <f t="shared" si="94"/>
        <v>0</v>
      </c>
      <c r="O92" s="467"/>
      <c r="P92" s="455">
        <v>0</v>
      </c>
      <c r="Q92" s="458">
        <v>0</v>
      </c>
      <c r="R92" s="32"/>
      <c r="S92" s="156" t="str">
        <f>+IF(OCTUBRE!S92=0,"",OCTUBRE!S92)</f>
        <v>1020301-1</v>
      </c>
      <c r="T92" s="55" t="str">
        <f>+IF(OCTUBRE!T92=0,"",OCTUBRE!T92)</f>
        <v>Aportes a E.P.S.- Sin sit. Fondos</v>
      </c>
      <c r="U92" s="29">
        <f>+ENERO!U92</f>
        <v>72234575</v>
      </c>
      <c r="V92" s="17">
        <f>OCTUBRE!V92+NOVIEMBRE!AL92</f>
        <v>0</v>
      </c>
      <c r="W92" s="17">
        <f>OCTUBRE!W92+NOVIEMBRE!AM92</f>
        <v>0</v>
      </c>
      <c r="X92" s="20">
        <f>SUM(U92:W92)</f>
        <v>72234575</v>
      </c>
      <c r="Y92" s="21">
        <f>OCTUBRE!AA92</f>
        <v>41193985</v>
      </c>
      <c r="Z92" s="457">
        <v>16431795</v>
      </c>
      <c r="AA92" s="20">
        <f>SUM(Y92:Z92)</f>
        <v>57625780</v>
      </c>
      <c r="AB92" s="21">
        <f>OCTUBRE!AD92</f>
        <v>41193985</v>
      </c>
      <c r="AC92" s="457">
        <v>16431795</v>
      </c>
      <c r="AD92" s="20">
        <f>SUM(AB92:AC92)</f>
        <v>57625780</v>
      </c>
      <c r="AE92" s="21">
        <f>OCTUBRE!AG92</f>
        <v>39059485</v>
      </c>
      <c r="AF92" s="457">
        <v>16743295</v>
      </c>
      <c r="AG92" s="20">
        <f>SUM(AE92:AF92)</f>
        <v>55802780</v>
      </c>
      <c r="AH92" s="21">
        <f>X92-AA92</f>
        <v>14608795</v>
      </c>
      <c r="AI92" s="17">
        <f>X92-AD92</f>
        <v>14608795</v>
      </c>
      <c r="AJ92" s="18">
        <f>X92-AG92</f>
        <v>16431795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+IF(OCTUBRE!A93=0,"",OCTUBRE!A93)</f>
        <v>1130209</v>
      </c>
      <c r="B93" s="170" t="str">
        <f>+IF(OCTUBRE!B93=0,"",OCTUBRE!B93)</f>
        <v>OTROS</v>
      </c>
      <c r="C93" s="172">
        <f t="shared" ref="C93:N93" si="97">SUM(C94:C97)</f>
        <v>111626604</v>
      </c>
      <c r="D93" s="172">
        <f t="shared" si="97"/>
        <v>0</v>
      </c>
      <c r="E93" s="172">
        <f t="shared" si="97"/>
        <v>0</v>
      </c>
      <c r="F93" s="173">
        <f t="shared" si="97"/>
        <v>111626604</v>
      </c>
      <c r="G93" s="171">
        <f t="shared" si="97"/>
        <v>105073361</v>
      </c>
      <c r="H93" s="172">
        <f t="shared" si="97"/>
        <v>1012100</v>
      </c>
      <c r="I93" s="173">
        <f t="shared" si="97"/>
        <v>106085461</v>
      </c>
      <c r="J93" s="171">
        <f t="shared" si="97"/>
        <v>105073361</v>
      </c>
      <c r="K93" s="172">
        <f t="shared" si="97"/>
        <v>1012100</v>
      </c>
      <c r="L93" s="173">
        <f t="shared" si="97"/>
        <v>106085461</v>
      </c>
      <c r="M93" s="171">
        <f t="shared" si="97"/>
        <v>5541143</v>
      </c>
      <c r="N93" s="173">
        <f t="shared" si="97"/>
        <v>5541143</v>
      </c>
      <c r="O93" s="467"/>
      <c r="P93" s="171">
        <f>SUM(P94:P97)</f>
        <v>0</v>
      </c>
      <c r="Q93" s="173">
        <f>SUM(Q94:Q97)</f>
        <v>0</v>
      </c>
      <c r="R93" s="32"/>
      <c r="S93" s="156" t="str">
        <f>+IF(OCTUBRE!S93=0,"",OCTUBRE!S93)</f>
        <v>1020301-2</v>
      </c>
      <c r="T93" s="55" t="str">
        <f>+IF(OCTUBRE!T93=0,"",OCTUBRE!T93)</f>
        <v>Aportes Fondos Pensionales - Sin Sit. Fondos</v>
      </c>
      <c r="U93" s="29">
        <f>+ENERO!U93</f>
        <v>78026691</v>
      </c>
      <c r="V93" s="17">
        <f>OCTUBRE!V93+NOVIEMBRE!AL93</f>
        <v>0</v>
      </c>
      <c r="W93" s="17">
        <f>OCTUBRE!W93+NOVIEMBRE!AM93</f>
        <v>0</v>
      </c>
      <c r="X93" s="20">
        <f>SUM(U93:W93)</f>
        <v>78026691</v>
      </c>
      <c r="Y93" s="21">
        <f>OCTUBRE!AA93</f>
        <v>40879580</v>
      </c>
      <c r="Z93" s="457">
        <v>0</v>
      </c>
      <c r="AA93" s="20">
        <f>SUM(Y93:Z93)</f>
        <v>40879580</v>
      </c>
      <c r="AB93" s="21">
        <f>OCTUBRE!AD93</f>
        <v>40879580</v>
      </c>
      <c r="AC93" s="457">
        <v>0</v>
      </c>
      <c r="AD93" s="20">
        <f>SUM(AB93:AC93)</f>
        <v>40879580</v>
      </c>
      <c r="AE93" s="21">
        <f>OCTUBRE!AG93</f>
        <v>37866080</v>
      </c>
      <c r="AF93" s="457">
        <v>3013500</v>
      </c>
      <c r="AG93" s="20">
        <f>SUM(AE93:AF93)</f>
        <v>40879580</v>
      </c>
      <c r="AH93" s="21">
        <f>X93-AA93</f>
        <v>37147111</v>
      </c>
      <c r="AI93" s="17">
        <f>X93-AD93</f>
        <v>37147111</v>
      </c>
      <c r="AJ93" s="18">
        <f>X93-AG93</f>
        <v>37147111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+IF(OCTUBRE!A94=0,"",OCTUBRE!A94)</f>
        <v>1130209 - 1</v>
      </c>
      <c r="B94" s="58" t="str">
        <f>+IF(OCTUBRE!B94=0,"",OCTUBRE!B94)</f>
        <v>Bienestar Social</v>
      </c>
      <c r="C94" s="456">
        <f>+ENERO!C94</f>
        <v>6347410</v>
      </c>
      <c r="D94" s="456">
        <f>OCTUBRE!D94+NOVIEMBRE!P94</f>
        <v>0</v>
      </c>
      <c r="E94" s="456">
        <f>OCTUBRE!E94+NOVIEMBRE!Q94</f>
        <v>0</v>
      </c>
      <c r="F94" s="170">
        <f>SUM(C94:E94)</f>
        <v>6347410</v>
      </c>
      <c r="G94" s="283">
        <f>OCTUBRE!I94</f>
        <v>0</v>
      </c>
      <c r="H94" s="457">
        <v>0</v>
      </c>
      <c r="I94" s="170">
        <f>SUM(G94:H94)</f>
        <v>0</v>
      </c>
      <c r="J94" s="283">
        <f>OCTUBRE!L94</f>
        <v>0</v>
      </c>
      <c r="K94" s="457">
        <v>0</v>
      </c>
      <c r="L94" s="170">
        <f>SUM(J94:K94)</f>
        <v>0</v>
      </c>
      <c r="M94" s="283">
        <f>F94-I94</f>
        <v>6347410</v>
      </c>
      <c r="N94" s="170">
        <f>F94-L94</f>
        <v>6347410</v>
      </c>
      <c r="O94" s="467"/>
      <c r="P94" s="455">
        <v>0</v>
      </c>
      <c r="Q94" s="458">
        <v>0</v>
      </c>
      <c r="R94" s="32"/>
      <c r="S94" s="156" t="str">
        <f>+IF(OCTUBRE!S94=0,"",OCTUBRE!S94)</f>
        <v>1020301-3</v>
      </c>
      <c r="T94" s="55" t="str">
        <f>+IF(OCTUBRE!T94=0,"",OCTUBRE!T94)</f>
        <v xml:space="preserve">Aportes a Fondos de Cesantia - Sin Sit. de Fondos </v>
      </c>
      <c r="U94" s="29">
        <f>+ENERO!U94</f>
        <v>15004488</v>
      </c>
      <c r="V94" s="17">
        <f>OCTUBRE!V94+NOVIEMBRE!AL94</f>
        <v>0</v>
      </c>
      <c r="W94" s="17">
        <f>OCTUBRE!W94+NOVIEMBRE!AM94</f>
        <v>0</v>
      </c>
      <c r="X94" s="20">
        <f>SUM(U94:W94)</f>
        <v>15004488</v>
      </c>
      <c r="Y94" s="21">
        <f>OCTUBRE!AA94</f>
        <v>6351930</v>
      </c>
      <c r="Z94" s="457">
        <v>0</v>
      </c>
      <c r="AA94" s="20">
        <f>SUM(Y94:Z94)</f>
        <v>6351930</v>
      </c>
      <c r="AB94" s="21">
        <f>OCTUBRE!AD94</f>
        <v>6351930</v>
      </c>
      <c r="AC94" s="457">
        <v>0</v>
      </c>
      <c r="AD94" s="20">
        <f>SUM(AB94:AC94)</f>
        <v>6351930</v>
      </c>
      <c r="AE94" s="21">
        <f>OCTUBRE!AG94</f>
        <v>1274829</v>
      </c>
      <c r="AF94" s="457">
        <v>1280939</v>
      </c>
      <c r="AG94" s="20">
        <f>SUM(AE94:AF94)</f>
        <v>2555768</v>
      </c>
      <c r="AH94" s="21">
        <f>X94-AA94</f>
        <v>8652558</v>
      </c>
      <c r="AI94" s="17">
        <f>X94-AD94</f>
        <v>8652558</v>
      </c>
      <c r="AJ94" s="18">
        <f>X94-AG94</f>
        <v>12448720</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+IF(OCTUBRE!A95=0,"",OCTUBRE!A95)</f>
        <v>1130209 - 2</v>
      </c>
      <c r="B95" s="58" t="str">
        <f>+IF(OCTUBRE!B95=0,"",OCTUBRE!B95)</f>
        <v>Fondo de la Vivienda</v>
      </c>
      <c r="C95" s="456">
        <f>+ENERO!C95</f>
        <v>0</v>
      </c>
      <c r="D95" s="456">
        <f>OCTUBRE!D95+NOVIEMBRE!P95</f>
        <v>0</v>
      </c>
      <c r="E95" s="456">
        <f>OCTUBRE!E95+NOVIEMBRE!Q95</f>
        <v>0</v>
      </c>
      <c r="F95" s="170">
        <f>SUM(C95:E95)</f>
        <v>0</v>
      </c>
      <c r="G95" s="283">
        <f>OCTUBRE!I95</f>
        <v>0</v>
      </c>
      <c r="H95" s="457">
        <v>0</v>
      </c>
      <c r="I95" s="170">
        <f>SUM(G95:H95)</f>
        <v>0</v>
      </c>
      <c r="J95" s="283">
        <f>OCTUBRE!L95</f>
        <v>0</v>
      </c>
      <c r="K95" s="457">
        <v>0</v>
      </c>
      <c r="L95" s="170">
        <f>SUM(J95:K95)</f>
        <v>0</v>
      </c>
      <c r="M95" s="283">
        <f>F95-I95</f>
        <v>0</v>
      </c>
      <c r="N95" s="170">
        <f>F95-L95</f>
        <v>0</v>
      </c>
      <c r="O95" s="467"/>
      <c r="P95" s="455">
        <v>0</v>
      </c>
      <c r="Q95" s="458">
        <v>0</v>
      </c>
      <c r="R95" s="32"/>
      <c r="S95" s="156" t="str">
        <f>+IF(OCTUBRE!S95=0,"",OCTUBRE!S95)</f>
        <v>1020301-4</v>
      </c>
      <c r="T95" s="55" t="str">
        <f>+IF(OCTUBRE!T95=0,"",OCTUBRE!T95)</f>
        <v>Aporte a ARL. - Sin Sit. de Fondos</v>
      </c>
      <c r="U95" s="29">
        <f>+ENERO!U95</f>
        <v>1</v>
      </c>
      <c r="V95" s="17">
        <f>OCTUBRE!V95+NOVIEMBRE!AL95</f>
        <v>0</v>
      </c>
      <c r="W95" s="17">
        <f>OCTUBRE!W95+NOVIEMBRE!AM95</f>
        <v>0</v>
      </c>
      <c r="X95" s="20">
        <f>SUM(U95:W95)</f>
        <v>1</v>
      </c>
      <c r="Y95" s="21">
        <f>OCTUBRE!AA95</f>
        <v>0</v>
      </c>
      <c r="Z95" s="457">
        <v>0</v>
      </c>
      <c r="AA95" s="20">
        <f>SUM(Y95:Z95)</f>
        <v>0</v>
      </c>
      <c r="AB95" s="21">
        <f>OCTUBRE!AD95</f>
        <v>0</v>
      </c>
      <c r="AC95" s="457">
        <v>0</v>
      </c>
      <c r="AD95" s="20">
        <f>SUM(AB95:AC95)</f>
        <v>0</v>
      </c>
      <c r="AE95" s="21">
        <f>OCTUBRE!AG95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+IF(OCTUBRE!A96=0,"",OCTUBRE!A96)</f>
        <v>1130209 - 3</v>
      </c>
      <c r="B96" s="58" t="str">
        <f>+IF(OCTUBRE!B96=0,"",OCTUBRE!B96)</f>
        <v xml:space="preserve">Aprovechamientos </v>
      </c>
      <c r="C96" s="456">
        <f>+ENERO!C96</f>
        <v>105279194</v>
      </c>
      <c r="D96" s="456">
        <f>OCTUBRE!D96+NOVIEMBRE!P96</f>
        <v>0</v>
      </c>
      <c r="E96" s="456">
        <f>OCTUBRE!E96+NOVIEMBRE!Q96</f>
        <v>0</v>
      </c>
      <c r="F96" s="170">
        <f>SUM(C96:E96)</f>
        <v>105279194</v>
      </c>
      <c r="G96" s="283">
        <f>OCTUBRE!I96</f>
        <v>105073361</v>
      </c>
      <c r="H96" s="457">
        <v>1012100</v>
      </c>
      <c r="I96" s="170">
        <f>SUM(G96:H96)</f>
        <v>106085461</v>
      </c>
      <c r="J96" s="283">
        <f>OCTUBRE!L96</f>
        <v>105073361</v>
      </c>
      <c r="K96" s="457">
        <v>1012100</v>
      </c>
      <c r="L96" s="170">
        <f>SUM(J96:K96)</f>
        <v>106085461</v>
      </c>
      <c r="M96" s="283">
        <f>F96-I96</f>
        <v>-806267</v>
      </c>
      <c r="N96" s="170">
        <f>F96-L96</f>
        <v>-806267</v>
      </c>
      <c r="O96" s="467"/>
      <c r="P96" s="455">
        <v>0</v>
      </c>
      <c r="Q96" s="458">
        <v>0</v>
      </c>
      <c r="S96" s="155">
        <f>+IF(OCTUBRE!S96=0,"",OCTUBRE!S96)</f>
        <v>1020302</v>
      </c>
      <c r="T96" s="159" t="str">
        <f>+IF(OCTUBRE!T96=0,"",OCTUBRE!T96)</f>
        <v>Contribuciones - Otros</v>
      </c>
      <c r="U96" s="29">
        <f t="shared" ref="U96:AJ96" si="98">SUM(U97:U101)</f>
        <v>205975248</v>
      </c>
      <c r="V96" s="17">
        <f t="shared" si="98"/>
        <v>0</v>
      </c>
      <c r="W96" s="17">
        <f t="shared" si="98"/>
        <v>0</v>
      </c>
      <c r="X96" s="20">
        <f t="shared" si="98"/>
        <v>205975248</v>
      </c>
      <c r="Y96" s="21">
        <f t="shared" si="98"/>
        <v>179296656</v>
      </c>
      <c r="Z96" s="169">
        <f t="shared" si="98"/>
        <v>7461600</v>
      </c>
      <c r="AA96" s="20">
        <f t="shared" si="98"/>
        <v>186758256</v>
      </c>
      <c r="AB96" s="21">
        <f t="shared" si="98"/>
        <v>179296656</v>
      </c>
      <c r="AC96" s="169">
        <f t="shared" si="98"/>
        <v>7461600</v>
      </c>
      <c r="AD96" s="20">
        <f t="shared" si="98"/>
        <v>186758256</v>
      </c>
      <c r="AE96" s="21">
        <f t="shared" si="98"/>
        <v>173397581</v>
      </c>
      <c r="AF96" s="169">
        <f t="shared" si="98"/>
        <v>5293900</v>
      </c>
      <c r="AG96" s="20">
        <f t="shared" si="98"/>
        <v>178691481</v>
      </c>
      <c r="AH96" s="21">
        <f t="shared" si="98"/>
        <v>19216992</v>
      </c>
      <c r="AI96" s="17">
        <f t="shared" si="98"/>
        <v>19216992</v>
      </c>
      <c r="AJ96" s="18">
        <f t="shared" si="98"/>
        <v>27283767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+IF(OCTUBRE!A97=0,"",OCTUBRE!A97)</f>
        <v>1130209 - 4</v>
      </c>
      <c r="B97" s="219" t="str">
        <f>+IF(OCTUBRE!B97=0,"",OCTUBRE!B97)</f>
        <v>Otros</v>
      </c>
      <c r="C97" s="564">
        <f>+ENERO!C97</f>
        <v>0</v>
      </c>
      <c r="D97" s="564">
        <f>OCTUBRE!D97+NOVIEMBRE!P97</f>
        <v>0</v>
      </c>
      <c r="E97" s="564">
        <f>OCTUBRE!E97+NOVIEMBRE!Q97</f>
        <v>0</v>
      </c>
      <c r="F97" s="565">
        <f>SUM(C97:E97)</f>
        <v>0</v>
      </c>
      <c r="G97" s="566">
        <f>OCTUBRE!I97</f>
        <v>0</v>
      </c>
      <c r="H97" s="475">
        <v>0</v>
      </c>
      <c r="I97" s="565">
        <f>SUM(G97:H97)</f>
        <v>0</v>
      </c>
      <c r="J97" s="566">
        <f>OCTUBRE!L97</f>
        <v>0</v>
      </c>
      <c r="K97" s="475">
        <v>0</v>
      </c>
      <c r="L97" s="565">
        <f>SUM(J97:K97)</f>
        <v>0</v>
      </c>
      <c r="M97" s="566">
        <f>F97-I97</f>
        <v>0</v>
      </c>
      <c r="N97" s="565">
        <f>F97-L97</f>
        <v>0</v>
      </c>
      <c r="O97" s="467"/>
      <c r="P97" s="471">
        <v>0</v>
      </c>
      <c r="Q97" s="476">
        <v>0</v>
      </c>
      <c r="R97" s="32"/>
      <c r="S97" s="156" t="str">
        <f>+IF(OCTUBRE!S97=0,"",OCTUBRE!S97)</f>
        <v>1020302-1</v>
      </c>
      <c r="T97" s="55" t="str">
        <f>+IF(OCTUBRE!T97=0,"",OCTUBRE!T97)</f>
        <v>Aportes a E.P.S.- Con sit. Fondos</v>
      </c>
      <c r="U97" s="29">
        <f>+ENERO!U97</f>
        <v>13794433</v>
      </c>
      <c r="V97" s="17">
        <f>OCTUBRE!V97+NOVIEMBRE!AL97</f>
        <v>0</v>
      </c>
      <c r="W97" s="17">
        <f>OCTUBRE!W97+NOVIEMBRE!AM97</f>
        <v>0</v>
      </c>
      <c r="X97" s="20">
        <f t="shared" ref="X97:X102" si="99">SUM(U97:W97)</f>
        <v>13794433</v>
      </c>
      <c r="Y97" s="21">
        <f>OCTUBRE!AA97</f>
        <v>12193060</v>
      </c>
      <c r="Z97" s="457">
        <v>0</v>
      </c>
      <c r="AA97" s="20">
        <f t="shared" ref="AA97:AA102" si="100">SUM(Y97:Z97)</f>
        <v>12193060</v>
      </c>
      <c r="AB97" s="21">
        <f>OCTUBRE!AD97</f>
        <v>12193060</v>
      </c>
      <c r="AC97" s="457">
        <v>0</v>
      </c>
      <c r="AD97" s="20">
        <f t="shared" ref="AD97:AD102" si="101">SUM(AB97:AC97)</f>
        <v>12193060</v>
      </c>
      <c r="AE97" s="21">
        <f>OCTUBRE!AG97</f>
        <v>12193060</v>
      </c>
      <c r="AF97" s="457">
        <v>0</v>
      </c>
      <c r="AG97" s="20">
        <f t="shared" ref="AG97:AG102" si="102">SUM(AE97:AF97)</f>
        <v>12193060</v>
      </c>
      <c r="AH97" s="21">
        <f t="shared" ref="AH97:AH102" si="103">X97-AA97</f>
        <v>1601373</v>
      </c>
      <c r="AI97" s="17">
        <f t="shared" ref="AI97:AI102" si="104">X97-AD97</f>
        <v>1601373</v>
      </c>
      <c r="AJ97" s="18">
        <f t="shared" ref="AJ97:AJ102" si="105">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+IF(OCTUBRE!S98=0,"",OCTUBRE!S98)</f>
        <v>1020302-2</v>
      </c>
      <c r="T98" s="55" t="str">
        <f>+IF(OCTUBRE!T98=0,"",OCTUBRE!T98)</f>
        <v>Aportes Fondos Pensionales - Con Sit. Fondos</v>
      </c>
      <c r="U98" s="29">
        <f>+ENERO!U98</f>
        <v>43426005</v>
      </c>
      <c r="V98" s="17">
        <f>OCTUBRE!V98+NOVIEMBRE!AL98</f>
        <v>0</v>
      </c>
      <c r="W98" s="17">
        <f>OCTUBRE!W98+NOVIEMBRE!AM98</f>
        <v>0</v>
      </c>
      <c r="X98" s="20">
        <f t="shared" si="99"/>
        <v>43426005</v>
      </c>
      <c r="Y98" s="21">
        <f>OCTUBRE!AA98</f>
        <v>38111173</v>
      </c>
      <c r="Z98" s="457">
        <v>2573700</v>
      </c>
      <c r="AA98" s="20">
        <f t="shared" si="100"/>
        <v>40684873</v>
      </c>
      <c r="AB98" s="21">
        <f>OCTUBRE!AD98</f>
        <v>38111173</v>
      </c>
      <c r="AC98" s="457">
        <v>2573700</v>
      </c>
      <c r="AD98" s="20">
        <f t="shared" si="101"/>
        <v>40684873</v>
      </c>
      <c r="AE98" s="21">
        <f>OCTUBRE!AG98</f>
        <v>38111173</v>
      </c>
      <c r="AF98" s="457">
        <v>0</v>
      </c>
      <c r="AG98" s="20">
        <f t="shared" si="102"/>
        <v>38111173</v>
      </c>
      <c r="AH98" s="21">
        <f t="shared" si="103"/>
        <v>2741132</v>
      </c>
      <c r="AI98" s="17">
        <f t="shared" si="104"/>
        <v>2741132</v>
      </c>
      <c r="AJ98" s="18">
        <f t="shared" si="105"/>
        <v>5314832</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+IF(OCTUBRE!A99=0,"",OCTUBRE!A99)</f>
        <v>11303</v>
      </c>
      <c r="B99" s="570" t="str">
        <f>+IF(OCTUBRE!B99=0,"",OCTUBRE!B99)</f>
        <v>Aportes no ligados a venta servicios de salud</v>
      </c>
      <c r="C99" s="572">
        <f t="shared" ref="C99:N99" si="106">SUM(C100:C106)</f>
        <v>0</v>
      </c>
      <c r="D99" s="572">
        <f t="shared" si="106"/>
        <v>227076373</v>
      </c>
      <c r="E99" s="572">
        <f t="shared" si="106"/>
        <v>25449068</v>
      </c>
      <c r="F99" s="573">
        <f t="shared" si="106"/>
        <v>252525441</v>
      </c>
      <c r="G99" s="571">
        <f t="shared" si="106"/>
        <v>210437868</v>
      </c>
      <c r="H99" s="572">
        <f t="shared" si="106"/>
        <v>21043787</v>
      </c>
      <c r="I99" s="573">
        <f t="shared" si="106"/>
        <v>231481655</v>
      </c>
      <c r="J99" s="571">
        <f t="shared" si="106"/>
        <v>210437868</v>
      </c>
      <c r="K99" s="572">
        <f t="shared" si="106"/>
        <v>21043787</v>
      </c>
      <c r="L99" s="573">
        <f t="shared" si="106"/>
        <v>231481655</v>
      </c>
      <c r="M99" s="571">
        <f t="shared" si="106"/>
        <v>21043786</v>
      </c>
      <c r="N99" s="573">
        <f t="shared" si="106"/>
        <v>21043786</v>
      </c>
      <c r="P99" s="215">
        <f>SUM(P100:P106)</f>
        <v>0</v>
      </c>
      <c r="Q99" s="216">
        <f>SUM(Q100:Q106)</f>
        <v>0</v>
      </c>
      <c r="R99" s="32"/>
      <c r="S99" s="156" t="str">
        <f>+IF(OCTUBRE!S99=0,"",OCTUBRE!S99)</f>
        <v>1020302-3</v>
      </c>
      <c r="T99" s="55" t="str">
        <f>+IF(OCTUBRE!T99=0,"",OCTUBRE!T99)</f>
        <v xml:space="preserve">Aportes a Fondos de Cesantia - Con Sit. de Fondos </v>
      </c>
      <c r="U99" s="29">
        <f>+ENERO!U99</f>
        <v>78984976</v>
      </c>
      <c r="V99" s="17">
        <f>OCTUBRE!V99+NOVIEMBRE!AL99</f>
        <v>0</v>
      </c>
      <c r="W99" s="17">
        <f>OCTUBRE!W99+NOVIEMBRE!AM99</f>
        <v>0</v>
      </c>
      <c r="X99" s="20">
        <f t="shared" si="99"/>
        <v>78984976</v>
      </c>
      <c r="Y99" s="21">
        <f>OCTUBRE!AA99</f>
        <v>77659419</v>
      </c>
      <c r="Z99" s="457">
        <v>0</v>
      </c>
      <c r="AA99" s="20">
        <f t="shared" si="100"/>
        <v>77659419</v>
      </c>
      <c r="AB99" s="21">
        <f>OCTUBRE!AD99</f>
        <v>77659419</v>
      </c>
      <c r="AC99" s="457">
        <v>0</v>
      </c>
      <c r="AD99" s="20">
        <f t="shared" si="101"/>
        <v>77659419</v>
      </c>
      <c r="AE99" s="21">
        <f>OCTUBRE!AG99</f>
        <v>77054244</v>
      </c>
      <c r="AF99" s="457">
        <v>0</v>
      </c>
      <c r="AG99" s="20">
        <f t="shared" si="102"/>
        <v>77054244</v>
      </c>
      <c r="AH99" s="21">
        <f t="shared" si="103"/>
        <v>1325557</v>
      </c>
      <c r="AI99" s="17">
        <f t="shared" si="104"/>
        <v>1325557</v>
      </c>
      <c r="AJ99" s="18">
        <f t="shared" si="105"/>
        <v>1930732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+IF(OCTUBRE!A100=0,"",OCTUBRE!A100)</f>
        <v>11303-1</v>
      </c>
      <c r="B100" s="59" t="str">
        <f>+IF(OCTUBRE!B100=0,"",OCTUBRE!B100)</f>
        <v xml:space="preserve">NACION </v>
      </c>
      <c r="C100" s="574">
        <f>+ENERO!C100</f>
        <v>0</v>
      </c>
      <c r="D100" s="574">
        <f>OCTUBRE!D100+NOVIEMBRE!P100</f>
        <v>0</v>
      </c>
      <c r="E100" s="574">
        <f>OCTUBRE!E100+NOVIEMBRE!Q100</f>
        <v>0</v>
      </c>
      <c r="F100" s="575">
        <f t="shared" ref="F100:F106" si="107">SUM(C100:E100)</f>
        <v>0</v>
      </c>
      <c r="G100" s="576">
        <f>OCTUBRE!I100</f>
        <v>0</v>
      </c>
      <c r="H100" s="457">
        <v>0</v>
      </c>
      <c r="I100" s="575">
        <f t="shared" ref="I100:I106" si="108">SUM(G100:H100)</f>
        <v>0</v>
      </c>
      <c r="J100" s="576">
        <f>OCTUBRE!L100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+IF(OCTUBRE!S100=0,"",OCTUBRE!S100)</f>
        <v>1020302-4</v>
      </c>
      <c r="T100" s="55" t="str">
        <f>+IF(OCTUBRE!T100=0,"",OCTUBRE!T100)</f>
        <v>Aporte a ARL. - Con Sit. de Fondos</v>
      </c>
      <c r="U100" s="29">
        <f>+ENERO!U100</f>
        <v>24654894</v>
      </c>
      <c r="V100" s="17">
        <f>OCTUBRE!V100+NOVIEMBRE!AL100</f>
        <v>0</v>
      </c>
      <c r="W100" s="17">
        <f>OCTUBRE!W100+NOVIEMBRE!AM100</f>
        <v>0</v>
      </c>
      <c r="X100" s="20">
        <f t="shared" si="99"/>
        <v>24654894</v>
      </c>
      <c r="Y100" s="21">
        <f>OCTUBRE!AA100</f>
        <v>20234800</v>
      </c>
      <c r="Z100" s="457">
        <v>2040300</v>
      </c>
      <c r="AA100" s="20">
        <f t="shared" si="100"/>
        <v>22275100</v>
      </c>
      <c r="AB100" s="21">
        <f>OCTUBRE!AD100</f>
        <v>20234800</v>
      </c>
      <c r="AC100" s="457">
        <v>2040300</v>
      </c>
      <c r="AD100" s="20">
        <f t="shared" si="101"/>
        <v>22275100</v>
      </c>
      <c r="AE100" s="21">
        <f>OCTUBRE!AG100</f>
        <v>18091400</v>
      </c>
      <c r="AF100" s="457">
        <v>2143400</v>
      </c>
      <c r="AG100" s="20">
        <f t="shared" si="102"/>
        <v>20234800</v>
      </c>
      <c r="AH100" s="21">
        <f t="shared" si="103"/>
        <v>2379794</v>
      </c>
      <c r="AI100" s="17">
        <f t="shared" si="104"/>
        <v>2379794</v>
      </c>
      <c r="AJ100" s="18">
        <f t="shared" si="105"/>
        <v>4420094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+IF(OCTUBRE!A101=0,"",OCTUBRE!A101)</f>
        <v>11303-2</v>
      </c>
      <c r="B101" s="59" t="str">
        <f>+IF(OCTUBRE!B101=0,"",OCTUBRE!B101)</f>
        <v>DEPARTAMENTO</v>
      </c>
      <c r="C101" s="574">
        <f>+ENERO!C101</f>
        <v>0</v>
      </c>
      <c r="D101" s="574">
        <f>OCTUBRE!D101+NOVIEMBRE!P101</f>
        <v>0</v>
      </c>
      <c r="E101" s="574">
        <f>OCTUBRE!E101+NOVIEMBRE!Q101</f>
        <v>0</v>
      </c>
      <c r="F101" s="575">
        <f t="shared" si="107"/>
        <v>0</v>
      </c>
      <c r="G101" s="576">
        <f>OCTUBRE!I101</f>
        <v>0</v>
      </c>
      <c r="H101" s="457">
        <v>0</v>
      </c>
      <c r="I101" s="575">
        <f t="shared" si="108"/>
        <v>0</v>
      </c>
      <c r="J101" s="576">
        <f>OCTUBRE!L101</f>
        <v>0</v>
      </c>
      <c r="K101" s="457">
        <v>0</v>
      </c>
      <c r="L101" s="575">
        <f t="shared" si="109"/>
        <v>0</v>
      </c>
      <c r="M101" s="576">
        <f t="shared" si="110"/>
        <v>0</v>
      </c>
      <c r="N101" s="575">
        <f t="shared" si="111"/>
        <v>0</v>
      </c>
      <c r="O101" s="562"/>
      <c r="P101" s="455">
        <v>0</v>
      </c>
      <c r="Q101" s="458">
        <v>0</v>
      </c>
      <c r="R101" s="10"/>
      <c r="S101" s="156" t="str">
        <f>+IF(OCTUBRE!S101=0,"",OCTUBRE!S101)</f>
        <v>1020302-5</v>
      </c>
      <c r="T101" s="55" t="str">
        <f>+IF(OCTUBRE!T101=0,"",OCTUBRE!T101)</f>
        <v>Aporte a Caja Compensación Familiar</v>
      </c>
      <c r="U101" s="29">
        <f>+ENERO!U101</f>
        <v>45114940</v>
      </c>
      <c r="V101" s="17">
        <f>OCTUBRE!V101+NOVIEMBRE!AL101</f>
        <v>0</v>
      </c>
      <c r="W101" s="17">
        <f>OCTUBRE!W101+NOVIEMBRE!AM101</f>
        <v>0</v>
      </c>
      <c r="X101" s="20">
        <f t="shared" si="99"/>
        <v>45114940</v>
      </c>
      <c r="Y101" s="21">
        <f>OCTUBRE!AA101</f>
        <v>31098204</v>
      </c>
      <c r="Z101" s="457">
        <v>2847600</v>
      </c>
      <c r="AA101" s="20">
        <f t="shared" si="100"/>
        <v>33945804</v>
      </c>
      <c r="AB101" s="21">
        <f>OCTUBRE!AD101</f>
        <v>31098204</v>
      </c>
      <c r="AC101" s="457">
        <v>2847600</v>
      </c>
      <c r="AD101" s="20">
        <f t="shared" si="101"/>
        <v>33945804</v>
      </c>
      <c r="AE101" s="21">
        <f>OCTUBRE!AG101</f>
        <v>27947704</v>
      </c>
      <c r="AF101" s="457">
        <v>3150500</v>
      </c>
      <c r="AG101" s="20">
        <f t="shared" si="102"/>
        <v>31098204</v>
      </c>
      <c r="AH101" s="21">
        <f t="shared" si="103"/>
        <v>11169136</v>
      </c>
      <c r="AI101" s="17">
        <f t="shared" si="104"/>
        <v>11169136</v>
      </c>
      <c r="AJ101" s="18">
        <f t="shared" si="105"/>
        <v>14016736</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+IF(OCTUBRE!A102=0,"",OCTUBRE!A102)</f>
        <v>11303-3</v>
      </c>
      <c r="B102" s="59" t="str">
        <f>+IF(OCTUBRE!B102=0,"",OCTUBRE!B102)</f>
        <v>MUNICIPIO</v>
      </c>
      <c r="C102" s="574">
        <f>+ENERO!C102</f>
        <v>0</v>
      </c>
      <c r="D102" s="574">
        <f>OCTUBRE!D102+NOVIEMBRE!P102</f>
        <v>0</v>
      </c>
      <c r="E102" s="574">
        <f>OCTUBRE!E102+NOVIEMBRE!Q102</f>
        <v>0</v>
      </c>
      <c r="F102" s="575">
        <f t="shared" si="107"/>
        <v>0</v>
      </c>
      <c r="G102" s="576">
        <f>OCTUBRE!I102</f>
        <v>0</v>
      </c>
      <c r="H102" s="457">
        <v>0</v>
      </c>
      <c r="I102" s="575">
        <f t="shared" si="108"/>
        <v>0</v>
      </c>
      <c r="J102" s="576">
        <f>OCTUBRE!L102</f>
        <v>0</v>
      </c>
      <c r="K102" s="457">
        <v>0</v>
      </c>
      <c r="L102" s="575">
        <f t="shared" si="109"/>
        <v>0</v>
      </c>
      <c r="M102" s="576">
        <f t="shared" si="110"/>
        <v>0</v>
      </c>
      <c r="N102" s="575">
        <f t="shared" si="111"/>
        <v>0</v>
      </c>
      <c r="O102" s="562"/>
      <c r="P102" s="455">
        <v>0</v>
      </c>
      <c r="Q102" s="458">
        <v>0</v>
      </c>
      <c r="R102" s="10"/>
      <c r="S102" s="155">
        <f>+IF(OCTUBRE!S102=0,"",OCTUBRE!S102)</f>
        <v>1020399</v>
      </c>
      <c r="T102" s="159" t="str">
        <f>+IF(OCTUBRE!T102=0,"",OCTUBRE!T102)</f>
        <v>Vigencias Anteriores</v>
      </c>
      <c r="U102" s="29">
        <f>+ENERO!U102</f>
        <v>0</v>
      </c>
      <c r="V102" s="17">
        <f>OCTUBRE!V102+NOVIEMBRE!AL102</f>
        <v>0</v>
      </c>
      <c r="W102" s="17">
        <f>OCTUBRE!W102+NOVIEMBRE!AM102</f>
        <v>5352587</v>
      </c>
      <c r="X102" s="20">
        <f t="shared" si="99"/>
        <v>5352587</v>
      </c>
      <c r="Y102" s="21">
        <f>OCTUBRE!AA102</f>
        <v>5352587</v>
      </c>
      <c r="Z102" s="457">
        <v>0</v>
      </c>
      <c r="AA102" s="20">
        <f t="shared" si="100"/>
        <v>5352587</v>
      </c>
      <c r="AB102" s="21">
        <f>OCTUBRE!AD102</f>
        <v>5352587</v>
      </c>
      <c r="AC102" s="457">
        <v>0</v>
      </c>
      <c r="AD102" s="20">
        <f t="shared" si="101"/>
        <v>5352587</v>
      </c>
      <c r="AE102" s="21">
        <f>OCTUBRE!AG102</f>
        <v>5352587</v>
      </c>
      <c r="AF102" s="457">
        <v>0</v>
      </c>
      <c r="AG102" s="20">
        <f t="shared" si="102"/>
        <v>5352587</v>
      </c>
      <c r="AH102" s="21">
        <f t="shared" si="103"/>
        <v>0</v>
      </c>
      <c r="AI102" s="17">
        <f t="shared" si="104"/>
        <v>0</v>
      </c>
      <c r="AJ102" s="18">
        <f t="shared" si="105"/>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+IF(OCTUBRE!A103=0,"",OCTUBRE!A103)</f>
        <v>11303-4</v>
      </c>
      <c r="B103" s="59" t="str">
        <f>+IF(OCTUBRE!B103=0,"",OCTUBRE!B103)</f>
        <v>CONVENIOS (EMPRESTITO)</v>
      </c>
      <c r="C103" s="574">
        <f>+ENERO!C103</f>
        <v>0</v>
      </c>
      <c r="D103" s="574">
        <f>OCTUBRE!D103+NOVIEMBRE!P103</f>
        <v>0</v>
      </c>
      <c r="E103" s="574">
        <f>OCTUBRE!E103+NOVIEMBRE!Q103</f>
        <v>0</v>
      </c>
      <c r="F103" s="575">
        <f t="shared" si="107"/>
        <v>0</v>
      </c>
      <c r="G103" s="576">
        <f>OCTUBRE!I103</f>
        <v>0</v>
      </c>
      <c r="H103" s="457">
        <v>0</v>
      </c>
      <c r="I103" s="575">
        <f t="shared" si="108"/>
        <v>0</v>
      </c>
      <c r="J103" s="576">
        <f>OCTUBRE!L103</f>
        <v>0</v>
      </c>
      <c r="K103" s="457">
        <v>0</v>
      </c>
      <c r="L103" s="575">
        <f t="shared" si="109"/>
        <v>0</v>
      </c>
      <c r="M103" s="576">
        <f t="shared" si="110"/>
        <v>0</v>
      </c>
      <c r="N103" s="575">
        <f t="shared" si="111"/>
        <v>0</v>
      </c>
      <c r="O103" s="562"/>
      <c r="P103" s="455">
        <v>0</v>
      </c>
      <c r="Q103" s="458">
        <v>0</v>
      </c>
      <c r="R103" s="10"/>
      <c r="S103" s="448" t="str">
        <f>+IF(OCTUBRE!S103=0,"",OCTUBRE!S103)</f>
        <v/>
      </c>
      <c r="T103" s="649" t="str">
        <f>+IF(OCTUBRE!T103=0,"",OCTUBRE!T103)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+IF(OCTUBRE!A104=0,"",OCTUBRE!A104)</f>
        <v>11303-5</v>
      </c>
      <c r="B104" s="59" t="str">
        <f>+IF(OCTUBRE!B104=0,"",OCTUBRE!B104)</f>
        <v>OTROS CONVENIOS</v>
      </c>
      <c r="C104" s="574">
        <f>+ENERO!C104</f>
        <v>0</v>
      </c>
      <c r="D104" s="574">
        <f>OCTUBRE!D104+NOVIEMBRE!P104</f>
        <v>0</v>
      </c>
      <c r="E104" s="574">
        <f>OCTUBRE!E104+NOVIEMBRE!Q104</f>
        <v>0</v>
      </c>
      <c r="F104" s="575">
        <f t="shared" si="107"/>
        <v>0</v>
      </c>
      <c r="G104" s="576">
        <f>OCTUBRE!I104</f>
        <v>0</v>
      </c>
      <c r="H104" s="457">
        <v>0</v>
      </c>
      <c r="I104" s="575">
        <f t="shared" si="108"/>
        <v>0</v>
      </c>
      <c r="J104" s="576">
        <f>OCTUBRE!L104</f>
        <v>0</v>
      </c>
      <c r="K104" s="457">
        <v>0</v>
      </c>
      <c r="L104" s="575">
        <f t="shared" si="109"/>
        <v>0</v>
      </c>
      <c r="M104" s="576">
        <f t="shared" si="110"/>
        <v>0</v>
      </c>
      <c r="N104" s="575">
        <f t="shared" si="111"/>
        <v>0</v>
      </c>
      <c r="O104" s="562"/>
      <c r="P104" s="455">
        <v>0</v>
      </c>
      <c r="Q104" s="458">
        <v>0</v>
      </c>
      <c r="R104" s="10"/>
      <c r="S104" s="34">
        <f>+IF(OCTUBRE!S104=0,"",OCTUBRE!S104)</f>
        <v>1020400</v>
      </c>
      <c r="T104" s="158" t="str">
        <f>+IF(OCTUBRE!T104=0,"",OCTUBRE!T104)</f>
        <v>Contribuciones Inherentes nómina del Sector Publico</v>
      </c>
      <c r="U104" s="157">
        <f t="shared" ref="U104:AJ104" si="112">U105+U108</f>
        <v>56393675</v>
      </c>
      <c r="V104" s="144">
        <f t="shared" si="112"/>
        <v>0</v>
      </c>
      <c r="W104" s="144">
        <f t="shared" si="112"/>
        <v>0</v>
      </c>
      <c r="X104" s="152">
        <f t="shared" si="112"/>
        <v>56393675</v>
      </c>
      <c r="Y104" s="151">
        <f t="shared" si="112"/>
        <v>39578228</v>
      </c>
      <c r="Z104" s="144">
        <f t="shared" si="112"/>
        <v>3558800</v>
      </c>
      <c r="AA104" s="152">
        <f t="shared" si="112"/>
        <v>43137028</v>
      </c>
      <c r="AB104" s="151">
        <f t="shared" si="112"/>
        <v>39578228</v>
      </c>
      <c r="AC104" s="144">
        <f t="shared" si="112"/>
        <v>3558800</v>
      </c>
      <c r="AD104" s="152">
        <f t="shared" si="112"/>
        <v>43137028</v>
      </c>
      <c r="AE104" s="151">
        <f t="shared" si="112"/>
        <v>35641328</v>
      </c>
      <c r="AF104" s="144">
        <f t="shared" si="112"/>
        <v>3936900</v>
      </c>
      <c r="AG104" s="152">
        <f t="shared" si="112"/>
        <v>39578228</v>
      </c>
      <c r="AH104" s="151">
        <f t="shared" si="112"/>
        <v>13256647</v>
      </c>
      <c r="AI104" s="144">
        <f t="shared" si="112"/>
        <v>13256647</v>
      </c>
      <c r="AJ104" s="153">
        <f t="shared" si="112"/>
        <v>16815447</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+IF(OCTUBRE!A105=0,"",OCTUBRE!A105)</f>
        <v>11303-6</v>
      </c>
      <c r="B105" s="59" t="str">
        <f>+IF(OCTUBRE!B105=0,"",OCTUBRE!B105)</f>
        <v>APORTES PATRONALES MUNICIPIO / DEPARTAMENTO</v>
      </c>
      <c r="C105" s="574">
        <f>+ENERO!C105</f>
        <v>0</v>
      </c>
      <c r="D105" s="574">
        <f>OCTUBRE!D105+NOVIEMBRE!P105</f>
        <v>227076373</v>
      </c>
      <c r="E105" s="574">
        <f>OCTUBRE!E105+NOVIEMBRE!Q105</f>
        <v>25449068</v>
      </c>
      <c r="F105" s="575">
        <f t="shared" si="107"/>
        <v>252525441</v>
      </c>
      <c r="G105" s="576">
        <f>OCTUBRE!I105</f>
        <v>210437868</v>
      </c>
      <c r="H105" s="457">
        <v>21043787</v>
      </c>
      <c r="I105" s="575">
        <f t="shared" si="108"/>
        <v>231481655</v>
      </c>
      <c r="J105" s="576">
        <f>OCTUBRE!L105</f>
        <v>210437868</v>
      </c>
      <c r="K105" s="457">
        <v>21043787</v>
      </c>
      <c r="L105" s="575">
        <f t="shared" si="109"/>
        <v>231481655</v>
      </c>
      <c r="M105" s="576">
        <f t="shared" si="110"/>
        <v>21043786</v>
      </c>
      <c r="N105" s="575">
        <f t="shared" si="111"/>
        <v>21043786</v>
      </c>
      <c r="O105" s="562"/>
      <c r="P105" s="455">
        <v>0</v>
      </c>
      <c r="Q105" s="458">
        <v>0</v>
      </c>
      <c r="R105" s="10"/>
      <c r="S105" s="155">
        <f>+IF(OCTUBRE!S105=0,"",OCTUBRE!S105)</f>
        <v>1020402</v>
      </c>
      <c r="T105" s="159" t="str">
        <f>+IF(OCTUBRE!T105=0,"",OCTUBRE!T105)</f>
        <v>Contribuciones - Otros</v>
      </c>
      <c r="U105" s="29">
        <f t="shared" ref="U105:AJ105" si="113">SUM(U106:U107)</f>
        <v>56393675</v>
      </c>
      <c r="V105" s="17">
        <f t="shared" si="113"/>
        <v>0</v>
      </c>
      <c r="W105" s="17">
        <f t="shared" si="113"/>
        <v>0</v>
      </c>
      <c r="X105" s="20">
        <f t="shared" si="113"/>
        <v>56393675</v>
      </c>
      <c r="Y105" s="21">
        <f t="shared" si="113"/>
        <v>39578228</v>
      </c>
      <c r="Z105" s="169">
        <f t="shared" si="113"/>
        <v>3558800</v>
      </c>
      <c r="AA105" s="20">
        <f t="shared" si="113"/>
        <v>43137028</v>
      </c>
      <c r="AB105" s="21">
        <f t="shared" si="113"/>
        <v>39578228</v>
      </c>
      <c r="AC105" s="169">
        <f t="shared" si="113"/>
        <v>3558800</v>
      </c>
      <c r="AD105" s="20">
        <f t="shared" si="113"/>
        <v>43137028</v>
      </c>
      <c r="AE105" s="21">
        <f t="shared" si="113"/>
        <v>35641328</v>
      </c>
      <c r="AF105" s="169">
        <f t="shared" si="113"/>
        <v>3936900</v>
      </c>
      <c r="AG105" s="20">
        <f t="shared" si="113"/>
        <v>39578228</v>
      </c>
      <c r="AH105" s="21">
        <f t="shared" si="113"/>
        <v>13256647</v>
      </c>
      <c r="AI105" s="17">
        <f t="shared" si="113"/>
        <v>13256647</v>
      </c>
      <c r="AJ105" s="18">
        <f t="shared" si="113"/>
        <v>16815447</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+IF(OCTUBRE!A106=0,"",OCTUBRE!A106)</f>
        <v>11303-5</v>
      </c>
      <c r="B106" s="578" t="str">
        <f>+IF(OCTUBRE!B106=0,"",OCTUBRE!B106)</f>
        <v>Vigencias Anteriores</v>
      </c>
      <c r="C106" s="564">
        <f>+ENERO!C106</f>
        <v>0</v>
      </c>
      <c r="D106" s="564">
        <f>OCTUBRE!D106+NOVIEMBRE!P106</f>
        <v>0</v>
      </c>
      <c r="E106" s="564">
        <f>OCTUBRE!E106+NOVIEMBRE!Q106</f>
        <v>0</v>
      </c>
      <c r="F106" s="565">
        <f t="shared" si="107"/>
        <v>0</v>
      </c>
      <c r="G106" s="566">
        <f>OCTUBRE!I106</f>
        <v>0</v>
      </c>
      <c r="H106" s="475">
        <v>0</v>
      </c>
      <c r="I106" s="565">
        <f t="shared" si="108"/>
        <v>0</v>
      </c>
      <c r="J106" s="566">
        <f>OCTUBRE!L106</f>
        <v>0</v>
      </c>
      <c r="K106" s="475">
        <v>0</v>
      </c>
      <c r="L106" s="565">
        <f t="shared" si="109"/>
        <v>0</v>
      </c>
      <c r="M106" s="566">
        <f t="shared" si="110"/>
        <v>0</v>
      </c>
      <c r="N106" s="565">
        <f t="shared" si="111"/>
        <v>0</v>
      </c>
      <c r="O106" s="562"/>
      <c r="P106" s="471">
        <v>0</v>
      </c>
      <c r="Q106" s="476">
        <v>0</v>
      </c>
      <c r="R106" s="10"/>
      <c r="S106" s="156" t="str">
        <f>+IF(OCTUBRE!S106=0,"",OCTUBRE!S106)</f>
        <v>1020402-1</v>
      </c>
      <c r="T106" s="55" t="str">
        <f>+IF(OCTUBRE!T106=0,"",OCTUBRE!T106)</f>
        <v>S.E.N.A.</v>
      </c>
      <c r="U106" s="29">
        <f>+ENERO!U106</f>
        <v>22557470</v>
      </c>
      <c r="V106" s="17">
        <f>OCTUBRE!V106+NOVIEMBRE!AL106</f>
        <v>0</v>
      </c>
      <c r="W106" s="17">
        <f>OCTUBRE!W106+NOVIEMBRE!AM106</f>
        <v>0</v>
      </c>
      <c r="X106" s="20">
        <f>SUM(U106:W106)</f>
        <v>22557470</v>
      </c>
      <c r="Y106" s="21">
        <f>OCTUBRE!AA106</f>
        <v>15880966</v>
      </c>
      <c r="Z106" s="457">
        <v>1423300</v>
      </c>
      <c r="AA106" s="20">
        <f>SUM(Y106:Z106)</f>
        <v>17304266</v>
      </c>
      <c r="AB106" s="21">
        <f>OCTUBRE!AD106</f>
        <v>15880966</v>
      </c>
      <c r="AC106" s="457">
        <v>1423300</v>
      </c>
      <c r="AD106" s="20">
        <f>SUM(AB106:AC106)</f>
        <v>17304266</v>
      </c>
      <c r="AE106" s="21">
        <f>OCTUBRE!AG106</f>
        <v>14306266</v>
      </c>
      <c r="AF106" s="457">
        <v>1574700</v>
      </c>
      <c r="AG106" s="20">
        <f>SUM(AE106:AF106)</f>
        <v>15880966</v>
      </c>
      <c r="AH106" s="21">
        <f>X106-AA106</f>
        <v>5253204</v>
      </c>
      <c r="AI106" s="17">
        <f>X106-AD106</f>
        <v>5253204</v>
      </c>
      <c r="AJ106" s="18">
        <f>X106-AG106</f>
        <v>6676504</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+IF(OCTUBRE!S107=0,"",OCTUBRE!S107)</f>
        <v>1020402-2</v>
      </c>
      <c r="T107" s="55" t="str">
        <f>+IF(OCTUBRE!T107=0,"",OCTUBRE!T107)</f>
        <v>I.C.B.F.</v>
      </c>
      <c r="U107" s="29">
        <f>+ENERO!U107</f>
        <v>33836205</v>
      </c>
      <c r="V107" s="17">
        <f>OCTUBRE!V107+NOVIEMBRE!AL107</f>
        <v>0</v>
      </c>
      <c r="W107" s="17">
        <f>OCTUBRE!W107+NOVIEMBRE!AM107</f>
        <v>0</v>
      </c>
      <c r="X107" s="20">
        <f>SUM(U107:W107)</f>
        <v>33836205</v>
      </c>
      <c r="Y107" s="21">
        <f>OCTUBRE!AA107</f>
        <v>23697262</v>
      </c>
      <c r="Z107" s="457">
        <v>2135500</v>
      </c>
      <c r="AA107" s="20">
        <f>SUM(Y107:Z107)</f>
        <v>25832762</v>
      </c>
      <c r="AB107" s="21">
        <f>OCTUBRE!AD107</f>
        <v>23697262</v>
      </c>
      <c r="AC107" s="457">
        <v>2135500</v>
      </c>
      <c r="AD107" s="20">
        <f>SUM(AB107:AC107)</f>
        <v>25832762</v>
      </c>
      <c r="AE107" s="21">
        <f>OCTUBRE!AG107</f>
        <v>21335062</v>
      </c>
      <c r="AF107" s="457">
        <v>2362200</v>
      </c>
      <c r="AG107" s="20">
        <f>SUM(AE107:AF107)</f>
        <v>23697262</v>
      </c>
      <c r="AH107" s="21">
        <f>X107-AA107</f>
        <v>8003443</v>
      </c>
      <c r="AI107" s="17">
        <f>X107-AD107</f>
        <v>8003443</v>
      </c>
      <c r="AJ107" s="18">
        <f>X107-AG107</f>
        <v>10138943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+IF(OCTUBRE!A108=0,"",OCTUBRE!A108)</f>
        <v>2000</v>
      </c>
      <c r="B108" s="439" t="str">
        <f>+IF(OCTUBRE!B108=0,"",OCTUBRE!B108)</f>
        <v>INGRESOS DE CAPITAL</v>
      </c>
      <c r="C108" s="215">
        <f t="shared" ref="C108:N108" si="114">SUM(C109:C117)</f>
        <v>1452387</v>
      </c>
      <c r="D108" s="435">
        <f t="shared" si="114"/>
        <v>0</v>
      </c>
      <c r="E108" s="435">
        <f t="shared" si="114"/>
        <v>149110140</v>
      </c>
      <c r="F108" s="216">
        <f t="shared" si="114"/>
        <v>150562527</v>
      </c>
      <c r="G108" s="215">
        <f t="shared" si="114"/>
        <v>145679701</v>
      </c>
      <c r="H108" s="435">
        <f t="shared" si="114"/>
        <v>791755</v>
      </c>
      <c r="I108" s="216">
        <f t="shared" si="114"/>
        <v>146471456</v>
      </c>
      <c r="J108" s="215">
        <f t="shared" si="114"/>
        <v>145679703</v>
      </c>
      <c r="K108" s="435">
        <f t="shared" si="114"/>
        <v>791755</v>
      </c>
      <c r="L108" s="216">
        <f t="shared" si="114"/>
        <v>146471458</v>
      </c>
      <c r="M108" s="215">
        <f t="shared" si="114"/>
        <v>4091071</v>
      </c>
      <c r="N108" s="216">
        <f t="shared" si="114"/>
        <v>4091069</v>
      </c>
      <c r="O108" s="562"/>
      <c r="P108" s="215">
        <f>SUM(P109:P117)</f>
        <v>0</v>
      </c>
      <c r="Q108" s="216">
        <f>SUM(Q109:Q117)</f>
        <v>0</v>
      </c>
      <c r="R108" s="10"/>
      <c r="S108" s="155">
        <f>+IF(OCTUBRE!S108=0,"",OCTUBRE!S108)</f>
        <v>1020499</v>
      </c>
      <c r="T108" s="159" t="str">
        <f>+IF(OCTUBRE!T108=0,"",OCTUBRE!T108)</f>
        <v>Vigencias Anteriores</v>
      </c>
      <c r="U108" s="29">
        <f>+ENERO!U108</f>
        <v>0</v>
      </c>
      <c r="V108" s="17">
        <f>OCTUBRE!V108+NOVIEMBRE!AL108</f>
        <v>0</v>
      </c>
      <c r="W108" s="17">
        <f>OCTUBRE!W108+NOVIEMBRE!AM108</f>
        <v>0</v>
      </c>
      <c r="X108" s="20">
        <f>SUM(U108:W108)</f>
        <v>0</v>
      </c>
      <c r="Y108" s="21">
        <f>OCTUBRE!AA108</f>
        <v>0</v>
      </c>
      <c r="Z108" s="457">
        <v>0</v>
      </c>
      <c r="AA108" s="20">
        <f>SUM(Y108:Z108)</f>
        <v>0</v>
      </c>
      <c r="AB108" s="21">
        <f>OCTUBRE!AD108</f>
        <v>0</v>
      </c>
      <c r="AC108" s="457">
        <v>0</v>
      </c>
      <c r="AD108" s="20">
        <f>SUM(AB108:AC108)</f>
        <v>0</v>
      </c>
      <c r="AE108" s="21">
        <f>OCTUBRE!AG108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+IF(OCTUBRE!A109=0,"",OCTUBRE!A109)</f>
        <v>2100</v>
      </c>
      <c r="B109" s="56" t="str">
        <f>+IF(OCTUBRE!B109=0,"",OCTUBRE!B109)</f>
        <v>CREDITO INTERNO</v>
      </c>
      <c r="C109" s="576">
        <f>+ENERO!C109</f>
        <v>0</v>
      </c>
      <c r="D109" s="574">
        <f>OCTUBRE!D109+NOVIEMBRE!P109</f>
        <v>0</v>
      </c>
      <c r="E109" s="574">
        <f>OCTUBRE!E109+NOVIEMBRE!Q109</f>
        <v>0</v>
      </c>
      <c r="F109" s="575">
        <f t="shared" ref="F109:F116" si="115">SUM(C109:E109)</f>
        <v>0</v>
      </c>
      <c r="G109" s="576">
        <f>OCTUBRE!I109</f>
        <v>0</v>
      </c>
      <c r="H109" s="457">
        <v>0</v>
      </c>
      <c r="I109" s="575">
        <f t="shared" ref="I109:I116" si="116">SUM(G109:H109)</f>
        <v>0</v>
      </c>
      <c r="J109" s="576">
        <f>OCTUBRE!L109</f>
        <v>0</v>
      </c>
      <c r="K109" s="457">
        <v>0</v>
      </c>
      <c r="L109" s="575">
        <f t="shared" ref="L109:L116" si="117">SUM(J109:K109)</f>
        <v>0</v>
      </c>
      <c r="M109" s="576">
        <f t="shared" ref="M109:M116" si="118">F109-I109</f>
        <v>0</v>
      </c>
      <c r="N109" s="575">
        <f t="shared" ref="N109:N116" si="119">F109-L109</f>
        <v>0</v>
      </c>
      <c r="O109" s="562"/>
      <c r="P109" s="455">
        <v>0</v>
      </c>
      <c r="Q109" s="458">
        <v>0</v>
      </c>
      <c r="R109" s="10"/>
      <c r="S109" s="448" t="str">
        <f>+IF(OCTUBRE!S109=0,"",OCTUBRE!S109)</f>
        <v/>
      </c>
      <c r="T109" s="649" t="str">
        <f>+IF(OCTUBRE!T109=0,"",OCTUBRE!T109)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+IF(OCTUBRE!A110=0,"",OCTUBRE!A110)</f>
        <v>2100-1</v>
      </c>
      <c r="B110" s="563" t="s">
        <v>482</v>
      </c>
      <c r="C110" s="576">
        <f>+ENERO!C110</f>
        <v>0</v>
      </c>
      <c r="D110" s="574">
        <f>OCTUBRE!D110+NOVIEMBRE!P110</f>
        <v>0</v>
      </c>
      <c r="E110" s="574">
        <f>OCTUBRE!E110+NOVIEMBRE!Q110</f>
        <v>0</v>
      </c>
      <c r="F110" s="575">
        <f t="shared" si="115"/>
        <v>0</v>
      </c>
      <c r="G110" s="576">
        <f>OCTUBRE!I110</f>
        <v>0</v>
      </c>
      <c r="H110" s="457">
        <v>0</v>
      </c>
      <c r="I110" s="575">
        <f t="shared" si="116"/>
        <v>0</v>
      </c>
      <c r="J110" s="576">
        <f>OCTUBRE!L110</f>
        <v>0</v>
      </c>
      <c r="K110" s="457">
        <v>0</v>
      </c>
      <c r="L110" s="575">
        <f t="shared" si="117"/>
        <v>0</v>
      </c>
      <c r="M110" s="576">
        <f t="shared" si="118"/>
        <v>0</v>
      </c>
      <c r="N110" s="575">
        <f t="shared" si="119"/>
        <v>0</v>
      </c>
      <c r="O110" s="562"/>
      <c r="P110" s="455">
        <v>0</v>
      </c>
      <c r="Q110" s="458">
        <v>0</v>
      </c>
      <c r="R110" s="10"/>
      <c r="S110" s="469">
        <f>+IF(OCTUBRE!S110=0,"",OCTUBRE!S110)</f>
        <v>2000000</v>
      </c>
      <c r="T110" s="588" t="str">
        <f>+IF(OCTUBRE!T110=0,"",OCTUBRE!T110)</f>
        <v>GASTOS GENERALES</v>
      </c>
      <c r="U110" s="589">
        <f t="shared" ref="U110:AJ110" si="120">U112+U145</f>
        <v>576550123</v>
      </c>
      <c r="V110" s="590">
        <f t="shared" si="120"/>
        <v>-746499</v>
      </c>
      <c r="W110" s="590">
        <f t="shared" si="120"/>
        <v>193151005</v>
      </c>
      <c r="X110" s="591">
        <f t="shared" si="120"/>
        <v>768954629</v>
      </c>
      <c r="Y110" s="464">
        <f t="shared" si="120"/>
        <v>553241187</v>
      </c>
      <c r="Z110" s="590">
        <f t="shared" si="120"/>
        <v>56188667</v>
      </c>
      <c r="AA110" s="591">
        <f t="shared" si="120"/>
        <v>609429854</v>
      </c>
      <c r="AB110" s="464">
        <f t="shared" si="120"/>
        <v>552971184</v>
      </c>
      <c r="AC110" s="590">
        <f t="shared" si="120"/>
        <v>56183667</v>
      </c>
      <c r="AD110" s="591">
        <f t="shared" si="120"/>
        <v>609154851</v>
      </c>
      <c r="AE110" s="464">
        <f t="shared" si="120"/>
        <v>505486046</v>
      </c>
      <c r="AF110" s="590">
        <f t="shared" si="120"/>
        <v>53364746</v>
      </c>
      <c r="AG110" s="591">
        <f t="shared" si="120"/>
        <v>558850792</v>
      </c>
      <c r="AH110" s="464">
        <f t="shared" si="120"/>
        <v>159524775</v>
      </c>
      <c r="AI110" s="590">
        <f t="shared" si="120"/>
        <v>159799778</v>
      </c>
      <c r="AJ110" s="465">
        <f t="shared" si="120"/>
        <v>210103837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+IF(OCTUBRE!A111=0,"",OCTUBRE!A111)</f>
        <v>2200</v>
      </c>
      <c r="B111" s="56" t="str">
        <f>+IF(OCTUBRE!B111=0,"",OCTUBRE!B111)</f>
        <v>CREDITO EXTERNO</v>
      </c>
      <c r="C111" s="576">
        <f>+ENERO!C111</f>
        <v>0</v>
      </c>
      <c r="D111" s="574">
        <f>OCTUBRE!D111+NOVIEMBRE!P111</f>
        <v>0</v>
      </c>
      <c r="E111" s="574">
        <f>OCTUBRE!E111+NOVIEMBRE!Q111</f>
        <v>0</v>
      </c>
      <c r="F111" s="575">
        <f t="shared" si="115"/>
        <v>0</v>
      </c>
      <c r="G111" s="576">
        <f>OCTUBRE!I111</f>
        <v>0</v>
      </c>
      <c r="H111" s="457">
        <v>0</v>
      </c>
      <c r="I111" s="575">
        <f t="shared" si="116"/>
        <v>0</v>
      </c>
      <c r="J111" s="576">
        <f>OCTUBRE!L111</f>
        <v>0</v>
      </c>
      <c r="K111" s="457">
        <v>0</v>
      </c>
      <c r="L111" s="575">
        <f t="shared" si="117"/>
        <v>0</v>
      </c>
      <c r="M111" s="576">
        <f t="shared" si="118"/>
        <v>0</v>
      </c>
      <c r="N111" s="575">
        <f t="shared" si="119"/>
        <v>0</v>
      </c>
      <c r="O111" s="562"/>
      <c r="P111" s="455">
        <v>0</v>
      </c>
      <c r="Q111" s="458">
        <v>0</v>
      </c>
      <c r="R111" s="10"/>
      <c r="S111" s="448" t="str">
        <f>+IF(OCTUBRE!S111=0,"",OCTUBRE!S111)</f>
        <v/>
      </c>
      <c r="T111" s="649" t="str">
        <f>+IF(OCTUBRE!T111=0,"",OCTUBRE!T111)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+IF(OCTUBRE!A112=0,"",OCTUBRE!A112)</f>
        <v>2200-1</v>
      </c>
      <c r="B112" s="563" t="s">
        <v>482</v>
      </c>
      <c r="C112" s="576">
        <f>+ENERO!C112</f>
        <v>0</v>
      </c>
      <c r="D112" s="574">
        <f>OCTUBRE!D112+NOVIEMBRE!P112</f>
        <v>0</v>
      </c>
      <c r="E112" s="574">
        <f>OCTUBRE!E112+NOVIEMBRE!Q112</f>
        <v>0</v>
      </c>
      <c r="F112" s="575">
        <f t="shared" si="115"/>
        <v>0</v>
      </c>
      <c r="G112" s="576">
        <f>OCTUBRE!I112</f>
        <v>0</v>
      </c>
      <c r="H112" s="457">
        <v>0</v>
      </c>
      <c r="I112" s="575">
        <f t="shared" si="116"/>
        <v>0</v>
      </c>
      <c r="J112" s="576">
        <f>OCTUBRE!L112</f>
        <v>0</v>
      </c>
      <c r="K112" s="457">
        <v>0</v>
      </c>
      <c r="L112" s="575">
        <f t="shared" si="117"/>
        <v>0</v>
      </c>
      <c r="M112" s="576">
        <f t="shared" si="118"/>
        <v>0</v>
      </c>
      <c r="N112" s="575">
        <f t="shared" si="119"/>
        <v>0</v>
      </c>
      <c r="O112" s="562"/>
      <c r="P112" s="455">
        <v>0</v>
      </c>
      <c r="Q112" s="458">
        <v>0</v>
      </c>
      <c r="R112" s="10"/>
      <c r="S112" s="469">
        <f>+IF(OCTUBRE!S112=0,"",OCTUBRE!S112)</f>
        <v>2010000</v>
      </c>
      <c r="T112" s="470" t="str">
        <f>+IF(OCTUBRE!T112=0,"",OCTUBRE!T112)</f>
        <v>Gastos de Administración</v>
      </c>
      <c r="U112" s="157">
        <f t="shared" ref="U112:AJ112" si="121">U114+U123+U141</f>
        <v>198386660</v>
      </c>
      <c r="V112" s="144">
        <f t="shared" si="121"/>
        <v>0</v>
      </c>
      <c r="W112" s="144">
        <f t="shared" si="121"/>
        <v>55963473</v>
      </c>
      <c r="X112" s="152">
        <f t="shared" si="121"/>
        <v>254350133</v>
      </c>
      <c r="Y112" s="151">
        <f t="shared" si="121"/>
        <v>191770868</v>
      </c>
      <c r="Z112" s="144">
        <f t="shared" si="121"/>
        <v>15798145</v>
      </c>
      <c r="AA112" s="152">
        <f t="shared" si="121"/>
        <v>207569013</v>
      </c>
      <c r="AB112" s="151">
        <f t="shared" si="121"/>
        <v>191770866</v>
      </c>
      <c r="AC112" s="144">
        <f t="shared" si="121"/>
        <v>15798145</v>
      </c>
      <c r="AD112" s="152">
        <f t="shared" si="121"/>
        <v>207569011</v>
      </c>
      <c r="AE112" s="151">
        <f t="shared" si="121"/>
        <v>179206418</v>
      </c>
      <c r="AF112" s="144">
        <f t="shared" si="121"/>
        <v>23755378</v>
      </c>
      <c r="AG112" s="152">
        <f t="shared" si="121"/>
        <v>202961796</v>
      </c>
      <c r="AH112" s="151">
        <f t="shared" si="121"/>
        <v>46781120</v>
      </c>
      <c r="AI112" s="144">
        <f t="shared" si="121"/>
        <v>46781122</v>
      </c>
      <c r="AJ112" s="153">
        <f t="shared" si="121"/>
        <v>51388337</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+IF(OCTUBRE!A113=0,"",OCTUBRE!A113)</f>
        <v>2300</v>
      </c>
      <c r="B113" s="56" t="str">
        <f>+IF(OCTUBRE!B113=0,"",OCTUBRE!B113)</f>
        <v>RENDIMIENTOS FINANCIEROS</v>
      </c>
      <c r="C113" s="576">
        <f>+ENERO!C113</f>
        <v>305317</v>
      </c>
      <c r="D113" s="574">
        <f>OCTUBRE!D113+NOVIEMBRE!P113</f>
        <v>0</v>
      </c>
      <c r="E113" s="574">
        <f>OCTUBRE!E113+NOVIEMBRE!Q113</f>
        <v>0</v>
      </c>
      <c r="F113" s="575">
        <f t="shared" si="115"/>
        <v>305317</v>
      </c>
      <c r="G113" s="576">
        <f>OCTUBRE!I113</f>
        <v>719307</v>
      </c>
      <c r="H113" s="457">
        <v>17429</v>
      </c>
      <c r="I113" s="575">
        <f t="shared" si="116"/>
        <v>736736</v>
      </c>
      <c r="J113" s="576">
        <f>OCTUBRE!L113</f>
        <v>719309</v>
      </c>
      <c r="K113" s="457">
        <v>17429</v>
      </c>
      <c r="L113" s="575">
        <f t="shared" si="117"/>
        <v>736738</v>
      </c>
      <c r="M113" s="576">
        <f t="shared" si="118"/>
        <v>-431419</v>
      </c>
      <c r="N113" s="575">
        <f t="shared" si="119"/>
        <v>-431421</v>
      </c>
      <c r="O113" s="562"/>
      <c r="P113" s="455">
        <v>0</v>
      </c>
      <c r="Q113" s="458">
        <v>0</v>
      </c>
      <c r="R113" s="10"/>
      <c r="S113" s="448" t="str">
        <f>+IF(OCTUBRE!S113=0,"",OCTUBRE!S113)</f>
        <v/>
      </c>
      <c r="T113" s="649" t="str">
        <f>+IF(OCTUBRE!T113=0,"",OCTUBRE!T113)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+IF(OCTUBRE!A114=0,"",OCTUBRE!A114)</f>
        <v>2400</v>
      </c>
      <c r="B114" s="55" t="str">
        <f>+IF(OCTUBRE!B114=0,"",OCTUBRE!B114)</f>
        <v>VENTA DE ACTIVOS</v>
      </c>
      <c r="C114" s="283">
        <f>+ENERO!C114</f>
        <v>0</v>
      </c>
      <c r="D114" s="456">
        <f>OCTUBRE!D114+NOVIEMBRE!P114</f>
        <v>0</v>
      </c>
      <c r="E114" s="456">
        <f>OCTUBRE!E114+NOVIEMBRE!Q114</f>
        <v>0</v>
      </c>
      <c r="F114" s="170">
        <f t="shared" si="115"/>
        <v>0</v>
      </c>
      <c r="G114" s="283">
        <f>OCTUBRE!I114</f>
        <v>0</v>
      </c>
      <c r="H114" s="457">
        <v>0</v>
      </c>
      <c r="I114" s="170">
        <f t="shared" si="116"/>
        <v>0</v>
      </c>
      <c r="J114" s="283">
        <f>OCTUBRE!L114</f>
        <v>0</v>
      </c>
      <c r="K114" s="457">
        <v>0</v>
      </c>
      <c r="L114" s="170">
        <f t="shared" si="117"/>
        <v>0</v>
      </c>
      <c r="M114" s="283">
        <f t="shared" si="118"/>
        <v>0</v>
      </c>
      <c r="N114" s="170">
        <f t="shared" si="119"/>
        <v>0</v>
      </c>
      <c r="O114" s="562"/>
      <c r="P114" s="455">
        <v>0</v>
      </c>
      <c r="Q114" s="458">
        <v>0</v>
      </c>
      <c r="R114" s="10"/>
      <c r="S114" s="34">
        <f>+IF(OCTUBRE!S114=0,"",OCTUBRE!S114)</f>
        <v>2010100</v>
      </c>
      <c r="T114" s="158" t="str">
        <f>+IF(OCTUBRE!T114=0,"",OCTUBRE!T114)</f>
        <v>Adquisición de bienes</v>
      </c>
      <c r="U114" s="157">
        <f t="shared" ref="U114:AJ114" si="122">SUM(U115:U121)</f>
        <v>67419307</v>
      </c>
      <c r="V114" s="144">
        <f t="shared" si="122"/>
        <v>0</v>
      </c>
      <c r="W114" s="144">
        <f t="shared" si="122"/>
        <v>18897432</v>
      </c>
      <c r="X114" s="152">
        <f t="shared" si="122"/>
        <v>86316739</v>
      </c>
      <c r="Y114" s="151">
        <f t="shared" si="122"/>
        <v>68318194</v>
      </c>
      <c r="Z114" s="144">
        <f t="shared" si="122"/>
        <v>11221659</v>
      </c>
      <c r="AA114" s="152">
        <f t="shared" si="122"/>
        <v>79539853</v>
      </c>
      <c r="AB114" s="151">
        <f t="shared" si="122"/>
        <v>68318192</v>
      </c>
      <c r="AC114" s="144">
        <f t="shared" si="122"/>
        <v>11221659</v>
      </c>
      <c r="AD114" s="152">
        <f t="shared" si="122"/>
        <v>79539851</v>
      </c>
      <c r="AE114" s="151">
        <f t="shared" si="122"/>
        <v>67428075</v>
      </c>
      <c r="AF114" s="144">
        <f t="shared" si="122"/>
        <v>9890117</v>
      </c>
      <c r="AG114" s="152">
        <f t="shared" si="122"/>
        <v>77318192</v>
      </c>
      <c r="AH114" s="151">
        <f t="shared" si="122"/>
        <v>6776886</v>
      </c>
      <c r="AI114" s="144">
        <f t="shared" si="122"/>
        <v>6776888</v>
      </c>
      <c r="AJ114" s="153">
        <f t="shared" si="122"/>
        <v>8998547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+IF(OCTUBRE!A115=0,"",OCTUBRE!A115)</f>
        <v>2500</v>
      </c>
      <c r="B115" s="55" t="str">
        <f>+IF(OCTUBRE!B115=0,"",OCTUBRE!B115)</f>
        <v>DONACIONES</v>
      </c>
      <c r="C115" s="283">
        <f>+ENERO!C115</f>
        <v>0</v>
      </c>
      <c r="D115" s="456">
        <f>OCTUBRE!D115+NOVIEMBRE!P115</f>
        <v>0</v>
      </c>
      <c r="E115" s="456">
        <f>OCTUBRE!E115+NOVIEMBRE!Q115</f>
        <v>0</v>
      </c>
      <c r="F115" s="170">
        <f t="shared" si="115"/>
        <v>0</v>
      </c>
      <c r="G115" s="283">
        <f>OCTUBRE!I115</f>
        <v>0</v>
      </c>
      <c r="H115" s="457">
        <v>0</v>
      </c>
      <c r="I115" s="170">
        <f t="shared" si="116"/>
        <v>0</v>
      </c>
      <c r="J115" s="283">
        <f>OCTUBRE!L115</f>
        <v>0</v>
      </c>
      <c r="K115" s="457">
        <v>0</v>
      </c>
      <c r="L115" s="170">
        <f t="shared" si="117"/>
        <v>0</v>
      </c>
      <c r="M115" s="283">
        <f t="shared" si="118"/>
        <v>0</v>
      </c>
      <c r="N115" s="170">
        <f t="shared" si="119"/>
        <v>0</v>
      </c>
      <c r="P115" s="455">
        <v>0</v>
      </c>
      <c r="Q115" s="458">
        <v>0</v>
      </c>
      <c r="R115" s="10"/>
      <c r="S115" s="155" t="str">
        <f>+IF(OCTUBRE!S115=0,"",OCTUBRE!S115)</f>
        <v>2010100-1</v>
      </c>
      <c r="T115" s="159" t="str">
        <f>+IF(OCTUBRE!T115=0,"",OCTUBRE!T115)</f>
        <v>Compra de Equipos</v>
      </c>
      <c r="U115" s="29">
        <f>+ENERO!U115</f>
        <v>42018487</v>
      </c>
      <c r="V115" s="17">
        <f>OCTUBRE!V115+NOVIEMBRE!AL115</f>
        <v>0</v>
      </c>
      <c r="W115" s="17">
        <f>OCTUBRE!W115+NOVIEMBRE!AM115</f>
        <v>10000000</v>
      </c>
      <c r="X115" s="20">
        <f t="shared" ref="X115:X121" si="123">SUM(U115:W115)</f>
        <v>52018487</v>
      </c>
      <c r="Y115" s="21">
        <f>OCTUBRE!AA115</f>
        <v>41250742</v>
      </c>
      <c r="Z115" s="457">
        <v>9649999</v>
      </c>
      <c r="AA115" s="20">
        <f t="shared" ref="AA115:AA121" si="124">SUM(Y115:Z115)</f>
        <v>50900741</v>
      </c>
      <c r="AB115" s="21">
        <f>OCTUBRE!AD115</f>
        <v>41250742</v>
      </c>
      <c r="AC115" s="457">
        <v>9649999</v>
      </c>
      <c r="AD115" s="20">
        <f t="shared" ref="AD115:AD121" si="125">SUM(AB115:AC115)</f>
        <v>50900741</v>
      </c>
      <c r="AE115" s="21">
        <f>OCTUBRE!AG115</f>
        <v>41250742</v>
      </c>
      <c r="AF115" s="457">
        <v>9000000</v>
      </c>
      <c r="AG115" s="20">
        <f t="shared" ref="AG115:AG121" si="126">SUM(AE115:AF115)</f>
        <v>50250742</v>
      </c>
      <c r="AH115" s="21">
        <f t="shared" ref="AH115:AH121" si="127">X115-AA115</f>
        <v>1117746</v>
      </c>
      <c r="AI115" s="17">
        <f t="shared" ref="AI115:AI121" si="128">X115-AD115</f>
        <v>1117746</v>
      </c>
      <c r="AJ115" s="18">
        <f t="shared" ref="AJ115:AJ121" si="129">X115-AG115</f>
        <v>1767745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+IF(OCTUBRE!A116=0,"",OCTUBRE!A116)</f>
        <v>2600</v>
      </c>
      <c r="B116" s="55" t="str">
        <f>+IF(OCTUBRE!B116=0,"",OCTUBRE!B116)</f>
        <v>RECUPERACIÓN DE CARTERA (AÑO 2012 Y ANTERIORES)</v>
      </c>
      <c r="C116" s="283">
        <f>+ENERO!C116</f>
        <v>1147070</v>
      </c>
      <c r="D116" s="456">
        <f>OCTUBRE!D116+NOVIEMBRE!P116</f>
        <v>0</v>
      </c>
      <c r="E116" s="456">
        <f>OCTUBRE!E116+NOVIEMBRE!Q116</f>
        <v>0</v>
      </c>
      <c r="F116" s="170">
        <f t="shared" si="115"/>
        <v>1147070</v>
      </c>
      <c r="G116" s="283">
        <f>OCTUBRE!I116</f>
        <v>2560211</v>
      </c>
      <c r="H116" s="457">
        <v>774326</v>
      </c>
      <c r="I116" s="170">
        <f t="shared" si="116"/>
        <v>3334537</v>
      </c>
      <c r="J116" s="283">
        <f>OCTUBRE!L116</f>
        <v>2560211</v>
      </c>
      <c r="K116" s="457">
        <v>774326</v>
      </c>
      <c r="L116" s="170">
        <f t="shared" si="117"/>
        <v>3334537</v>
      </c>
      <c r="M116" s="283">
        <f t="shared" si="118"/>
        <v>-2187467</v>
      </c>
      <c r="N116" s="170">
        <f t="shared" si="119"/>
        <v>-2187467</v>
      </c>
      <c r="P116" s="455">
        <v>0</v>
      </c>
      <c r="Q116" s="458">
        <v>0</v>
      </c>
      <c r="R116" s="10"/>
      <c r="S116" s="155" t="str">
        <f>+IF(OCTUBRE!S116=0,"",OCTUBRE!S116)</f>
        <v>2010100-2</v>
      </c>
      <c r="T116" s="159" t="str">
        <f>+IF(OCTUBRE!T116=0,"",OCTUBRE!T116)</f>
        <v>Materiales</v>
      </c>
      <c r="U116" s="29">
        <f>+ENERO!U116</f>
        <v>23400820</v>
      </c>
      <c r="V116" s="17">
        <f>OCTUBRE!V116+NOVIEMBRE!AL116</f>
        <v>0</v>
      </c>
      <c r="W116" s="17">
        <f>OCTUBRE!W116+NOVIEMBRE!AM116</f>
        <v>7500000</v>
      </c>
      <c r="X116" s="20">
        <f t="shared" si="123"/>
        <v>30900820</v>
      </c>
      <c r="Y116" s="21">
        <f>OCTUBRE!AA116</f>
        <v>23671020</v>
      </c>
      <c r="Z116" s="457">
        <v>1571660</v>
      </c>
      <c r="AA116" s="20">
        <f t="shared" si="124"/>
        <v>25242680</v>
      </c>
      <c r="AB116" s="21">
        <f>OCTUBRE!AD116</f>
        <v>23671018</v>
      </c>
      <c r="AC116" s="457">
        <v>1571660</v>
      </c>
      <c r="AD116" s="20">
        <f t="shared" si="125"/>
        <v>25242678</v>
      </c>
      <c r="AE116" s="21">
        <f>OCTUBRE!AG116</f>
        <v>22780901</v>
      </c>
      <c r="AF116" s="457">
        <v>890117</v>
      </c>
      <c r="AG116" s="20">
        <f t="shared" si="126"/>
        <v>23671018</v>
      </c>
      <c r="AH116" s="21">
        <f t="shared" si="127"/>
        <v>5658140</v>
      </c>
      <c r="AI116" s="17">
        <f t="shared" si="128"/>
        <v>5658142</v>
      </c>
      <c r="AJ116" s="18">
        <f t="shared" si="129"/>
        <v>7229802</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+IF(OCTUBRE!A117=0,"",OCTUBRE!A117)</f>
        <v>2700</v>
      </c>
      <c r="B117" s="55" t="str">
        <f>+IF(OCTUBRE!B117=0,"",OCTUBRE!B117)</f>
        <v>OTROS INGRESOS DE CAPITAL</v>
      </c>
      <c r="C117" s="283">
        <f>SUM(C118:C119)</f>
        <v>0</v>
      </c>
      <c r="D117" s="456">
        <f t="shared" ref="D117:N117" si="130">SUM(D118:D119)</f>
        <v>0</v>
      </c>
      <c r="E117" s="456">
        <f t="shared" si="130"/>
        <v>149110140</v>
      </c>
      <c r="F117" s="170">
        <f t="shared" si="130"/>
        <v>149110140</v>
      </c>
      <c r="G117" s="283">
        <f t="shared" si="130"/>
        <v>142400183</v>
      </c>
      <c r="H117" s="169">
        <f t="shared" si="130"/>
        <v>0</v>
      </c>
      <c r="I117" s="170">
        <f t="shared" si="130"/>
        <v>142400183</v>
      </c>
      <c r="J117" s="283">
        <f t="shared" si="130"/>
        <v>142400183</v>
      </c>
      <c r="K117" s="169">
        <f t="shared" si="130"/>
        <v>0</v>
      </c>
      <c r="L117" s="170">
        <f t="shared" si="130"/>
        <v>142400183</v>
      </c>
      <c r="M117" s="283">
        <f t="shared" si="130"/>
        <v>6709957</v>
      </c>
      <c r="N117" s="170">
        <f t="shared" si="130"/>
        <v>6709957</v>
      </c>
      <c r="P117" s="36">
        <f>SUM(P118:P119)</f>
        <v>0</v>
      </c>
      <c r="Q117" s="37">
        <f>SUM(Q118:Q119)</f>
        <v>0</v>
      </c>
      <c r="R117" s="10"/>
      <c r="S117" s="155" t="str">
        <f>+IF(OCTUBRE!S117=0,"",OCTUBRE!S117)</f>
        <v>2010100-3</v>
      </c>
      <c r="T117" s="159" t="str">
        <f>+IF(OCTUBRE!T117=0,"",OCTUBRE!T117)</f>
        <v>Salud Ocupacional</v>
      </c>
      <c r="U117" s="29">
        <f>+ENERO!U117</f>
        <v>0</v>
      </c>
      <c r="V117" s="17">
        <f>OCTUBRE!V117+NOVIEMBRE!AL117</f>
        <v>0</v>
      </c>
      <c r="W117" s="17">
        <f>OCTUBRE!W117+NOVIEMBRE!AM117</f>
        <v>0</v>
      </c>
      <c r="X117" s="20">
        <f t="shared" si="123"/>
        <v>0</v>
      </c>
      <c r="Y117" s="21">
        <f>OCTUBRE!AA117</f>
        <v>0</v>
      </c>
      <c r="Z117" s="457">
        <v>0</v>
      </c>
      <c r="AA117" s="20">
        <f t="shared" si="124"/>
        <v>0</v>
      </c>
      <c r="AB117" s="21">
        <f>OCTUBRE!AD117</f>
        <v>0</v>
      </c>
      <c r="AC117" s="457">
        <v>0</v>
      </c>
      <c r="AD117" s="20">
        <f t="shared" si="125"/>
        <v>0</v>
      </c>
      <c r="AE117" s="21">
        <f>OCTUBRE!AG117</f>
        <v>0</v>
      </c>
      <c r="AF117" s="457">
        <v>0</v>
      </c>
      <c r="AG117" s="20">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+IF(OCTUBRE!A118=0,"",OCTUBRE!A118)</f>
        <v>2700-1</v>
      </c>
      <c r="B118" s="58" t="str">
        <f>+IF(OCTUBRE!B118=0,"",OCTUBRE!B118)</f>
        <v>Descuentos por pronto pago</v>
      </c>
      <c r="C118" s="283">
        <f>+ENERO!C118</f>
        <v>0</v>
      </c>
      <c r="D118" s="456">
        <f>OCTUBRE!D118+NOVIEMBRE!P118</f>
        <v>0</v>
      </c>
      <c r="E118" s="456">
        <f>OCTUBRE!E118+NOVIEMBRE!Q118</f>
        <v>149110140</v>
      </c>
      <c r="F118" s="170">
        <f>SUM(C118:E118)</f>
        <v>149110140</v>
      </c>
      <c r="G118" s="283">
        <f>OCTUBRE!I118</f>
        <v>142400183</v>
      </c>
      <c r="H118" s="457">
        <v>0</v>
      </c>
      <c r="I118" s="170">
        <f>SUM(G118:H118)</f>
        <v>142400183</v>
      </c>
      <c r="J118" s="283">
        <f>OCTUBRE!L118</f>
        <v>142400183</v>
      </c>
      <c r="K118" s="457">
        <v>0</v>
      </c>
      <c r="L118" s="170">
        <f>SUM(J118:K118)</f>
        <v>142400183</v>
      </c>
      <c r="M118" s="283">
        <f>F118-I118</f>
        <v>6709957</v>
      </c>
      <c r="N118" s="170">
        <f>F118-L118</f>
        <v>6709957</v>
      </c>
      <c r="P118" s="455">
        <v>0</v>
      </c>
      <c r="Q118" s="458">
        <v>0</v>
      </c>
      <c r="R118" s="10"/>
      <c r="S118" s="155" t="str">
        <f>+IF(OCTUBRE!S118=0,"",OCTUBRE!S118)</f>
        <v>2010100-4</v>
      </c>
      <c r="T118" s="159" t="str">
        <f>+IF(OCTUBRE!T118=0,"",OCTUBRE!T118)</f>
        <v/>
      </c>
      <c r="U118" s="29">
        <f>+ENERO!U118</f>
        <v>0</v>
      </c>
      <c r="V118" s="17">
        <f>OCTUBRE!V118+NOVIEMBRE!AL118</f>
        <v>0</v>
      </c>
      <c r="W118" s="17">
        <f>OCTUBRE!W118+NOVIEMBRE!AM118</f>
        <v>0</v>
      </c>
      <c r="X118" s="20">
        <f t="shared" si="123"/>
        <v>0</v>
      </c>
      <c r="Y118" s="21">
        <f>OCTUBRE!AA118</f>
        <v>0</v>
      </c>
      <c r="Z118" s="457">
        <v>0</v>
      </c>
      <c r="AA118" s="20">
        <f t="shared" si="124"/>
        <v>0</v>
      </c>
      <c r="AB118" s="21">
        <f>OCTUBRE!AD118</f>
        <v>0</v>
      </c>
      <c r="AC118" s="457">
        <v>0</v>
      </c>
      <c r="AD118" s="20">
        <f t="shared" si="125"/>
        <v>0</v>
      </c>
      <c r="AE118" s="21">
        <f>OCTUBRE!AG118</f>
        <v>0</v>
      </c>
      <c r="AF118" s="457">
        <v>0</v>
      </c>
      <c r="AG118" s="20">
        <f t="shared" si="126"/>
        <v>0</v>
      </c>
      <c r="AH118" s="21">
        <f t="shared" si="127"/>
        <v>0</v>
      </c>
      <c r="AI118" s="17">
        <f t="shared" si="128"/>
        <v>0</v>
      </c>
      <c r="AJ118" s="18">
        <f t="shared" si="129"/>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+IF(OCTUBRE!A119=0,"",OCTUBRE!A119)</f>
        <v>2700-2</v>
      </c>
      <c r="B119" s="219" t="str">
        <f>+IF(OCTUBRE!B119=0,"",OCTUBRE!B119)</f>
        <v>Otros</v>
      </c>
      <c r="C119" s="474">
        <f>+ENERO!C119</f>
        <v>0</v>
      </c>
      <c r="D119" s="472">
        <f>OCTUBRE!D119+NOVIEMBRE!P119</f>
        <v>0</v>
      </c>
      <c r="E119" s="472">
        <f>OCTUBRE!E119+NOVIEMBRE!Q119</f>
        <v>0</v>
      </c>
      <c r="F119" s="473">
        <f>SUM(C119:E119)</f>
        <v>0</v>
      </c>
      <c r="G119" s="474">
        <f>OCTUBRE!I119</f>
        <v>0</v>
      </c>
      <c r="H119" s="475">
        <v>0</v>
      </c>
      <c r="I119" s="473">
        <f>SUM(G119:H119)</f>
        <v>0</v>
      </c>
      <c r="J119" s="474">
        <f>OCTUBRE!L119</f>
        <v>0</v>
      </c>
      <c r="K119" s="475">
        <v>0</v>
      </c>
      <c r="L119" s="473">
        <f>SUM(J119:K119)</f>
        <v>0</v>
      </c>
      <c r="M119" s="474">
        <f>F119-I119</f>
        <v>0</v>
      </c>
      <c r="N119" s="473">
        <f>F119-L119</f>
        <v>0</v>
      </c>
      <c r="P119" s="471">
        <v>0</v>
      </c>
      <c r="Q119" s="476">
        <v>0</v>
      </c>
      <c r="R119" s="10"/>
      <c r="S119" s="155" t="str">
        <f>+IF(OCTUBRE!S119=0,"",OCTUBRE!S119)</f>
        <v>2010100-5</v>
      </c>
      <c r="T119" s="159" t="str">
        <f>+IF(OCTUBRE!T119=0,"",OCTUBRE!T119)</f>
        <v/>
      </c>
      <c r="U119" s="29">
        <f>+ENERO!U119</f>
        <v>0</v>
      </c>
      <c r="V119" s="17">
        <f>OCTUBRE!V119+NOVIEMBRE!AL119</f>
        <v>0</v>
      </c>
      <c r="W119" s="17">
        <f>OCTUBRE!W119+NOVIEMBRE!AM119</f>
        <v>0</v>
      </c>
      <c r="X119" s="20">
        <f t="shared" si="123"/>
        <v>0</v>
      </c>
      <c r="Y119" s="21">
        <f>OCTUBRE!AA119</f>
        <v>0</v>
      </c>
      <c r="Z119" s="457">
        <v>0</v>
      </c>
      <c r="AA119" s="20">
        <f t="shared" si="124"/>
        <v>0</v>
      </c>
      <c r="AB119" s="21">
        <f>OCTUBRE!AD119</f>
        <v>0</v>
      </c>
      <c r="AC119" s="457">
        <v>0</v>
      </c>
      <c r="AD119" s="20">
        <f t="shared" si="125"/>
        <v>0</v>
      </c>
      <c r="AE119" s="21">
        <f>OCTUBRE!AG119</f>
        <v>0</v>
      </c>
      <c r="AF119" s="457">
        <v>0</v>
      </c>
      <c r="AG119" s="20">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+IF(OCTUBRE!S120=0,"",OCTUBRE!S120)</f>
        <v>2010100-6</v>
      </c>
      <c r="T120" s="159" t="str">
        <f>+IF(OCTUBRE!T120=0,"",OCTUBRE!T120)</f>
        <v/>
      </c>
      <c r="U120" s="29">
        <f>+ENERO!U120</f>
        <v>0</v>
      </c>
      <c r="V120" s="17">
        <f>OCTUBRE!V120+NOVIEMBRE!AL120</f>
        <v>0</v>
      </c>
      <c r="W120" s="17">
        <f>OCTUBRE!W120+NOVIEMBRE!AM120</f>
        <v>0</v>
      </c>
      <c r="X120" s="20">
        <f t="shared" si="123"/>
        <v>0</v>
      </c>
      <c r="Y120" s="21">
        <f>OCTUBRE!AA120</f>
        <v>0</v>
      </c>
      <c r="Z120" s="457">
        <v>0</v>
      </c>
      <c r="AA120" s="20">
        <f t="shared" si="124"/>
        <v>0</v>
      </c>
      <c r="AB120" s="21">
        <f>OCTUBRE!AD120</f>
        <v>0</v>
      </c>
      <c r="AC120" s="457">
        <v>0</v>
      </c>
      <c r="AD120" s="20">
        <f t="shared" si="125"/>
        <v>0</v>
      </c>
      <c r="AE120" s="21">
        <f>OCTUBRE!AG120</f>
        <v>0</v>
      </c>
      <c r="AF120" s="457">
        <v>0</v>
      </c>
      <c r="AG120" s="20">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+IF(OCTUBRE!A121=0,"",OCTUBRE!A121)</f>
        <v>TOTAL INGRESOS DIFERENTES A CUENTAS POR COBRAR</v>
      </c>
      <c r="B121" s="682"/>
      <c r="C121" s="605">
        <f t="shared" ref="C121:N121" si="131">C8-C123</f>
        <v>3465783837</v>
      </c>
      <c r="D121" s="603">
        <f t="shared" si="131"/>
        <v>0</v>
      </c>
      <c r="E121" s="603">
        <f t="shared" si="131"/>
        <v>303333323</v>
      </c>
      <c r="F121" s="604">
        <f t="shared" si="131"/>
        <v>3769117160</v>
      </c>
      <c r="G121" s="602">
        <f t="shared" si="131"/>
        <v>3170008252</v>
      </c>
      <c r="H121" s="603">
        <f t="shared" si="131"/>
        <v>286191804</v>
      </c>
      <c r="I121" s="604">
        <f t="shared" si="131"/>
        <v>3456200056</v>
      </c>
      <c r="J121" s="602">
        <f t="shared" si="131"/>
        <v>2697580901</v>
      </c>
      <c r="K121" s="603">
        <f t="shared" si="131"/>
        <v>300437033</v>
      </c>
      <c r="L121" s="604">
        <f t="shared" si="131"/>
        <v>2998017934</v>
      </c>
      <c r="M121" s="602">
        <f t="shared" si="131"/>
        <v>312917104</v>
      </c>
      <c r="N121" s="604">
        <f t="shared" si="131"/>
        <v>771099226</v>
      </c>
      <c r="P121" s="605">
        <f>P8-P123</f>
        <v>0</v>
      </c>
      <c r="Q121" s="606">
        <f>Q8-Q123</f>
        <v>0</v>
      </c>
      <c r="R121" s="10"/>
      <c r="S121" s="155">
        <f>+IF(OCTUBRE!S121=0,"",OCTUBRE!S121)</f>
        <v>2010199</v>
      </c>
      <c r="T121" s="159" t="str">
        <f>+IF(OCTUBRE!T121=0,"",OCTUBRE!T121)</f>
        <v>Vigencias Anteriores</v>
      </c>
      <c r="U121" s="29">
        <f>+ENERO!U121</f>
        <v>2000000</v>
      </c>
      <c r="V121" s="17">
        <f>OCTUBRE!V121+NOVIEMBRE!AL121</f>
        <v>0</v>
      </c>
      <c r="W121" s="17">
        <f>OCTUBRE!W121+NOVIEMBRE!AM121</f>
        <v>1397432</v>
      </c>
      <c r="X121" s="20">
        <f t="shared" si="123"/>
        <v>3397432</v>
      </c>
      <c r="Y121" s="21">
        <f>OCTUBRE!AA121</f>
        <v>3396432</v>
      </c>
      <c r="Z121" s="457">
        <v>0</v>
      </c>
      <c r="AA121" s="20">
        <f t="shared" si="124"/>
        <v>3396432</v>
      </c>
      <c r="AB121" s="21">
        <f>OCTUBRE!AD121</f>
        <v>3396432</v>
      </c>
      <c r="AC121" s="457">
        <v>0</v>
      </c>
      <c r="AD121" s="20">
        <f t="shared" si="125"/>
        <v>3396432</v>
      </c>
      <c r="AE121" s="21">
        <f>OCTUBRE!AG121</f>
        <v>3396432</v>
      </c>
      <c r="AF121" s="457">
        <v>0</v>
      </c>
      <c r="AG121" s="20">
        <f t="shared" si="126"/>
        <v>3396432</v>
      </c>
      <c r="AH121" s="21">
        <f t="shared" si="127"/>
        <v>1000</v>
      </c>
      <c r="AI121" s="17">
        <f t="shared" si="128"/>
        <v>1000</v>
      </c>
      <c r="AJ121" s="18">
        <f t="shared" si="129"/>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+IF(OCTUBRE!S122=0,"",OCTUBRE!S122)</f>
        <v/>
      </c>
      <c r="T122" s="649" t="str">
        <f>+IF(OCTUBRE!T122=0,"",OCTUBRE!T122)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+IF(OCTUBRE!A123=0,"",OCTUBRE!A123)</f>
        <v>TOTAL INGRESOS DE VIGENCIAS ANTERIORES</v>
      </c>
      <c r="B123" s="684"/>
      <c r="C123" s="605">
        <f>SUMIF($B8:$B$117,$B$24,C8:C117)+C116</f>
        <v>165717175</v>
      </c>
      <c r="D123" s="685">
        <f>SUMIF($B8:$B$117,$B$24,D8:D117)+D116</f>
        <v>0</v>
      </c>
      <c r="E123" s="685">
        <f>SUMIF($B8:$B$117,$B$24,E8:E117)+E116</f>
        <v>154000000</v>
      </c>
      <c r="F123" s="686">
        <f>SUMIF($B8:$B$117,$B$24,F8:F117)+F116</f>
        <v>319717175</v>
      </c>
      <c r="G123" s="687">
        <f>SUMIF($B8:$B$117,$B$24,G8:G117)+G116</f>
        <v>384158070</v>
      </c>
      <c r="H123" s="685">
        <f>SUMIF($B8:$B$117,$B$24,H8:H117)+H116</f>
        <v>1073428</v>
      </c>
      <c r="I123" s="686">
        <f>SUMIF($B8:$B$117,$B$24,I8:I117)+I116</f>
        <v>385231498</v>
      </c>
      <c r="J123" s="687">
        <f>SUMIF($B8:$B$117,$B$24,J8:J117)+J116</f>
        <v>384158070</v>
      </c>
      <c r="K123" s="685">
        <f>SUMIF($B8:$B$117,$B$24,K8:K117)+K116</f>
        <v>1073431</v>
      </c>
      <c r="L123" s="686">
        <f>SUMIF($B8:$B$117,$B$24,L8:L117)+L116</f>
        <v>385231501</v>
      </c>
      <c r="M123" s="687">
        <f>SUMIF($B8:$B$117,$B$24,M8:M117)+M116</f>
        <v>-65514323</v>
      </c>
      <c r="N123" s="686">
        <f>SUMIF($B8:$B$117,$B$24,N8:N117)+N116</f>
        <v>-65514326</v>
      </c>
      <c r="P123" s="687">
        <f>SUMIF($B8:$B$117,$B$24,P8:P117)+P116</f>
        <v>0</v>
      </c>
      <c r="Q123" s="686">
        <f>SUMIF($B8:$B$117,$B$24,Q8:Q117)+Q116</f>
        <v>0</v>
      </c>
      <c r="R123" s="10"/>
      <c r="S123" s="34">
        <f>+IF(OCTUBRE!S123=0,"",OCTUBRE!S123)</f>
        <v>2010200</v>
      </c>
      <c r="T123" s="158" t="str">
        <f>+IF(OCTUBRE!T123=0,"",OCTUBRE!T123)</f>
        <v>Adquisición de Servicios</v>
      </c>
      <c r="U123" s="157">
        <f t="shared" ref="U123:AJ123" si="132">SUM(U124:U139)</f>
        <v>130967353</v>
      </c>
      <c r="V123" s="144">
        <f t="shared" si="132"/>
        <v>0</v>
      </c>
      <c r="W123" s="144">
        <f t="shared" si="132"/>
        <v>36066041</v>
      </c>
      <c r="X123" s="152">
        <f t="shared" si="132"/>
        <v>167033394</v>
      </c>
      <c r="Y123" s="151">
        <f t="shared" si="132"/>
        <v>123245074</v>
      </c>
      <c r="Z123" s="144">
        <f t="shared" si="132"/>
        <v>4576486</v>
      </c>
      <c r="AA123" s="152">
        <f t="shared" si="132"/>
        <v>127821560</v>
      </c>
      <c r="AB123" s="151">
        <f t="shared" si="132"/>
        <v>123245074</v>
      </c>
      <c r="AC123" s="144">
        <f t="shared" si="132"/>
        <v>4576486</v>
      </c>
      <c r="AD123" s="152">
        <f t="shared" si="132"/>
        <v>127821560</v>
      </c>
      <c r="AE123" s="151">
        <f t="shared" si="132"/>
        <v>111570743</v>
      </c>
      <c r="AF123" s="144">
        <f t="shared" si="132"/>
        <v>13865261</v>
      </c>
      <c r="AG123" s="152">
        <f t="shared" si="132"/>
        <v>125436004</v>
      </c>
      <c r="AH123" s="151">
        <f t="shared" si="132"/>
        <v>39211834</v>
      </c>
      <c r="AI123" s="144">
        <f t="shared" si="132"/>
        <v>39211834</v>
      </c>
      <c r="AJ123" s="153">
        <f t="shared" si="132"/>
        <v>41597390</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+IF(OCTUBRE!S124=0,"",OCTUBRE!S124)</f>
        <v>2010200-1</v>
      </c>
      <c r="T124" s="159" t="str">
        <f>+IF(OCTUBRE!T124=0,"",OCTUBRE!T124)</f>
        <v>Seguros</v>
      </c>
      <c r="U124" s="29">
        <f>+ENERO!U124</f>
        <v>42767476</v>
      </c>
      <c r="V124" s="17">
        <f>OCTUBRE!V124+NOVIEMBRE!AL124</f>
        <v>0</v>
      </c>
      <c r="W124" s="17">
        <f>OCTUBRE!W124+NOVIEMBRE!AM124</f>
        <v>10000000</v>
      </c>
      <c r="X124" s="20">
        <f t="shared" ref="X124:X139" si="133">SUM(U124:W124)</f>
        <v>52767476</v>
      </c>
      <c r="Y124" s="21">
        <f>OCTUBRE!AA124</f>
        <v>48162629</v>
      </c>
      <c r="Z124" s="457">
        <v>0</v>
      </c>
      <c r="AA124" s="20">
        <f t="shared" ref="AA124:AA139" si="134">SUM(Y124:Z124)</f>
        <v>48162629</v>
      </c>
      <c r="AB124" s="21">
        <f>OCTUBRE!AD124</f>
        <v>48162629</v>
      </c>
      <c r="AC124" s="457">
        <v>0</v>
      </c>
      <c r="AD124" s="20">
        <f t="shared" ref="AD124:AD139" si="135">SUM(AB124:AC124)</f>
        <v>48162629</v>
      </c>
      <c r="AE124" s="21">
        <f>OCTUBRE!AG124</f>
        <v>42767476</v>
      </c>
      <c r="AF124" s="457">
        <v>5395153</v>
      </c>
      <c r="AG124" s="20">
        <f t="shared" ref="AG124:AG139" si="136">SUM(AE124:AF124)</f>
        <v>48162629</v>
      </c>
      <c r="AH124" s="21">
        <f t="shared" ref="AH124:AH139" si="137">X124-AA124</f>
        <v>4604847</v>
      </c>
      <c r="AI124" s="17">
        <f t="shared" ref="AI124:AI139" si="138">X124-AD124</f>
        <v>4604847</v>
      </c>
      <c r="AJ124" s="18">
        <f t="shared" ref="AJ124:AJ139" si="139">X124-AG124</f>
        <v>4604847</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+IF(OCTUBRE!A125=0,"",OCTUBRE!A125)</f>
        <v xml:space="preserve">TOTAL PRESUPUESTO DE INGRESOS </v>
      </c>
      <c r="B125" s="619"/>
      <c r="C125" s="605">
        <f t="shared" ref="C125:N125" si="140">C123+C121</f>
        <v>3631501012</v>
      </c>
      <c r="D125" s="621">
        <f t="shared" si="140"/>
        <v>0</v>
      </c>
      <c r="E125" s="621">
        <f t="shared" si="140"/>
        <v>457333323</v>
      </c>
      <c r="F125" s="622">
        <f t="shared" si="140"/>
        <v>4088834335</v>
      </c>
      <c r="G125" s="620">
        <f t="shared" si="140"/>
        <v>3554166322</v>
      </c>
      <c r="H125" s="621">
        <f t="shared" si="140"/>
        <v>287265232</v>
      </c>
      <c r="I125" s="622">
        <f t="shared" si="140"/>
        <v>3841431554</v>
      </c>
      <c r="J125" s="620">
        <f t="shared" si="140"/>
        <v>3081738971</v>
      </c>
      <c r="K125" s="621">
        <f t="shared" si="140"/>
        <v>301510464</v>
      </c>
      <c r="L125" s="622">
        <f t="shared" si="140"/>
        <v>3383249435</v>
      </c>
      <c r="M125" s="620">
        <f t="shared" si="140"/>
        <v>247402781</v>
      </c>
      <c r="N125" s="622">
        <f t="shared" si="140"/>
        <v>705584900</v>
      </c>
      <c r="P125" s="605">
        <f>P123+P121</f>
        <v>0</v>
      </c>
      <c r="Q125" s="606">
        <f>Q123+Q121</f>
        <v>0</v>
      </c>
      <c r="R125" s="10"/>
      <c r="S125" s="155" t="str">
        <f>+IF(OCTUBRE!S125=0,"",OCTUBRE!S125)</f>
        <v>2010200-2</v>
      </c>
      <c r="T125" s="159" t="str">
        <f>+IF(OCTUBRE!T125=0,"",OCTUBRE!T125)</f>
        <v>Impresos y Publicaciones</v>
      </c>
      <c r="U125" s="29">
        <f>+ENERO!U125</f>
        <v>10257367</v>
      </c>
      <c r="V125" s="17">
        <f>OCTUBRE!V125+NOVIEMBRE!AL125</f>
        <v>0</v>
      </c>
      <c r="W125" s="17">
        <f>OCTUBRE!W125+NOVIEMBRE!AM125</f>
        <v>0</v>
      </c>
      <c r="X125" s="20">
        <f t="shared" si="133"/>
        <v>10257367</v>
      </c>
      <c r="Y125" s="21">
        <f>OCTUBRE!AA125</f>
        <v>5968342</v>
      </c>
      <c r="Z125" s="457">
        <v>473020</v>
      </c>
      <c r="AA125" s="20">
        <f t="shared" si="134"/>
        <v>6441362</v>
      </c>
      <c r="AB125" s="21">
        <f>OCTUBRE!AD125</f>
        <v>5968342</v>
      </c>
      <c r="AC125" s="457">
        <v>473020</v>
      </c>
      <c r="AD125" s="20">
        <f t="shared" si="135"/>
        <v>6441362</v>
      </c>
      <c r="AE125" s="21">
        <f>OCTUBRE!AG125</f>
        <v>5450342</v>
      </c>
      <c r="AF125" s="457">
        <v>363000</v>
      </c>
      <c r="AG125" s="20">
        <f t="shared" si="136"/>
        <v>5813342</v>
      </c>
      <c r="AH125" s="21">
        <f t="shared" si="137"/>
        <v>3816005</v>
      </c>
      <c r="AI125" s="17">
        <f t="shared" si="138"/>
        <v>3816005</v>
      </c>
      <c r="AJ125" s="18">
        <f t="shared" si="139"/>
        <v>4444025</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+IF(OCTUBRE!S126=0,"",OCTUBRE!S126)</f>
        <v>2010200-3</v>
      </c>
      <c r="T126" s="159" t="str">
        <f>+IF(OCTUBRE!T126=0,"",OCTUBRE!T126)</f>
        <v xml:space="preserve">Servicios Públicos </v>
      </c>
      <c r="U126" s="29">
        <f>+ENERO!U126</f>
        <v>49280460</v>
      </c>
      <c r="V126" s="17">
        <f>OCTUBRE!V126+NOVIEMBRE!AL126</f>
        <v>0</v>
      </c>
      <c r="W126" s="17">
        <f>OCTUBRE!W126+NOVIEMBRE!AM126</f>
        <v>12000000</v>
      </c>
      <c r="X126" s="20">
        <f t="shared" si="133"/>
        <v>61280460</v>
      </c>
      <c r="Y126" s="21">
        <f>OCTUBRE!AA126</f>
        <v>44883570</v>
      </c>
      <c r="Z126" s="457">
        <v>3816676</v>
      </c>
      <c r="AA126" s="20">
        <f t="shared" si="134"/>
        <v>48700246</v>
      </c>
      <c r="AB126" s="21">
        <f>OCTUBRE!AD126</f>
        <v>44883570</v>
      </c>
      <c r="AC126" s="457">
        <v>3816676</v>
      </c>
      <c r="AD126" s="20">
        <f t="shared" si="135"/>
        <v>48700246</v>
      </c>
      <c r="AE126" s="21">
        <f>OCTUBRE!AG126</f>
        <v>44146928</v>
      </c>
      <c r="AF126" s="457">
        <v>4526318</v>
      </c>
      <c r="AG126" s="20">
        <f t="shared" si="136"/>
        <v>48673246</v>
      </c>
      <c r="AH126" s="21">
        <f t="shared" si="137"/>
        <v>12580214</v>
      </c>
      <c r="AI126" s="17">
        <f t="shared" si="138"/>
        <v>12580214</v>
      </c>
      <c r="AJ126" s="18">
        <f t="shared" si="139"/>
        <v>12607214</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+IF(OCTUBRE!S127=0,"",OCTUBRE!S127)</f>
        <v>2010200-4</v>
      </c>
      <c r="T127" s="159" t="str">
        <f>+IF(OCTUBRE!T127=0,"",OCTUBRE!T127)</f>
        <v>Comunicaciones y Transportes</v>
      </c>
      <c r="U127" s="29">
        <f>+ENERO!U127</f>
        <v>8570980</v>
      </c>
      <c r="V127" s="17">
        <f>OCTUBRE!V127+NOVIEMBRE!AL127</f>
        <v>0</v>
      </c>
      <c r="W127" s="17">
        <f>OCTUBRE!W127+NOVIEMBRE!AM127</f>
        <v>5000000</v>
      </c>
      <c r="X127" s="20">
        <f t="shared" si="133"/>
        <v>13570980</v>
      </c>
      <c r="Y127" s="21">
        <f>OCTUBRE!AA127</f>
        <v>8520804</v>
      </c>
      <c r="Z127" s="457">
        <v>0</v>
      </c>
      <c r="AA127" s="20">
        <f t="shared" si="134"/>
        <v>8520804</v>
      </c>
      <c r="AB127" s="21">
        <f>OCTUBRE!AD127</f>
        <v>8520804</v>
      </c>
      <c r="AC127" s="457">
        <v>0</v>
      </c>
      <c r="AD127" s="20">
        <f t="shared" si="135"/>
        <v>8520804</v>
      </c>
      <c r="AE127" s="21">
        <f>OCTUBRE!AG127</f>
        <v>3561804</v>
      </c>
      <c r="AF127" s="457">
        <v>3294000</v>
      </c>
      <c r="AG127" s="20">
        <f t="shared" si="136"/>
        <v>6855804</v>
      </c>
      <c r="AH127" s="21">
        <f t="shared" si="137"/>
        <v>5050176</v>
      </c>
      <c r="AI127" s="17">
        <f t="shared" si="138"/>
        <v>5050176</v>
      </c>
      <c r="AJ127" s="18">
        <f t="shared" si="139"/>
        <v>6715176</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+IF(OCTUBRE!S128=0,"",OCTUBRE!S128)</f>
        <v>2010200-5</v>
      </c>
      <c r="T128" s="159" t="str">
        <f>+IF(OCTUBRE!T128=0,"",OCTUBRE!T128)</f>
        <v>Viáticos y Gastos de Viaje</v>
      </c>
      <c r="U128" s="29">
        <f>+ENERO!U128</f>
        <v>4306574</v>
      </c>
      <c r="V128" s="17">
        <f>OCTUBRE!V128+NOVIEMBRE!AL128</f>
        <v>0</v>
      </c>
      <c r="W128" s="17">
        <f>OCTUBRE!W128+NOVIEMBRE!AM128</f>
        <v>5000000</v>
      </c>
      <c r="X128" s="20">
        <f t="shared" si="133"/>
        <v>9306574</v>
      </c>
      <c r="Y128" s="21">
        <f>OCTUBRE!AA128</f>
        <v>2381279</v>
      </c>
      <c r="Z128" s="457">
        <v>80920</v>
      </c>
      <c r="AA128" s="20">
        <f t="shared" si="134"/>
        <v>2462199</v>
      </c>
      <c r="AB128" s="21">
        <f>OCTUBRE!AD128</f>
        <v>2381279</v>
      </c>
      <c r="AC128" s="457">
        <v>80920</v>
      </c>
      <c r="AD128" s="20">
        <f t="shared" si="135"/>
        <v>2462199</v>
      </c>
      <c r="AE128" s="21">
        <f>OCTUBRE!AG128</f>
        <v>2381279</v>
      </c>
      <c r="AF128" s="457">
        <v>80920</v>
      </c>
      <c r="AG128" s="20">
        <f t="shared" si="136"/>
        <v>2462199</v>
      </c>
      <c r="AH128" s="21">
        <f t="shared" si="137"/>
        <v>6844375</v>
      </c>
      <c r="AI128" s="17">
        <f t="shared" si="138"/>
        <v>6844375</v>
      </c>
      <c r="AJ128" s="18">
        <f t="shared" si="139"/>
        <v>6844375</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+IF(OCTUBRE!S129=0,"",OCTUBRE!S129)</f>
        <v>2010200-6</v>
      </c>
      <c r="T129" s="159" t="str">
        <f>+IF(OCTUBRE!T129=0,"",OCTUBRE!T129)</f>
        <v>Arrendamientos</v>
      </c>
      <c r="U129" s="29">
        <f>+ENERO!U129</f>
        <v>0</v>
      </c>
      <c r="V129" s="17">
        <f>OCTUBRE!V129+NOVIEMBRE!AL129</f>
        <v>0</v>
      </c>
      <c r="W129" s="17">
        <f>OCTUBRE!W129+NOVIEMBRE!AM129</f>
        <v>0</v>
      </c>
      <c r="X129" s="20">
        <f t="shared" si="133"/>
        <v>0</v>
      </c>
      <c r="Y129" s="21">
        <f>OCTUBRE!AA129</f>
        <v>0</v>
      </c>
      <c r="Z129" s="457">
        <v>0</v>
      </c>
      <c r="AA129" s="20">
        <f t="shared" si="134"/>
        <v>0</v>
      </c>
      <c r="AB129" s="21">
        <f>OCTUBRE!AD129</f>
        <v>0</v>
      </c>
      <c r="AC129" s="457">
        <v>0</v>
      </c>
      <c r="AD129" s="20">
        <f t="shared" si="135"/>
        <v>0</v>
      </c>
      <c r="AE129" s="21">
        <f>OCTUBRE!AG129</f>
        <v>0</v>
      </c>
      <c r="AF129" s="457">
        <v>0</v>
      </c>
      <c r="AG129" s="20">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+IF(OCTUBRE!S130=0,"",OCTUBRE!S130)</f>
        <v>2010200-7</v>
      </c>
      <c r="T130" s="159" t="str">
        <f>+IF(OCTUBRE!T130=0,"",OCTUBRE!T130)</f>
        <v>Vigilancia y Aseo</v>
      </c>
      <c r="U130" s="29">
        <f>+ENERO!U130</f>
        <v>0</v>
      </c>
      <c r="V130" s="17">
        <f>OCTUBRE!V130+NOVIEMBRE!AL130</f>
        <v>0</v>
      </c>
      <c r="W130" s="17">
        <f>OCTUBRE!W130+NOVIEMBRE!AM130</f>
        <v>0</v>
      </c>
      <c r="X130" s="20">
        <f t="shared" si="133"/>
        <v>0</v>
      </c>
      <c r="Y130" s="21">
        <f>OCTUBRE!AA130</f>
        <v>0</v>
      </c>
      <c r="Z130" s="457">
        <v>0</v>
      </c>
      <c r="AA130" s="20">
        <f t="shared" si="134"/>
        <v>0</v>
      </c>
      <c r="AB130" s="21">
        <f>OCTUBRE!AD130</f>
        <v>0</v>
      </c>
      <c r="AC130" s="457">
        <v>0</v>
      </c>
      <c r="AD130" s="20">
        <f t="shared" si="135"/>
        <v>0</v>
      </c>
      <c r="AE130" s="21">
        <f>OCTUBRE!AG130</f>
        <v>0</v>
      </c>
      <c r="AF130" s="457">
        <v>0</v>
      </c>
      <c r="AG130" s="20">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+IF(OCTUBRE!S131=0,"",OCTUBRE!S131)</f>
        <v>2010200-8</v>
      </c>
      <c r="T131" s="159" t="str">
        <f>+IF(OCTUBRE!T131=0,"",OCTUBRE!T131)</f>
        <v>Bienestar Social</v>
      </c>
      <c r="U131" s="29">
        <f>+ENERO!U131</f>
        <v>6347410</v>
      </c>
      <c r="V131" s="17">
        <f>OCTUBRE!V131+NOVIEMBRE!AL131</f>
        <v>0</v>
      </c>
      <c r="W131" s="17">
        <f>OCTUBRE!W131+NOVIEMBRE!AM131</f>
        <v>0</v>
      </c>
      <c r="X131" s="20">
        <f t="shared" si="133"/>
        <v>6347410</v>
      </c>
      <c r="Y131" s="21">
        <f>OCTUBRE!AA131</f>
        <v>1042000</v>
      </c>
      <c r="Z131" s="457">
        <v>0</v>
      </c>
      <c r="AA131" s="20">
        <f t="shared" si="134"/>
        <v>1042000</v>
      </c>
      <c r="AB131" s="21">
        <f>OCTUBRE!AD131</f>
        <v>1042000</v>
      </c>
      <c r="AC131" s="457">
        <v>0</v>
      </c>
      <c r="AD131" s="20">
        <f t="shared" si="135"/>
        <v>1042000</v>
      </c>
      <c r="AE131" s="21">
        <f>OCTUBRE!AG131</f>
        <v>1042000</v>
      </c>
      <c r="AF131" s="457">
        <v>0</v>
      </c>
      <c r="AG131" s="20">
        <f t="shared" si="136"/>
        <v>1042000</v>
      </c>
      <c r="AH131" s="21">
        <f t="shared" si="137"/>
        <v>5305410</v>
      </c>
      <c r="AI131" s="17">
        <f t="shared" si="138"/>
        <v>5305410</v>
      </c>
      <c r="AJ131" s="18">
        <f t="shared" si="139"/>
        <v>5305410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+IF(OCTUBRE!S132=0,"",OCTUBRE!S132)</f>
        <v>2010200-9</v>
      </c>
      <c r="T132" s="159" t="str">
        <f>+IF(OCTUBRE!T132=0,"",OCTUBRE!T132)</f>
        <v>Capacitación, estimulos, incentivos, programa de calidad</v>
      </c>
      <c r="U132" s="29">
        <f>+ENERO!U132</f>
        <v>4142898</v>
      </c>
      <c r="V132" s="17">
        <f>OCTUBRE!V132+NOVIEMBRE!AL132</f>
        <v>0</v>
      </c>
      <c r="W132" s="17">
        <f>OCTUBRE!W132+NOVIEMBRE!AM132</f>
        <v>0</v>
      </c>
      <c r="X132" s="20">
        <f t="shared" si="133"/>
        <v>4142898</v>
      </c>
      <c r="Y132" s="21">
        <f>OCTUBRE!AA132</f>
        <v>3824400</v>
      </c>
      <c r="Z132" s="457">
        <v>0</v>
      </c>
      <c r="AA132" s="20">
        <f t="shared" si="134"/>
        <v>3824400</v>
      </c>
      <c r="AB132" s="21">
        <f>OCTUBRE!AD132</f>
        <v>3824400</v>
      </c>
      <c r="AC132" s="457">
        <v>0</v>
      </c>
      <c r="AD132" s="20">
        <f t="shared" si="135"/>
        <v>3824400</v>
      </c>
      <c r="AE132" s="21">
        <f>OCTUBRE!AG132</f>
        <v>3824400</v>
      </c>
      <c r="AF132" s="457">
        <v>0</v>
      </c>
      <c r="AG132" s="20">
        <f t="shared" si="136"/>
        <v>3824400</v>
      </c>
      <c r="AH132" s="21">
        <f t="shared" si="137"/>
        <v>318498</v>
      </c>
      <c r="AI132" s="17">
        <f t="shared" si="138"/>
        <v>318498</v>
      </c>
      <c r="AJ132" s="18">
        <f t="shared" si="139"/>
        <v>318498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+IF(OCTUBRE!S133=0,"",OCTUBRE!S133)</f>
        <v>2010200-10</v>
      </c>
      <c r="T133" s="159" t="str">
        <f>+IF(OCTUBRE!T133=0,"",OCTUBRE!T133)</f>
        <v>Pagos otras IPS</v>
      </c>
      <c r="U133" s="29">
        <f>+ENERO!U133</f>
        <v>0</v>
      </c>
      <c r="V133" s="17">
        <f>OCTUBRE!V133+NOVIEMBRE!AL133</f>
        <v>0</v>
      </c>
      <c r="W133" s="17">
        <f>OCTUBRE!W133+NOVIEMBRE!AM133</f>
        <v>0</v>
      </c>
      <c r="X133" s="20">
        <f t="shared" si="133"/>
        <v>0</v>
      </c>
      <c r="Y133" s="21">
        <f>OCTUBRE!AA133</f>
        <v>0</v>
      </c>
      <c r="Z133" s="457">
        <v>0</v>
      </c>
      <c r="AA133" s="20">
        <f t="shared" si="134"/>
        <v>0</v>
      </c>
      <c r="AB133" s="21">
        <f>OCTUBRE!AD133</f>
        <v>0</v>
      </c>
      <c r="AC133" s="457">
        <v>0</v>
      </c>
      <c r="AD133" s="20">
        <f t="shared" si="135"/>
        <v>0</v>
      </c>
      <c r="AE133" s="21">
        <f>OCTUBRE!AG133</f>
        <v>0</v>
      </c>
      <c r="AF133" s="457">
        <v>0</v>
      </c>
      <c r="AG133" s="20">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+IF(OCTUBRE!S134=0,"",OCTUBRE!S134)</f>
        <v>2010200-11</v>
      </c>
      <c r="T134" s="159" t="str">
        <f>+IF(OCTUBRE!T134=0,"",OCTUBRE!T134)</f>
        <v>Gastos financieros</v>
      </c>
      <c r="U134" s="29">
        <f>+ENERO!U134</f>
        <v>3294188</v>
      </c>
      <c r="V134" s="17">
        <f>OCTUBRE!V134+NOVIEMBRE!AL134</f>
        <v>0</v>
      </c>
      <c r="W134" s="17">
        <f>OCTUBRE!W134+NOVIEMBRE!AM134</f>
        <v>0</v>
      </c>
      <c r="X134" s="20">
        <f t="shared" si="133"/>
        <v>3294188</v>
      </c>
      <c r="Y134" s="21">
        <f>OCTUBRE!AA134</f>
        <v>2396009</v>
      </c>
      <c r="Z134" s="457">
        <v>205870</v>
      </c>
      <c r="AA134" s="20">
        <f t="shared" si="134"/>
        <v>2601879</v>
      </c>
      <c r="AB134" s="21">
        <f>OCTUBRE!AD134</f>
        <v>2396009</v>
      </c>
      <c r="AC134" s="457">
        <v>205870</v>
      </c>
      <c r="AD134" s="20">
        <f t="shared" si="135"/>
        <v>2601879</v>
      </c>
      <c r="AE134" s="21">
        <f>OCTUBRE!AG134</f>
        <v>2396009</v>
      </c>
      <c r="AF134" s="457">
        <v>205870</v>
      </c>
      <c r="AG134" s="20">
        <f t="shared" si="136"/>
        <v>2601879</v>
      </c>
      <c r="AH134" s="21">
        <f t="shared" si="137"/>
        <v>692309</v>
      </c>
      <c r="AI134" s="17">
        <f t="shared" si="138"/>
        <v>692309</v>
      </c>
      <c r="AJ134" s="18">
        <f t="shared" si="139"/>
        <v>692309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+IF(OCTUBRE!S135=0,"",OCTUBRE!S135)</f>
        <v>2010200-12</v>
      </c>
      <c r="T135" s="159" t="str">
        <f>+IF(OCTUBRE!T135=0,"",OCTUBRE!T135)</f>
        <v/>
      </c>
      <c r="U135" s="29">
        <f>+ENERO!U135</f>
        <v>0</v>
      </c>
      <c r="V135" s="17">
        <f>OCTUBRE!V135+NOVIEMBRE!AL135</f>
        <v>0</v>
      </c>
      <c r="W135" s="17">
        <f>OCTUBRE!W135+NOVIEMBRE!AM135</f>
        <v>0</v>
      </c>
      <c r="X135" s="20">
        <f t="shared" si="133"/>
        <v>0</v>
      </c>
      <c r="Y135" s="21">
        <f>OCTUBRE!AA135</f>
        <v>0</v>
      </c>
      <c r="Z135" s="457">
        <v>0</v>
      </c>
      <c r="AA135" s="20">
        <f t="shared" si="134"/>
        <v>0</v>
      </c>
      <c r="AB135" s="21">
        <f>OCTUBRE!AD135</f>
        <v>0</v>
      </c>
      <c r="AC135" s="457">
        <v>0</v>
      </c>
      <c r="AD135" s="20">
        <f t="shared" si="135"/>
        <v>0</v>
      </c>
      <c r="AE135" s="21">
        <f>OCTUBRE!AG135</f>
        <v>0</v>
      </c>
      <c r="AF135" s="457">
        <v>0</v>
      </c>
      <c r="AG135" s="20">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+IF(OCTUBRE!S136=0,"",OCTUBRE!S136)</f>
        <v>2010200-13</v>
      </c>
      <c r="T136" s="159" t="str">
        <f>+IF(OCTUBRE!T136=0,"",OCTUBRE!T136)</f>
        <v/>
      </c>
      <c r="U136" s="29">
        <f>+ENERO!U136</f>
        <v>0</v>
      </c>
      <c r="V136" s="17">
        <f>OCTUBRE!V136+NOVIEMBRE!AL136</f>
        <v>0</v>
      </c>
      <c r="W136" s="17">
        <f>OCTUBRE!W136+NOVIEMBRE!AM136</f>
        <v>0</v>
      </c>
      <c r="X136" s="20">
        <f t="shared" si="133"/>
        <v>0</v>
      </c>
      <c r="Y136" s="21">
        <f>OCTUBRE!AA136</f>
        <v>0</v>
      </c>
      <c r="Z136" s="457">
        <v>0</v>
      </c>
      <c r="AA136" s="20">
        <f t="shared" si="134"/>
        <v>0</v>
      </c>
      <c r="AB136" s="21">
        <f>OCTUBRE!AD136</f>
        <v>0</v>
      </c>
      <c r="AC136" s="457">
        <v>0</v>
      </c>
      <c r="AD136" s="20">
        <f t="shared" si="135"/>
        <v>0</v>
      </c>
      <c r="AE136" s="21">
        <f>OCTUBRE!AG136</f>
        <v>0</v>
      </c>
      <c r="AF136" s="457">
        <v>0</v>
      </c>
      <c r="AG136" s="20">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+IF(OCTUBRE!S137=0,"",OCTUBRE!S137)</f>
        <v>2010020-14</v>
      </c>
      <c r="T137" s="159" t="str">
        <f>+IF(OCTUBRE!T137=0,"",OCTUBRE!T137)</f>
        <v/>
      </c>
      <c r="U137" s="29">
        <f>+ENERO!U137</f>
        <v>0</v>
      </c>
      <c r="V137" s="17">
        <f>OCTUBRE!V137+NOVIEMBRE!AL137</f>
        <v>0</v>
      </c>
      <c r="W137" s="17">
        <f>OCTUBRE!W137+NOVIEMBRE!AM137</f>
        <v>0</v>
      </c>
      <c r="X137" s="20">
        <f t="shared" si="133"/>
        <v>0</v>
      </c>
      <c r="Y137" s="21">
        <f>OCTUBRE!AA137</f>
        <v>0</v>
      </c>
      <c r="Z137" s="457">
        <v>0</v>
      </c>
      <c r="AA137" s="20">
        <f t="shared" si="134"/>
        <v>0</v>
      </c>
      <c r="AB137" s="21">
        <f>OCTUBRE!AD137</f>
        <v>0</v>
      </c>
      <c r="AC137" s="457">
        <v>0</v>
      </c>
      <c r="AD137" s="20">
        <f t="shared" si="135"/>
        <v>0</v>
      </c>
      <c r="AE137" s="21">
        <f>OCTUBRE!AG137</f>
        <v>0</v>
      </c>
      <c r="AF137" s="457">
        <v>0</v>
      </c>
      <c r="AG137" s="20">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+IF(OCTUBRE!S138=0,"",OCTUBRE!S138)</f>
        <v>2010200-15</v>
      </c>
      <c r="T138" s="159" t="str">
        <f>+IF(OCTUBRE!T138=0,"",OCTUBRE!T138)</f>
        <v/>
      </c>
      <c r="U138" s="29">
        <f>+ENERO!U138</f>
        <v>0</v>
      </c>
      <c r="V138" s="17">
        <f>OCTUBRE!V138+NOVIEMBRE!AL138</f>
        <v>0</v>
      </c>
      <c r="W138" s="17">
        <f>OCTUBRE!W138+NOVIEMBRE!AM138</f>
        <v>0</v>
      </c>
      <c r="X138" s="20">
        <f t="shared" si="133"/>
        <v>0</v>
      </c>
      <c r="Y138" s="21">
        <f>OCTUBRE!AA138</f>
        <v>0</v>
      </c>
      <c r="Z138" s="457">
        <v>0</v>
      </c>
      <c r="AA138" s="20">
        <f t="shared" si="134"/>
        <v>0</v>
      </c>
      <c r="AB138" s="21">
        <f>OCTUBRE!AD138</f>
        <v>0</v>
      </c>
      <c r="AC138" s="457">
        <v>0</v>
      </c>
      <c r="AD138" s="20">
        <f t="shared" si="135"/>
        <v>0</v>
      </c>
      <c r="AE138" s="21">
        <f>OCTUBRE!AG138</f>
        <v>0</v>
      </c>
      <c r="AF138" s="457">
        <v>0</v>
      </c>
      <c r="AG138" s="20">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+IF(OCTUBRE!S139=0,"",OCTUBRE!S139)</f>
        <v>2010299</v>
      </c>
      <c r="T139" s="159" t="str">
        <f>+IF(OCTUBRE!T139=0,"",OCTUBRE!T139)</f>
        <v>Vigencias Anteriores</v>
      </c>
      <c r="U139" s="29">
        <f>+ENERO!U139</f>
        <v>2000000</v>
      </c>
      <c r="V139" s="17">
        <f>OCTUBRE!V139+NOVIEMBRE!AL139</f>
        <v>0</v>
      </c>
      <c r="W139" s="17">
        <f>OCTUBRE!W139+NOVIEMBRE!AM139</f>
        <v>4066041</v>
      </c>
      <c r="X139" s="20">
        <f t="shared" si="133"/>
        <v>6066041</v>
      </c>
      <c r="Y139" s="21">
        <f>OCTUBRE!AA139</f>
        <v>6066041</v>
      </c>
      <c r="Z139" s="457">
        <v>0</v>
      </c>
      <c r="AA139" s="20">
        <f t="shared" si="134"/>
        <v>6066041</v>
      </c>
      <c r="AB139" s="21">
        <f>OCTUBRE!AD139</f>
        <v>6066041</v>
      </c>
      <c r="AC139" s="457">
        <v>0</v>
      </c>
      <c r="AD139" s="20">
        <f t="shared" si="135"/>
        <v>6066041</v>
      </c>
      <c r="AE139" s="21">
        <f>OCTUBRE!AG139</f>
        <v>6000505</v>
      </c>
      <c r="AF139" s="457">
        <v>0</v>
      </c>
      <c r="AG139" s="20">
        <f t="shared" si="136"/>
        <v>6000505</v>
      </c>
      <c r="AH139" s="21">
        <f t="shared" si="137"/>
        <v>0</v>
      </c>
      <c r="AI139" s="17">
        <f t="shared" si="138"/>
        <v>0</v>
      </c>
      <c r="AJ139" s="18">
        <f t="shared" si="139"/>
        <v>65536</v>
      </c>
      <c r="AK139" s="10"/>
      <c r="AL139" s="455">
        <v>0</v>
      </c>
      <c r="AM139" s="458">
        <v>0</v>
      </c>
      <c r="AN139" s="10"/>
      <c r="AO139" s="365"/>
      <c r="AP139" s="365"/>
      <c r="AQ139" s="365"/>
    </row>
    <row r="140" spans="1:52" s="467" customFormat="1" ht="15.75" x14ac:dyDescent="0.2">
      <c r="A140" s="623"/>
      <c r="N140" s="10"/>
      <c r="R140" s="10"/>
      <c r="S140" s="448" t="str">
        <f>+IF(OCTUBRE!S140=0,"",OCTUBRE!S140)</f>
        <v/>
      </c>
      <c r="T140" s="649" t="str">
        <f>+IF(OCTUBRE!T140=0,"",OCTUBRE!T140)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+IF(OCTUBRE!S141=0,"",OCTUBRE!S141)</f>
        <v>2010300</v>
      </c>
      <c r="T141" s="158" t="str">
        <f>+IF(OCTUBRE!T141=0,"",OCTUBRE!T141)</f>
        <v>Impuestos y Multas</v>
      </c>
      <c r="U141" s="157">
        <f t="shared" ref="U141:AJ141" si="141">U142+U143</f>
        <v>0</v>
      </c>
      <c r="V141" s="144">
        <f t="shared" si="141"/>
        <v>0</v>
      </c>
      <c r="W141" s="144">
        <f t="shared" si="141"/>
        <v>1000000</v>
      </c>
      <c r="X141" s="152">
        <f t="shared" si="141"/>
        <v>1000000</v>
      </c>
      <c r="Y141" s="151">
        <f t="shared" si="141"/>
        <v>207600</v>
      </c>
      <c r="Z141" s="144">
        <f t="shared" si="141"/>
        <v>0</v>
      </c>
      <c r="AA141" s="152">
        <f t="shared" si="141"/>
        <v>207600</v>
      </c>
      <c r="AB141" s="151">
        <f t="shared" si="141"/>
        <v>207600</v>
      </c>
      <c r="AC141" s="144">
        <f t="shared" si="141"/>
        <v>0</v>
      </c>
      <c r="AD141" s="152">
        <f t="shared" si="141"/>
        <v>207600</v>
      </c>
      <c r="AE141" s="151">
        <f t="shared" si="141"/>
        <v>207600</v>
      </c>
      <c r="AF141" s="144">
        <f t="shared" si="141"/>
        <v>0</v>
      </c>
      <c r="AG141" s="152">
        <f t="shared" si="141"/>
        <v>207600</v>
      </c>
      <c r="AH141" s="151">
        <f t="shared" si="141"/>
        <v>792400</v>
      </c>
      <c r="AI141" s="144">
        <f t="shared" si="141"/>
        <v>792400</v>
      </c>
      <c r="AJ141" s="153">
        <f t="shared" si="141"/>
        <v>792400</v>
      </c>
      <c r="AK141" s="12"/>
      <c r="AL141" s="151">
        <f>AL142+AL143</f>
        <v>0</v>
      </c>
      <c r="AM141" s="153">
        <f>AM142+AM143</f>
        <v>0</v>
      </c>
      <c r="AN141" s="10"/>
    </row>
    <row r="142" spans="1:52" s="467" customFormat="1" x14ac:dyDescent="0.2">
      <c r="A142" s="623"/>
      <c r="N142" s="10"/>
      <c r="R142" s="10"/>
      <c r="S142" s="155" t="str">
        <f>+IF(OCTUBRE!S142=0,"",OCTUBRE!S142)</f>
        <v>2010300-1</v>
      </c>
      <c r="T142" s="159" t="str">
        <f>+IF(OCTUBRE!T142=0,"",OCTUBRE!T142)</f>
        <v>Impuestos (Predial, Vehiculos, Otros)</v>
      </c>
      <c r="U142" s="29">
        <f>+ENERO!U142</f>
        <v>0</v>
      </c>
      <c r="V142" s="17">
        <f>OCTUBRE!V142+NOVIEMBRE!AL142</f>
        <v>0</v>
      </c>
      <c r="W142" s="17">
        <f>OCTUBRE!W142+NOVIEMBRE!AM142</f>
        <v>1000000</v>
      </c>
      <c r="X142" s="20">
        <f>SUM(U142:W142)</f>
        <v>1000000</v>
      </c>
      <c r="Y142" s="21">
        <f>OCTUBRE!AA142</f>
        <v>207600</v>
      </c>
      <c r="Z142" s="457">
        <v>0</v>
      </c>
      <c r="AA142" s="20">
        <f>SUM(Y142:Z142)</f>
        <v>207600</v>
      </c>
      <c r="AB142" s="21">
        <f>OCTUBRE!AD142</f>
        <v>207600</v>
      </c>
      <c r="AC142" s="457">
        <v>0</v>
      </c>
      <c r="AD142" s="20">
        <f>SUM(AB142:AC142)</f>
        <v>207600</v>
      </c>
      <c r="AE142" s="21">
        <f>OCTUBRE!AG142</f>
        <v>207600</v>
      </c>
      <c r="AF142" s="457">
        <v>0</v>
      </c>
      <c r="AG142" s="20">
        <f>SUM(AE142:AF142)</f>
        <v>207600</v>
      </c>
      <c r="AH142" s="21">
        <f>X142-AA142</f>
        <v>792400</v>
      </c>
      <c r="AI142" s="17">
        <f>X142-AD142</f>
        <v>792400</v>
      </c>
      <c r="AJ142" s="18">
        <f>X142-AG142</f>
        <v>792400</v>
      </c>
      <c r="AK142" s="10"/>
      <c r="AL142" s="455">
        <v>0</v>
      </c>
      <c r="AM142" s="458">
        <v>0</v>
      </c>
      <c r="AN142" s="10"/>
    </row>
    <row r="143" spans="1:52" s="467" customFormat="1" x14ac:dyDescent="0.2">
      <c r="A143" s="623"/>
      <c r="N143" s="10"/>
      <c r="R143" s="10"/>
      <c r="S143" s="155">
        <f>+IF(OCTUBRE!S143=0,"",OCTUBRE!S143)</f>
        <v>2010399</v>
      </c>
      <c r="T143" s="159" t="str">
        <f>+IF(OCTUBRE!T143=0,"",OCTUBRE!T143)</f>
        <v>Vigencias Anteriores</v>
      </c>
      <c r="U143" s="29">
        <f>+ENERO!U143</f>
        <v>0</v>
      </c>
      <c r="V143" s="17">
        <f>OCTUBRE!V143+NOVIEMBRE!AL143</f>
        <v>0</v>
      </c>
      <c r="W143" s="17">
        <f>OCTUBRE!W143+NOVIEMBRE!AM143</f>
        <v>0</v>
      </c>
      <c r="X143" s="20">
        <f>SUM(U143:W143)</f>
        <v>0</v>
      </c>
      <c r="Y143" s="21">
        <f>OCTUBRE!AA143</f>
        <v>0</v>
      </c>
      <c r="Z143" s="457">
        <v>0</v>
      </c>
      <c r="AA143" s="20">
        <f>SUM(Y143:Z143)</f>
        <v>0</v>
      </c>
      <c r="AB143" s="21">
        <f>OCTUBRE!AD143</f>
        <v>0</v>
      </c>
      <c r="AC143" s="457">
        <v>0</v>
      </c>
      <c r="AD143" s="20">
        <f>SUM(AB143:AC143)</f>
        <v>0</v>
      </c>
      <c r="AE143" s="21">
        <f>OCTUBRE!AG143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+IF(OCTUBRE!S144=0,"",OCTUBRE!S144)</f>
        <v/>
      </c>
      <c r="T144" s="649" t="str">
        <f>+IF(OCTUBRE!T144=0,"",OCTUBRE!T144)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+IF(OCTUBRE!S145=0,"",OCTUBRE!S145)</f>
        <v>2020010</v>
      </c>
      <c r="T145" s="470" t="str">
        <f>+IF(OCTUBRE!T145=0,"",OCTUBRE!T145)</f>
        <v>Gastos de Operación</v>
      </c>
      <c r="U145" s="157">
        <f t="shared" ref="U145:AJ145" si="142">U147+U155</f>
        <v>378163463</v>
      </c>
      <c r="V145" s="144">
        <f t="shared" si="142"/>
        <v>-746499</v>
      </c>
      <c r="W145" s="144">
        <f t="shared" si="142"/>
        <v>137187532</v>
      </c>
      <c r="X145" s="152">
        <f t="shared" si="142"/>
        <v>514604496</v>
      </c>
      <c r="Y145" s="151">
        <f t="shared" si="142"/>
        <v>361470319</v>
      </c>
      <c r="Z145" s="144">
        <f t="shared" si="142"/>
        <v>40390522</v>
      </c>
      <c r="AA145" s="152">
        <f t="shared" si="142"/>
        <v>401860841</v>
      </c>
      <c r="AB145" s="151">
        <f t="shared" si="142"/>
        <v>361200318</v>
      </c>
      <c r="AC145" s="144">
        <f t="shared" si="142"/>
        <v>40385522</v>
      </c>
      <c r="AD145" s="152">
        <f t="shared" si="142"/>
        <v>401585840</v>
      </c>
      <c r="AE145" s="151">
        <f t="shared" si="142"/>
        <v>326279628</v>
      </c>
      <c r="AF145" s="144">
        <f t="shared" si="142"/>
        <v>29609368</v>
      </c>
      <c r="AG145" s="152">
        <f t="shared" si="142"/>
        <v>355888996</v>
      </c>
      <c r="AH145" s="151">
        <f t="shared" si="142"/>
        <v>112743655</v>
      </c>
      <c r="AI145" s="144">
        <f t="shared" si="142"/>
        <v>113018656</v>
      </c>
      <c r="AJ145" s="153">
        <f t="shared" si="142"/>
        <v>158715500</v>
      </c>
      <c r="AK145" s="12"/>
      <c r="AL145" s="151">
        <f>AL147+AL155</f>
        <v>0</v>
      </c>
      <c r="AM145" s="153">
        <f>AM147+AM155</f>
        <v>0</v>
      </c>
      <c r="AN145" s="10"/>
    </row>
    <row r="146" spans="1:40" s="467" customFormat="1" x14ac:dyDescent="0.2">
      <c r="A146" s="623"/>
      <c r="N146" s="10"/>
      <c r="R146" s="10"/>
      <c r="S146" s="11" t="str">
        <f>+IF(OCTUBRE!S146=0,"",OCTUBRE!S146)</f>
        <v/>
      </c>
      <c r="T146" s="55" t="str">
        <f>+IF(OCTUBRE!T146=0,"",OCTUBRE!T146)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+IF(OCTUBRE!S147=0,"",OCTUBRE!S147)</f>
        <v>2020100</v>
      </c>
      <c r="T147" s="158" t="str">
        <f>+IF(OCTUBRE!T147=0,"",OCTUBRE!T147)</f>
        <v>Adquisición de bienes</v>
      </c>
      <c r="U147" s="157">
        <f t="shared" ref="U147:AJ147" si="143">SUM(U148:U149)+U153</f>
        <v>164034265</v>
      </c>
      <c r="V147" s="144">
        <f t="shared" si="143"/>
        <v>1294826</v>
      </c>
      <c r="W147" s="144">
        <f t="shared" si="143"/>
        <v>74587532</v>
      </c>
      <c r="X147" s="152">
        <f t="shared" si="143"/>
        <v>239916623</v>
      </c>
      <c r="Y147" s="151">
        <f t="shared" si="143"/>
        <v>162649523</v>
      </c>
      <c r="Z147" s="144">
        <f t="shared" si="143"/>
        <v>23098179</v>
      </c>
      <c r="AA147" s="152">
        <f t="shared" si="143"/>
        <v>185747702</v>
      </c>
      <c r="AB147" s="151">
        <f t="shared" si="143"/>
        <v>162649522</v>
      </c>
      <c r="AC147" s="144">
        <f t="shared" si="143"/>
        <v>23093179</v>
      </c>
      <c r="AD147" s="152">
        <f t="shared" si="143"/>
        <v>185742701</v>
      </c>
      <c r="AE147" s="151">
        <f t="shared" si="143"/>
        <v>152395551</v>
      </c>
      <c r="AF147" s="144">
        <f t="shared" si="143"/>
        <v>15650499</v>
      </c>
      <c r="AG147" s="152">
        <f t="shared" si="143"/>
        <v>168046050</v>
      </c>
      <c r="AH147" s="151">
        <f t="shared" si="143"/>
        <v>54168921</v>
      </c>
      <c r="AI147" s="144">
        <f t="shared" si="143"/>
        <v>54173922</v>
      </c>
      <c r="AJ147" s="153">
        <f t="shared" si="143"/>
        <v>71870573</v>
      </c>
      <c r="AK147" s="10"/>
      <c r="AL147" s="151">
        <f>SUM(AL148:AL149)+AL153</f>
        <v>0</v>
      </c>
      <c r="AM147" s="153">
        <f>SUM(AM148:AM149)+AM153</f>
        <v>0</v>
      </c>
      <c r="AN147" s="10"/>
    </row>
    <row r="148" spans="1:40" s="467" customFormat="1" x14ac:dyDescent="0.2">
      <c r="A148" s="623"/>
      <c r="N148" s="10"/>
      <c r="R148" s="10"/>
      <c r="S148" s="155">
        <f>+IF(OCTUBRE!S148=0,"",OCTUBRE!S148)</f>
        <v>2020101</v>
      </c>
      <c r="T148" s="159" t="str">
        <f>+IF(OCTUBRE!T148=0,"",OCTUBRE!T148)</f>
        <v>Mantenimiento Hospitalario</v>
      </c>
      <c r="U148" s="29">
        <f>+ENERO!U148</f>
        <v>73185858</v>
      </c>
      <c r="V148" s="17">
        <f>OCTUBRE!V148+NOVIEMBRE!AL148</f>
        <v>0</v>
      </c>
      <c r="W148" s="17">
        <f>OCTUBRE!W148+NOVIEMBRE!AM148</f>
        <v>29400000</v>
      </c>
      <c r="X148" s="20">
        <f>SUM(U148:W148)</f>
        <v>102585858</v>
      </c>
      <c r="Y148" s="21">
        <f>OCTUBRE!AA148</f>
        <v>64450294</v>
      </c>
      <c r="Z148" s="457">
        <v>8560954</v>
      </c>
      <c r="AA148" s="20">
        <f>SUM(Y148:Z148)</f>
        <v>73011248</v>
      </c>
      <c r="AB148" s="21">
        <f>OCTUBRE!AD148</f>
        <v>64450294</v>
      </c>
      <c r="AC148" s="457">
        <v>8555954</v>
      </c>
      <c r="AD148" s="20">
        <f>SUM(AB148:AC148)</f>
        <v>73006248</v>
      </c>
      <c r="AE148" s="21">
        <f>OCTUBRE!AG148</f>
        <v>62247338</v>
      </c>
      <c r="AF148" s="457">
        <v>3398988</v>
      </c>
      <c r="AG148" s="20">
        <f>SUM(AE148:AF148)</f>
        <v>65646326</v>
      </c>
      <c r="AH148" s="21">
        <f>X148-AA148</f>
        <v>29574610</v>
      </c>
      <c r="AI148" s="17">
        <f>X148-AD148</f>
        <v>29579610</v>
      </c>
      <c r="AJ148" s="18">
        <f>X148-AG148</f>
        <v>36939532</v>
      </c>
      <c r="AK148" s="10"/>
      <c r="AL148" s="455">
        <v>0</v>
      </c>
      <c r="AM148" s="458">
        <v>0</v>
      </c>
      <c r="AN148" s="10"/>
    </row>
    <row r="149" spans="1:40" s="467" customFormat="1" x14ac:dyDescent="0.2">
      <c r="A149" s="623"/>
      <c r="N149" s="10"/>
      <c r="R149" s="10"/>
      <c r="S149" s="155">
        <f>+IF(OCTUBRE!S149=0,"",OCTUBRE!S149)</f>
        <v>2020102</v>
      </c>
      <c r="T149" s="159" t="str">
        <f>+IF(OCTUBRE!T149=0,"",OCTUBRE!T149)</f>
        <v>Otros</v>
      </c>
      <c r="U149" s="29">
        <f t="shared" ref="U149:AJ149" si="144">SUM(U150:U152)</f>
        <v>86848407</v>
      </c>
      <c r="V149" s="17">
        <f t="shared" si="144"/>
        <v>-3075665</v>
      </c>
      <c r="W149" s="17">
        <f t="shared" si="144"/>
        <v>35900000</v>
      </c>
      <c r="X149" s="20">
        <f t="shared" si="144"/>
        <v>119672742</v>
      </c>
      <c r="Y149" s="21">
        <f t="shared" si="144"/>
        <v>80541206</v>
      </c>
      <c r="Z149" s="169">
        <f t="shared" si="144"/>
        <v>14537225</v>
      </c>
      <c r="AA149" s="20">
        <f t="shared" si="144"/>
        <v>95078431</v>
      </c>
      <c r="AB149" s="21">
        <f t="shared" si="144"/>
        <v>80541205</v>
      </c>
      <c r="AC149" s="169">
        <f t="shared" si="144"/>
        <v>14537225</v>
      </c>
      <c r="AD149" s="20">
        <f t="shared" si="144"/>
        <v>95078430</v>
      </c>
      <c r="AE149" s="21">
        <f t="shared" si="144"/>
        <v>73306554</v>
      </c>
      <c r="AF149" s="169">
        <f t="shared" si="144"/>
        <v>12251511</v>
      </c>
      <c r="AG149" s="20">
        <f t="shared" si="144"/>
        <v>85558065</v>
      </c>
      <c r="AH149" s="21">
        <f t="shared" si="144"/>
        <v>24594311</v>
      </c>
      <c r="AI149" s="17">
        <f t="shared" si="144"/>
        <v>24594312</v>
      </c>
      <c r="AJ149" s="18">
        <f t="shared" si="144"/>
        <v>34114677</v>
      </c>
      <c r="AK149" s="10"/>
      <c r="AL149" s="31">
        <f>SUM(AL150:AL152)</f>
        <v>0</v>
      </c>
      <c r="AM149" s="28">
        <f>SUM(AM150:AM152)</f>
        <v>0</v>
      </c>
      <c r="AN149" s="10"/>
    </row>
    <row r="150" spans="1:40" s="467" customFormat="1" x14ac:dyDescent="0.2">
      <c r="A150" s="623"/>
      <c r="N150" s="10"/>
      <c r="R150" s="10"/>
      <c r="S150" s="156" t="str">
        <f>+IF(OCTUBRE!S150=0,"",OCTUBRE!S150)</f>
        <v>2020102-1</v>
      </c>
      <c r="T150" s="159" t="str">
        <f>+IF(OCTUBRE!T150=0,"",OCTUBRE!T150)</f>
        <v>Compra de Equipo e Instr. Mco. y Laborat.</v>
      </c>
      <c r="U150" s="29">
        <f>+ENERO!U150</f>
        <v>36341462</v>
      </c>
      <c r="V150" s="17">
        <f>OCTUBRE!V150+NOVIEMBRE!AL150</f>
        <v>-3075665</v>
      </c>
      <c r="W150" s="17">
        <f>OCTUBRE!W150+NOVIEMBRE!AM150</f>
        <v>15000000</v>
      </c>
      <c r="X150" s="20">
        <f>SUM(U150:W150)</f>
        <v>48265797</v>
      </c>
      <c r="Y150" s="21">
        <f>OCTUBRE!AA150</f>
        <v>22835701</v>
      </c>
      <c r="Z150" s="457">
        <v>10814260</v>
      </c>
      <c r="AA150" s="20">
        <f>SUM(Y150:Z150)</f>
        <v>33649961</v>
      </c>
      <c r="AB150" s="21">
        <f>OCTUBRE!AD150</f>
        <v>22835700</v>
      </c>
      <c r="AC150" s="457">
        <v>10814260</v>
      </c>
      <c r="AD150" s="20">
        <f>SUM(AB150:AC150)</f>
        <v>33649960</v>
      </c>
      <c r="AE150" s="21">
        <f>OCTUBRE!AG150</f>
        <v>22132040</v>
      </c>
      <c r="AF150" s="457">
        <v>5720520</v>
      </c>
      <c r="AG150" s="20">
        <f>SUM(AE150:AF150)</f>
        <v>27852560</v>
      </c>
      <c r="AH150" s="21">
        <f>X150-AA150</f>
        <v>14615836</v>
      </c>
      <c r="AI150" s="17">
        <f>X150-AD150</f>
        <v>14615837</v>
      </c>
      <c r="AJ150" s="18">
        <f>X150-AG150</f>
        <v>20413237</v>
      </c>
      <c r="AK150" s="10"/>
      <c r="AL150" s="455">
        <v>0</v>
      </c>
      <c r="AM150" s="458">
        <v>0</v>
      </c>
      <c r="AN150" s="10"/>
    </row>
    <row r="151" spans="1:40" s="467" customFormat="1" x14ac:dyDescent="0.2">
      <c r="A151" s="623"/>
      <c r="N151" s="10"/>
      <c r="R151" s="10"/>
      <c r="S151" s="156" t="str">
        <f>+IF(OCTUBRE!S151=0,"",OCTUBRE!S151)</f>
        <v>2020102-2</v>
      </c>
      <c r="T151" s="159" t="str">
        <f>+IF(OCTUBRE!T151=0,"",OCTUBRE!T151)</f>
        <v>Materiales</v>
      </c>
      <c r="U151" s="29">
        <f>+ENERO!U151</f>
        <v>17885632</v>
      </c>
      <c r="V151" s="17">
        <f>OCTUBRE!V151+NOVIEMBRE!AL151</f>
        <v>0</v>
      </c>
      <c r="W151" s="17">
        <f>OCTUBRE!W151+NOVIEMBRE!AM151</f>
        <v>10900000</v>
      </c>
      <c r="X151" s="20">
        <f>SUM(U151:W151)</f>
        <v>28785632</v>
      </c>
      <c r="Y151" s="21">
        <f>OCTUBRE!AA151</f>
        <v>21298222</v>
      </c>
      <c r="Z151" s="457">
        <v>0</v>
      </c>
      <c r="AA151" s="20">
        <f>SUM(Y151:Z151)</f>
        <v>21298222</v>
      </c>
      <c r="AB151" s="21">
        <f>OCTUBRE!AD151</f>
        <v>21298222</v>
      </c>
      <c r="AC151" s="457">
        <v>0</v>
      </c>
      <c r="AD151" s="20">
        <f>SUM(AB151:AC151)</f>
        <v>21298222</v>
      </c>
      <c r="AE151" s="21">
        <f>OCTUBRE!AG151</f>
        <v>18553201</v>
      </c>
      <c r="AF151" s="457">
        <v>2745021</v>
      </c>
      <c r="AG151" s="20">
        <f>SUM(AE151:AF151)</f>
        <v>21298222</v>
      </c>
      <c r="AH151" s="21">
        <f>X151-AA151</f>
        <v>7487410</v>
      </c>
      <c r="AI151" s="17">
        <f>X151-AD151</f>
        <v>7487410</v>
      </c>
      <c r="AJ151" s="18">
        <f>X151-AG151</f>
        <v>7487410</v>
      </c>
      <c r="AK151" s="10"/>
      <c r="AL151" s="455">
        <v>0</v>
      </c>
      <c r="AM151" s="458">
        <v>0</v>
      </c>
      <c r="AN151" s="10"/>
    </row>
    <row r="152" spans="1:40" s="467" customFormat="1" x14ac:dyDescent="0.2">
      <c r="A152" s="623"/>
      <c r="N152" s="10"/>
      <c r="R152" s="10"/>
      <c r="S152" s="156" t="str">
        <f>+IF(OCTUBRE!S152=0,"",OCTUBRE!S152)</f>
        <v>2020102-3</v>
      </c>
      <c r="T152" s="159" t="str">
        <f>+IF(OCTUBRE!T152=0,"",OCTUBRE!T152)</f>
        <v>Combustible</v>
      </c>
      <c r="U152" s="29">
        <f>+ENERO!U152</f>
        <v>32621313</v>
      </c>
      <c r="V152" s="17">
        <f>OCTUBRE!V152+NOVIEMBRE!AL152</f>
        <v>0</v>
      </c>
      <c r="W152" s="17">
        <f>OCTUBRE!W152+NOVIEMBRE!AM152</f>
        <v>10000000</v>
      </c>
      <c r="X152" s="20">
        <f>SUM(U152:W152)</f>
        <v>42621313</v>
      </c>
      <c r="Y152" s="21">
        <f>OCTUBRE!AA152</f>
        <v>36407283</v>
      </c>
      <c r="Z152" s="457">
        <v>3722965</v>
      </c>
      <c r="AA152" s="20">
        <f>SUM(Y152:Z152)</f>
        <v>40130248</v>
      </c>
      <c r="AB152" s="21">
        <f>OCTUBRE!AD152</f>
        <v>36407283</v>
      </c>
      <c r="AC152" s="457">
        <v>3722965</v>
      </c>
      <c r="AD152" s="20">
        <f>SUM(AB152:AC152)</f>
        <v>40130248</v>
      </c>
      <c r="AE152" s="21">
        <f>OCTUBRE!AG152</f>
        <v>32621313</v>
      </c>
      <c r="AF152" s="457">
        <v>3785970</v>
      </c>
      <c r="AG152" s="20">
        <f>SUM(AE152:AF152)</f>
        <v>36407283</v>
      </c>
      <c r="AH152" s="21">
        <f>X152-AA152</f>
        <v>2491065</v>
      </c>
      <c r="AI152" s="17">
        <f>X152-AD152</f>
        <v>2491065</v>
      </c>
      <c r="AJ152" s="18">
        <f>X152-AG152</f>
        <v>6214030</v>
      </c>
      <c r="AK152" s="10"/>
      <c r="AL152" s="455">
        <v>0</v>
      </c>
      <c r="AM152" s="458">
        <v>0</v>
      </c>
      <c r="AN152" s="10"/>
    </row>
    <row r="153" spans="1:40" s="467" customFormat="1" x14ac:dyDescent="0.2">
      <c r="A153" s="623"/>
      <c r="N153" s="10"/>
      <c r="R153" s="10"/>
      <c r="S153" s="155">
        <f>+IF(OCTUBRE!S153=0,"",OCTUBRE!S153)</f>
        <v>2020199</v>
      </c>
      <c r="T153" s="159" t="str">
        <f>+IF(OCTUBRE!T153=0,"",OCTUBRE!T153)</f>
        <v>Vigencias Anteriores</v>
      </c>
      <c r="U153" s="29">
        <f>+ENERO!U153</f>
        <v>4000000</v>
      </c>
      <c r="V153" s="17">
        <f>OCTUBRE!V153+NOVIEMBRE!AL153</f>
        <v>4370491</v>
      </c>
      <c r="W153" s="17">
        <f>OCTUBRE!W153+NOVIEMBRE!AM153</f>
        <v>9287532</v>
      </c>
      <c r="X153" s="20">
        <f>SUM(U153:W153)</f>
        <v>17658023</v>
      </c>
      <c r="Y153" s="21">
        <f>OCTUBRE!AA153</f>
        <v>17658023</v>
      </c>
      <c r="Z153" s="457">
        <v>0</v>
      </c>
      <c r="AA153" s="20">
        <f>SUM(Y153:Z153)</f>
        <v>17658023</v>
      </c>
      <c r="AB153" s="21">
        <f>OCTUBRE!AD153</f>
        <v>17658023</v>
      </c>
      <c r="AC153" s="457">
        <v>0</v>
      </c>
      <c r="AD153" s="20">
        <f>SUM(AB153:AC153)</f>
        <v>17658023</v>
      </c>
      <c r="AE153" s="21">
        <f>OCTUBRE!AG153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+IF(OCTUBRE!S154=0,"",OCTUBRE!S154)</f>
        <v/>
      </c>
      <c r="T154" s="649" t="str">
        <f>+IF(OCTUBRE!T154=0,"",OCTUBRE!T154)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+IF(OCTUBRE!S155=0,"",OCTUBRE!S155)</f>
        <v>2020200</v>
      </c>
      <c r="T155" s="158" t="str">
        <f>+IF(OCTUBRE!T155=0,"",OCTUBRE!T155)</f>
        <v>Adquisición de Servicios</v>
      </c>
      <c r="U155" s="157">
        <f t="shared" ref="U155:AJ155" si="145">SUM(U156:U157)+U168</f>
        <v>214129198</v>
      </c>
      <c r="V155" s="144">
        <f t="shared" si="145"/>
        <v>-2041325</v>
      </c>
      <c r="W155" s="144">
        <f t="shared" si="145"/>
        <v>62600000</v>
      </c>
      <c r="X155" s="152">
        <f t="shared" si="145"/>
        <v>274687873</v>
      </c>
      <c r="Y155" s="151">
        <f t="shared" si="145"/>
        <v>198820796</v>
      </c>
      <c r="Z155" s="144">
        <f t="shared" si="145"/>
        <v>17292343</v>
      </c>
      <c r="AA155" s="152">
        <f t="shared" si="145"/>
        <v>216113139</v>
      </c>
      <c r="AB155" s="151">
        <f t="shared" si="145"/>
        <v>198550796</v>
      </c>
      <c r="AC155" s="144">
        <f t="shared" si="145"/>
        <v>17292343</v>
      </c>
      <c r="AD155" s="152">
        <f t="shared" si="145"/>
        <v>215843139</v>
      </c>
      <c r="AE155" s="151">
        <f t="shared" si="145"/>
        <v>173884077</v>
      </c>
      <c r="AF155" s="144">
        <f t="shared" si="145"/>
        <v>13958869</v>
      </c>
      <c r="AG155" s="152">
        <f t="shared" si="145"/>
        <v>187842946</v>
      </c>
      <c r="AH155" s="151">
        <f t="shared" si="145"/>
        <v>58574734</v>
      </c>
      <c r="AI155" s="144">
        <f t="shared" si="145"/>
        <v>58844734</v>
      </c>
      <c r="AJ155" s="153">
        <f t="shared" si="145"/>
        <v>86844927</v>
      </c>
      <c r="AK155" s="10"/>
      <c r="AL155" s="151">
        <f>SUM(AL156:AL157)+AL168</f>
        <v>0</v>
      </c>
      <c r="AM155" s="153">
        <f>SUM(AM156:AM157)+AM168</f>
        <v>0</v>
      </c>
      <c r="AN155" s="10"/>
    </row>
    <row r="156" spans="1:40" s="467" customFormat="1" x14ac:dyDescent="0.2">
      <c r="A156" s="623"/>
      <c r="N156" s="10"/>
      <c r="P156" s="10"/>
      <c r="Q156" s="10"/>
      <c r="R156" s="10"/>
      <c r="S156" s="155">
        <f>+IF(OCTUBRE!S156=0,"",OCTUBRE!S156)</f>
        <v>2020201</v>
      </c>
      <c r="T156" s="159" t="str">
        <f>+IF(OCTUBRE!T156=0,"",OCTUBRE!T156)</f>
        <v>Mantenimiento Hospitalario</v>
      </c>
      <c r="U156" s="29">
        <f>+ENERO!U156</f>
        <v>89449384</v>
      </c>
      <c r="V156" s="17">
        <f>OCTUBRE!V156+NOVIEMBRE!AL156</f>
        <v>0</v>
      </c>
      <c r="W156" s="17">
        <f>OCTUBRE!W156+NOVIEMBRE!AM156</f>
        <v>30900000</v>
      </c>
      <c r="X156" s="20">
        <f>SUM(U156:W156)</f>
        <v>120349384</v>
      </c>
      <c r="Y156" s="21">
        <f>OCTUBRE!AA156</f>
        <v>103404945</v>
      </c>
      <c r="Z156" s="457">
        <v>5155037</v>
      </c>
      <c r="AA156" s="20">
        <f>SUM(Y156:Z156)</f>
        <v>108559982</v>
      </c>
      <c r="AB156" s="21">
        <f>OCTUBRE!AD156</f>
        <v>103134945</v>
      </c>
      <c r="AC156" s="457">
        <v>5155037</v>
      </c>
      <c r="AD156" s="20">
        <f>SUM(AB156:AC156)</f>
        <v>108289982</v>
      </c>
      <c r="AE156" s="21">
        <f>OCTUBRE!AG156</f>
        <v>91411812</v>
      </c>
      <c r="AF156" s="457">
        <v>6287779</v>
      </c>
      <c r="AG156" s="20">
        <f>SUM(AE156:AF156)</f>
        <v>97699591</v>
      </c>
      <c r="AH156" s="21">
        <f>X156-AA156</f>
        <v>11789402</v>
      </c>
      <c r="AI156" s="17">
        <f>X156-AD156</f>
        <v>12059402</v>
      </c>
      <c r="AJ156" s="18">
        <f>X156-AG156</f>
        <v>22649793</v>
      </c>
      <c r="AK156" s="10"/>
      <c r="AL156" s="455">
        <v>0</v>
      </c>
      <c r="AM156" s="458">
        <v>0</v>
      </c>
      <c r="AN156" s="10"/>
    </row>
    <row r="157" spans="1:40" s="467" customFormat="1" x14ac:dyDescent="0.2">
      <c r="A157" s="623"/>
      <c r="N157" s="10"/>
      <c r="P157" s="10"/>
      <c r="Q157" s="10"/>
      <c r="R157" s="10"/>
      <c r="S157" s="155">
        <f>+IF(OCTUBRE!S157=0,"",OCTUBRE!S157)</f>
        <v>2020202</v>
      </c>
      <c r="T157" s="159" t="str">
        <f>+IF(OCTUBRE!T157=0,"",OCTUBRE!T157)</f>
        <v>Otros</v>
      </c>
      <c r="U157" s="29">
        <f t="shared" ref="U157:AJ157" si="146">SUM(U158:U167)</f>
        <v>111949655</v>
      </c>
      <c r="V157" s="17">
        <f t="shared" si="146"/>
        <v>0</v>
      </c>
      <c r="W157" s="17">
        <f t="shared" si="146"/>
        <v>31700000</v>
      </c>
      <c r="X157" s="20">
        <f t="shared" si="146"/>
        <v>143649655</v>
      </c>
      <c r="Y157" s="21">
        <f t="shared" si="146"/>
        <v>84727017</v>
      </c>
      <c r="Z157" s="169">
        <f t="shared" si="146"/>
        <v>12137306</v>
      </c>
      <c r="AA157" s="20">
        <f t="shared" si="146"/>
        <v>96864323</v>
      </c>
      <c r="AB157" s="21">
        <f t="shared" si="146"/>
        <v>84727017</v>
      </c>
      <c r="AC157" s="169">
        <f t="shared" si="146"/>
        <v>12137306</v>
      </c>
      <c r="AD157" s="20">
        <f t="shared" si="146"/>
        <v>96864323</v>
      </c>
      <c r="AE157" s="21">
        <f t="shared" si="146"/>
        <v>71783431</v>
      </c>
      <c r="AF157" s="169">
        <f t="shared" si="146"/>
        <v>7671090</v>
      </c>
      <c r="AG157" s="20">
        <f t="shared" si="146"/>
        <v>79454521</v>
      </c>
      <c r="AH157" s="21">
        <f t="shared" si="146"/>
        <v>46785332</v>
      </c>
      <c r="AI157" s="17">
        <f t="shared" si="146"/>
        <v>46785332</v>
      </c>
      <c r="AJ157" s="18">
        <f t="shared" si="146"/>
        <v>64195134</v>
      </c>
      <c r="AK157" s="12"/>
      <c r="AL157" s="31">
        <f>SUM(AL158:AL167)</f>
        <v>0</v>
      </c>
      <c r="AM157" s="28">
        <f>SUM(AM158:AM167)</f>
        <v>0</v>
      </c>
      <c r="AN157" s="10"/>
    </row>
    <row r="158" spans="1:40" s="467" customFormat="1" x14ac:dyDescent="0.2">
      <c r="A158" s="623"/>
      <c r="N158" s="10"/>
      <c r="P158" s="10"/>
      <c r="Q158" s="10"/>
      <c r="R158" s="10"/>
      <c r="S158" s="156" t="str">
        <f>+IF(OCTUBRE!S158=0,"",OCTUBRE!S158)</f>
        <v>2020202-1</v>
      </c>
      <c r="T158" s="55" t="str">
        <f>+IF(OCTUBRE!T158=0,"",OCTUBRE!T158)</f>
        <v>Seguros</v>
      </c>
      <c r="U158" s="29">
        <f>+ENERO!U158</f>
        <v>10500000</v>
      </c>
      <c r="V158" s="17">
        <f>OCTUBRE!V158+NOVIEMBRE!AL158</f>
        <v>0</v>
      </c>
      <c r="W158" s="17">
        <f>OCTUBRE!W158+NOVIEMBRE!AM158</f>
        <v>10000000</v>
      </c>
      <c r="X158" s="20">
        <f t="shared" ref="X158:X168" si="147">SUM(U158:W158)</f>
        <v>20500000</v>
      </c>
      <c r="Y158" s="21">
        <f>OCTUBRE!AA158</f>
        <v>10500000</v>
      </c>
      <c r="Z158" s="457">
        <v>5395153</v>
      </c>
      <c r="AA158" s="20">
        <f t="shared" ref="AA158:AA168" si="148">SUM(Y158:Z158)</f>
        <v>15895153</v>
      </c>
      <c r="AB158" s="21">
        <f>OCTUBRE!AD158</f>
        <v>10500000</v>
      </c>
      <c r="AC158" s="457">
        <v>5395153</v>
      </c>
      <c r="AD158" s="20">
        <f t="shared" ref="AD158:AD168" si="149">SUM(AB158:AC158)</f>
        <v>15895153</v>
      </c>
      <c r="AE158" s="21">
        <f>OCTUBRE!AG158</f>
        <v>10500000</v>
      </c>
      <c r="AF158" s="457">
        <v>0</v>
      </c>
      <c r="AG158" s="20">
        <f t="shared" ref="AG158:AG168" si="150">SUM(AE158:AF158)</f>
        <v>10500000</v>
      </c>
      <c r="AH158" s="21">
        <f t="shared" ref="AH158:AH168" si="151">X158-AA158</f>
        <v>4604847</v>
      </c>
      <c r="AI158" s="17">
        <f t="shared" ref="AI158:AI168" si="152">X158-AD158</f>
        <v>4604847</v>
      </c>
      <c r="AJ158" s="18">
        <f t="shared" ref="AJ158:AJ168" si="153">X158-AG158</f>
        <v>10000000</v>
      </c>
      <c r="AK158" s="10"/>
      <c r="AL158" s="455">
        <v>0</v>
      </c>
      <c r="AM158" s="458">
        <v>0</v>
      </c>
      <c r="AN158" s="10"/>
    </row>
    <row r="159" spans="1:40" s="467" customFormat="1" x14ac:dyDescent="0.2">
      <c r="A159" s="623"/>
      <c r="N159" s="10"/>
      <c r="P159" s="10"/>
      <c r="Q159" s="10"/>
      <c r="R159" s="10"/>
      <c r="S159" s="156" t="str">
        <f>+IF(OCTUBRE!S159=0,"",OCTUBRE!S159)</f>
        <v>2020202-2</v>
      </c>
      <c r="T159" s="55" t="str">
        <f>+IF(OCTUBRE!T159=0,"",OCTUBRE!T159)</f>
        <v>Impresos y Publicaciones</v>
      </c>
      <c r="U159" s="29">
        <f>+ENERO!U159</f>
        <v>6697601</v>
      </c>
      <c r="V159" s="17">
        <f>OCTUBRE!V159+NOVIEMBRE!AL159</f>
        <v>0</v>
      </c>
      <c r="W159" s="17">
        <f>OCTUBRE!W159+NOVIEMBRE!AM159</f>
        <v>4000000</v>
      </c>
      <c r="X159" s="20">
        <f t="shared" si="147"/>
        <v>10697601</v>
      </c>
      <c r="Y159" s="21">
        <f>OCTUBRE!AA159</f>
        <v>6797813</v>
      </c>
      <c r="Z159" s="457">
        <v>1760800</v>
      </c>
      <c r="AA159" s="20">
        <f t="shared" si="148"/>
        <v>8558613</v>
      </c>
      <c r="AB159" s="21">
        <f>OCTUBRE!AD159</f>
        <v>6797813</v>
      </c>
      <c r="AC159" s="457">
        <v>1760800</v>
      </c>
      <c r="AD159" s="20">
        <f t="shared" si="149"/>
        <v>8558613</v>
      </c>
      <c r="AE159" s="21">
        <f>OCTUBRE!AG159</f>
        <v>4726173</v>
      </c>
      <c r="AF159" s="457">
        <v>2071640</v>
      </c>
      <c r="AG159" s="20">
        <f t="shared" si="150"/>
        <v>6797813</v>
      </c>
      <c r="AH159" s="21">
        <f t="shared" si="151"/>
        <v>2138988</v>
      </c>
      <c r="AI159" s="17">
        <f t="shared" si="152"/>
        <v>2138988</v>
      </c>
      <c r="AJ159" s="18">
        <f t="shared" si="153"/>
        <v>3899788</v>
      </c>
      <c r="AK159" s="10"/>
      <c r="AL159" s="455">
        <v>0</v>
      </c>
      <c r="AM159" s="458">
        <v>0</v>
      </c>
      <c r="AN159" s="10"/>
    </row>
    <row r="160" spans="1:40" s="467" customFormat="1" x14ac:dyDescent="0.2">
      <c r="A160" s="623"/>
      <c r="N160" s="10"/>
      <c r="P160" s="10"/>
      <c r="Q160" s="10"/>
      <c r="R160" s="10"/>
      <c r="S160" s="156" t="str">
        <f>+IF(OCTUBRE!S160=0,"",OCTUBRE!S160)</f>
        <v>2020202-3</v>
      </c>
      <c r="T160" s="55" t="str">
        <f>+IF(OCTUBRE!T160=0,"",OCTUBRE!T160)</f>
        <v>Pago a otras IPS</v>
      </c>
      <c r="U160" s="29">
        <f>+ENERO!U160</f>
        <v>11458020</v>
      </c>
      <c r="V160" s="17">
        <f>OCTUBRE!V160+NOVIEMBRE!AL160</f>
        <v>0</v>
      </c>
      <c r="W160" s="17">
        <f>OCTUBRE!W160+NOVIEMBRE!AM160</f>
        <v>0</v>
      </c>
      <c r="X160" s="20">
        <f t="shared" si="147"/>
        <v>11458020</v>
      </c>
      <c r="Y160" s="21">
        <f>OCTUBRE!AA160</f>
        <v>2895114</v>
      </c>
      <c r="Z160" s="457">
        <v>89600</v>
      </c>
      <c r="AA160" s="20">
        <f t="shared" si="148"/>
        <v>2984714</v>
      </c>
      <c r="AB160" s="21">
        <f>OCTUBRE!AD160</f>
        <v>2895114</v>
      </c>
      <c r="AC160" s="457">
        <v>89600</v>
      </c>
      <c r="AD160" s="20">
        <f t="shared" si="149"/>
        <v>2984714</v>
      </c>
      <c r="AE160" s="21">
        <f>OCTUBRE!AG160</f>
        <v>786749</v>
      </c>
      <c r="AF160" s="457">
        <v>0</v>
      </c>
      <c r="AG160" s="20">
        <f t="shared" si="150"/>
        <v>786749</v>
      </c>
      <c r="AH160" s="21">
        <f t="shared" si="151"/>
        <v>8473306</v>
      </c>
      <c r="AI160" s="17">
        <f t="shared" si="152"/>
        <v>8473306</v>
      </c>
      <c r="AJ160" s="18">
        <f t="shared" si="153"/>
        <v>10671271</v>
      </c>
      <c r="AK160" s="10"/>
      <c r="AL160" s="455">
        <v>0</v>
      </c>
      <c r="AM160" s="458">
        <v>0</v>
      </c>
      <c r="AN160" s="10"/>
    </row>
    <row r="161" spans="1:40" s="467" customFormat="1" x14ac:dyDescent="0.2">
      <c r="A161" s="623"/>
      <c r="N161" s="10"/>
      <c r="P161" s="10"/>
      <c r="Q161" s="10"/>
      <c r="R161" s="10"/>
      <c r="S161" s="156" t="str">
        <f>+IF(OCTUBRE!S161=0,"",OCTUBRE!S161)</f>
        <v>2020202-4</v>
      </c>
      <c r="T161" s="55" t="str">
        <f>+IF(OCTUBRE!T161=0,"",OCTUBRE!T161)</f>
        <v>Comunicaciones y Transportes</v>
      </c>
      <c r="U161" s="29">
        <f>+ENERO!U161</f>
        <v>14340084</v>
      </c>
      <c r="V161" s="17">
        <f>OCTUBRE!V161+NOVIEMBRE!AL161</f>
        <v>0</v>
      </c>
      <c r="W161" s="17">
        <f>OCTUBRE!W161+NOVIEMBRE!AM161</f>
        <v>6000000</v>
      </c>
      <c r="X161" s="20">
        <f t="shared" si="147"/>
        <v>20340084</v>
      </c>
      <c r="Y161" s="21">
        <f>OCTUBRE!AA161</f>
        <v>14254770</v>
      </c>
      <c r="Z161" s="457">
        <v>89000</v>
      </c>
      <c r="AA161" s="20">
        <f t="shared" si="148"/>
        <v>14343770</v>
      </c>
      <c r="AB161" s="21">
        <f>OCTUBRE!AD161</f>
        <v>14254770</v>
      </c>
      <c r="AC161" s="457">
        <v>89000</v>
      </c>
      <c r="AD161" s="20">
        <f t="shared" si="149"/>
        <v>14343770</v>
      </c>
      <c r="AE161" s="21">
        <f>OCTUBRE!AG161</f>
        <v>12299270</v>
      </c>
      <c r="AF161" s="457">
        <v>91500</v>
      </c>
      <c r="AG161" s="20">
        <f t="shared" si="150"/>
        <v>12390770</v>
      </c>
      <c r="AH161" s="21">
        <f t="shared" si="151"/>
        <v>5996314</v>
      </c>
      <c r="AI161" s="17">
        <f t="shared" si="152"/>
        <v>5996314</v>
      </c>
      <c r="AJ161" s="18">
        <f t="shared" si="153"/>
        <v>7949314</v>
      </c>
      <c r="AK161" s="10"/>
      <c r="AL161" s="455">
        <v>0</v>
      </c>
      <c r="AM161" s="458">
        <v>0</v>
      </c>
      <c r="AN161" s="10"/>
    </row>
    <row r="162" spans="1:40" s="467" customFormat="1" x14ac:dyDescent="0.2">
      <c r="A162" s="623"/>
      <c r="N162" s="10"/>
      <c r="P162" s="10"/>
      <c r="Q162" s="10"/>
      <c r="R162" s="10"/>
      <c r="S162" s="156" t="str">
        <f>+IF(OCTUBRE!S162=0,"",OCTUBRE!S162)</f>
        <v>2020202-5</v>
      </c>
      <c r="T162" s="55" t="str">
        <f>+IF(OCTUBRE!T162=0,"",OCTUBRE!T162)</f>
        <v>Viáticos y Gastos de Viaje</v>
      </c>
      <c r="U162" s="29">
        <f>+ENERO!U162</f>
        <v>23894636</v>
      </c>
      <c r="V162" s="17">
        <f>OCTUBRE!V162+NOVIEMBRE!AL162</f>
        <v>0</v>
      </c>
      <c r="W162" s="17">
        <f>OCTUBRE!W162+NOVIEMBRE!AM162</f>
        <v>6000000</v>
      </c>
      <c r="X162" s="20">
        <f t="shared" si="147"/>
        <v>29894636</v>
      </c>
      <c r="Y162" s="21">
        <f>OCTUBRE!AA162</f>
        <v>20110227</v>
      </c>
      <c r="Z162" s="457">
        <v>2111753</v>
      </c>
      <c r="AA162" s="20">
        <f t="shared" si="148"/>
        <v>22221980</v>
      </c>
      <c r="AB162" s="21">
        <f>OCTUBRE!AD162</f>
        <v>20110227</v>
      </c>
      <c r="AC162" s="457">
        <v>2111753</v>
      </c>
      <c r="AD162" s="20">
        <f t="shared" si="149"/>
        <v>22221980</v>
      </c>
      <c r="AE162" s="21">
        <f>OCTUBRE!AG162</f>
        <v>20110227</v>
      </c>
      <c r="AF162" s="457">
        <v>2098406</v>
      </c>
      <c r="AG162" s="20">
        <f t="shared" si="150"/>
        <v>22208633</v>
      </c>
      <c r="AH162" s="21">
        <f t="shared" si="151"/>
        <v>7672656</v>
      </c>
      <c r="AI162" s="17">
        <f t="shared" si="152"/>
        <v>7672656</v>
      </c>
      <c r="AJ162" s="18">
        <f t="shared" si="153"/>
        <v>7686003</v>
      </c>
      <c r="AK162" s="10"/>
      <c r="AL162" s="455">
        <v>0</v>
      </c>
      <c r="AM162" s="458">
        <v>0</v>
      </c>
      <c r="AN162" s="10"/>
    </row>
    <row r="163" spans="1:40" s="467" customFormat="1" x14ac:dyDescent="0.2">
      <c r="A163" s="623"/>
      <c r="N163" s="10"/>
      <c r="P163" s="10"/>
      <c r="Q163" s="10"/>
      <c r="R163" s="10"/>
      <c r="S163" s="156" t="str">
        <f>+IF(OCTUBRE!S163=0,"",OCTUBRE!S163)</f>
        <v>2020202-6</v>
      </c>
      <c r="T163" s="55" t="str">
        <f>+IF(OCTUBRE!T163=0,"",OCTUBRE!T163)</f>
        <v>Plan Integral de Manejo de Residuos Sólidos Hospitalarios</v>
      </c>
      <c r="U163" s="29">
        <f>+ENERO!U163</f>
        <v>8565804</v>
      </c>
      <c r="V163" s="17">
        <f>OCTUBRE!V163+NOVIEMBRE!AL163</f>
        <v>0</v>
      </c>
      <c r="W163" s="17">
        <f>OCTUBRE!W163+NOVIEMBRE!AM163</f>
        <v>2700000</v>
      </c>
      <c r="X163" s="20">
        <f t="shared" si="147"/>
        <v>11265804</v>
      </c>
      <c r="Y163" s="21">
        <f>OCTUBRE!AA163</f>
        <v>6476693</v>
      </c>
      <c r="Z163" s="457">
        <v>0</v>
      </c>
      <c r="AA163" s="20">
        <f t="shared" si="148"/>
        <v>6476693</v>
      </c>
      <c r="AB163" s="21">
        <f>OCTUBRE!AD163</f>
        <v>6476693</v>
      </c>
      <c r="AC163" s="457">
        <v>0</v>
      </c>
      <c r="AD163" s="20">
        <f t="shared" si="149"/>
        <v>6476693</v>
      </c>
      <c r="AE163" s="21">
        <f>OCTUBRE!AG163</f>
        <v>4268412</v>
      </c>
      <c r="AF163" s="457">
        <v>502644</v>
      </c>
      <c r="AG163" s="20">
        <f t="shared" si="150"/>
        <v>4771056</v>
      </c>
      <c r="AH163" s="21">
        <f t="shared" si="151"/>
        <v>4789111</v>
      </c>
      <c r="AI163" s="17">
        <f t="shared" si="152"/>
        <v>4789111</v>
      </c>
      <c r="AJ163" s="18">
        <f t="shared" si="153"/>
        <v>6494748</v>
      </c>
      <c r="AK163" s="10"/>
      <c r="AL163" s="455">
        <v>0</v>
      </c>
      <c r="AM163" s="458">
        <v>0</v>
      </c>
      <c r="AN163" s="10"/>
    </row>
    <row r="164" spans="1:40" s="467" customFormat="1" x14ac:dyDescent="0.2">
      <c r="A164" s="623"/>
      <c r="N164" s="10"/>
      <c r="P164" s="10"/>
      <c r="Q164" s="10"/>
      <c r="R164" s="10"/>
      <c r="S164" s="156" t="str">
        <f>+IF(OCTUBRE!S164=0,"",OCTUBRE!S164)</f>
        <v>2020202-7</v>
      </c>
      <c r="T164" s="55" t="str">
        <f>+IF(OCTUBRE!T164=0,"",OCTUBRE!T164)</f>
        <v>Servicios de Laboratorio contratados con terceros</v>
      </c>
      <c r="U164" s="29">
        <f>+ENERO!U164</f>
        <v>12000000</v>
      </c>
      <c r="V164" s="17">
        <f>OCTUBRE!V164+NOVIEMBRE!AL164</f>
        <v>0</v>
      </c>
      <c r="W164" s="17">
        <f>OCTUBRE!W164+NOVIEMBRE!AM164</f>
        <v>0</v>
      </c>
      <c r="X164" s="20">
        <f t="shared" si="147"/>
        <v>12000000</v>
      </c>
      <c r="Y164" s="21">
        <f>OCTUBRE!AA164</f>
        <v>3505400</v>
      </c>
      <c r="Z164" s="457">
        <v>0</v>
      </c>
      <c r="AA164" s="20">
        <f t="shared" si="148"/>
        <v>3505400</v>
      </c>
      <c r="AB164" s="21">
        <f>OCTUBRE!AD164</f>
        <v>3505400</v>
      </c>
      <c r="AC164" s="457">
        <v>0</v>
      </c>
      <c r="AD164" s="20">
        <f t="shared" si="149"/>
        <v>3505400</v>
      </c>
      <c r="AE164" s="21">
        <f>OCTUBRE!AG164</f>
        <v>1388600</v>
      </c>
      <c r="AF164" s="457">
        <v>423900</v>
      </c>
      <c r="AG164" s="20">
        <f t="shared" si="150"/>
        <v>1812500</v>
      </c>
      <c r="AH164" s="21">
        <f t="shared" si="151"/>
        <v>8494600</v>
      </c>
      <c r="AI164" s="17">
        <f t="shared" si="152"/>
        <v>8494600</v>
      </c>
      <c r="AJ164" s="18">
        <f t="shared" si="153"/>
        <v>10187500</v>
      </c>
      <c r="AK164" s="10"/>
      <c r="AL164" s="455">
        <v>0</v>
      </c>
      <c r="AM164" s="458">
        <v>0</v>
      </c>
      <c r="AN164" s="10"/>
    </row>
    <row r="165" spans="1:40" s="467" customFormat="1" x14ac:dyDescent="0.2">
      <c r="A165" s="623"/>
      <c r="N165" s="10"/>
      <c r="P165" s="10"/>
      <c r="Q165" s="10"/>
      <c r="R165" s="10"/>
      <c r="S165" s="156" t="str">
        <f>+IF(OCTUBRE!S165=0,"",OCTUBRE!S165)</f>
        <v>2020202-8</v>
      </c>
      <c r="T165" s="55" t="str">
        <f>+IF(OCTUBRE!T165=0,"",OCTUBRE!T165)</f>
        <v>Servicios de Rayos X e Imaginología contratado con terceros</v>
      </c>
      <c r="U165" s="29">
        <f>+ENERO!U165</f>
        <v>19000000</v>
      </c>
      <c r="V165" s="17">
        <f>OCTUBRE!V165+NOVIEMBRE!AL165</f>
        <v>0</v>
      </c>
      <c r="W165" s="17">
        <f>OCTUBRE!W165+NOVIEMBRE!AM165</f>
        <v>0</v>
      </c>
      <c r="X165" s="20">
        <f t="shared" si="147"/>
        <v>19000000</v>
      </c>
      <c r="Y165" s="21">
        <f>OCTUBRE!AA165</f>
        <v>14872000</v>
      </c>
      <c r="Z165" s="457">
        <v>2691000</v>
      </c>
      <c r="AA165" s="20">
        <f t="shared" si="148"/>
        <v>17563000</v>
      </c>
      <c r="AB165" s="21">
        <f>OCTUBRE!AD165</f>
        <v>14872000</v>
      </c>
      <c r="AC165" s="457">
        <v>2691000</v>
      </c>
      <c r="AD165" s="20">
        <f t="shared" si="149"/>
        <v>17563000</v>
      </c>
      <c r="AE165" s="21">
        <f>OCTUBRE!AG165</f>
        <v>12389000</v>
      </c>
      <c r="AF165" s="457">
        <v>2483000</v>
      </c>
      <c r="AG165" s="20">
        <f t="shared" si="150"/>
        <v>14872000</v>
      </c>
      <c r="AH165" s="21">
        <f t="shared" si="151"/>
        <v>1437000</v>
      </c>
      <c r="AI165" s="17">
        <f t="shared" si="152"/>
        <v>1437000</v>
      </c>
      <c r="AJ165" s="18">
        <f t="shared" si="153"/>
        <v>4128000</v>
      </c>
      <c r="AK165" s="10"/>
      <c r="AL165" s="455">
        <v>0</v>
      </c>
      <c r="AM165" s="458">
        <v>0</v>
      </c>
      <c r="AN165" s="10"/>
    </row>
    <row r="166" spans="1:40" s="467" customFormat="1" x14ac:dyDescent="0.2">
      <c r="A166" s="623"/>
      <c r="N166" s="10"/>
      <c r="P166" s="10"/>
      <c r="Q166" s="10"/>
      <c r="R166" s="10"/>
      <c r="S166" s="156" t="str">
        <f>+IF(OCTUBRE!S166=0,"",OCTUBRE!S166)</f>
        <v>2020202-9</v>
      </c>
      <c r="T166" s="55" t="str">
        <f>+IF(OCTUBRE!T166=0,"",OCTUBRE!T166)</f>
        <v>Arrendamientos</v>
      </c>
      <c r="U166" s="29">
        <f>+ENERO!U166</f>
        <v>5493510</v>
      </c>
      <c r="V166" s="17">
        <f>OCTUBRE!V166+NOVIEMBRE!AL166</f>
        <v>0</v>
      </c>
      <c r="W166" s="17">
        <f>OCTUBRE!W166+NOVIEMBRE!AM166</f>
        <v>3000000</v>
      </c>
      <c r="X166" s="20">
        <f t="shared" si="147"/>
        <v>8493510</v>
      </c>
      <c r="Y166" s="21">
        <f>OCTUBRE!AA166</f>
        <v>5315000</v>
      </c>
      <c r="Z166" s="457">
        <v>0</v>
      </c>
      <c r="AA166" s="20">
        <f t="shared" si="148"/>
        <v>5315000</v>
      </c>
      <c r="AB166" s="21">
        <f>OCTUBRE!AD166</f>
        <v>5315000</v>
      </c>
      <c r="AC166" s="457">
        <v>0</v>
      </c>
      <c r="AD166" s="20">
        <f t="shared" si="149"/>
        <v>5315000</v>
      </c>
      <c r="AE166" s="21">
        <f>OCTUBRE!AG166</f>
        <v>5315000</v>
      </c>
      <c r="AF166" s="457">
        <v>0</v>
      </c>
      <c r="AG166" s="20">
        <f t="shared" si="150"/>
        <v>5315000</v>
      </c>
      <c r="AH166" s="21">
        <f t="shared" si="151"/>
        <v>3178510</v>
      </c>
      <c r="AI166" s="17">
        <f t="shared" si="152"/>
        <v>3178510</v>
      </c>
      <c r="AJ166" s="18">
        <f t="shared" si="153"/>
        <v>3178510</v>
      </c>
      <c r="AK166" s="10"/>
      <c r="AL166" s="455">
        <v>0</v>
      </c>
      <c r="AM166" s="458">
        <v>0</v>
      </c>
      <c r="AN166" s="10"/>
    </row>
    <row r="167" spans="1:40" s="467" customFormat="1" x14ac:dyDescent="0.2">
      <c r="A167" s="623"/>
      <c r="N167" s="10"/>
      <c r="P167" s="10"/>
      <c r="Q167" s="10"/>
      <c r="R167" s="10"/>
      <c r="S167" s="156" t="str">
        <f>+IF(OCTUBRE!S167=0,"",OCTUBRE!S167)</f>
        <v>2020202-10</v>
      </c>
      <c r="T167" s="55" t="str">
        <f>+IF(OCTUBRE!T167=0,"",OCTUBRE!T167)</f>
        <v>Servicios Públicos</v>
      </c>
      <c r="U167" s="29">
        <f>+ENERO!U167</f>
        <v>0</v>
      </c>
      <c r="V167" s="17">
        <f>OCTUBRE!V167+NOVIEMBRE!AL167</f>
        <v>0</v>
      </c>
      <c r="W167" s="17">
        <f>OCTUBRE!W167+NOVIEMBRE!AM167</f>
        <v>0</v>
      </c>
      <c r="X167" s="20">
        <f>SUM(U167:W167)</f>
        <v>0</v>
      </c>
      <c r="Y167" s="21">
        <f>OCTUBRE!AA167</f>
        <v>0</v>
      </c>
      <c r="Z167" s="457">
        <v>0</v>
      </c>
      <c r="AA167" s="20">
        <f>SUM(Y167:Z167)</f>
        <v>0</v>
      </c>
      <c r="AB167" s="21">
        <f>OCTUBRE!AD167</f>
        <v>0</v>
      </c>
      <c r="AC167" s="457">
        <v>0</v>
      </c>
      <c r="AD167" s="20">
        <f>SUM(AB167:AC167)</f>
        <v>0</v>
      </c>
      <c r="AE167" s="21">
        <f>OCTUBRE!AG167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+IF(OCTUBRE!S168=0,"",OCTUBRE!S168)</f>
        <v>2020299</v>
      </c>
      <c r="T168" s="159" t="str">
        <f>+IF(OCTUBRE!T168=0,"",OCTUBRE!T168)</f>
        <v>Vigencias Anteriores</v>
      </c>
      <c r="U168" s="29">
        <f>+ENERO!U168</f>
        <v>12730159</v>
      </c>
      <c r="V168" s="17">
        <f>OCTUBRE!V168+NOVIEMBRE!AL168</f>
        <v>-2041325</v>
      </c>
      <c r="W168" s="17">
        <f>OCTUBRE!W168+NOVIEMBRE!AM168</f>
        <v>0</v>
      </c>
      <c r="X168" s="20">
        <f t="shared" si="147"/>
        <v>10688834</v>
      </c>
      <c r="Y168" s="21">
        <f>OCTUBRE!AA168</f>
        <v>10688834</v>
      </c>
      <c r="Z168" s="457">
        <v>0</v>
      </c>
      <c r="AA168" s="20">
        <f t="shared" si="148"/>
        <v>10688834</v>
      </c>
      <c r="AB168" s="21">
        <f>OCTUBRE!AD168</f>
        <v>10688834</v>
      </c>
      <c r="AC168" s="457">
        <v>0</v>
      </c>
      <c r="AD168" s="20">
        <f t="shared" si="149"/>
        <v>10688834</v>
      </c>
      <c r="AE168" s="21">
        <f>OCTUBRE!AG168</f>
        <v>10688834</v>
      </c>
      <c r="AF168" s="457">
        <v>0</v>
      </c>
      <c r="AG168" s="20">
        <f t="shared" si="150"/>
        <v>10688834</v>
      </c>
      <c r="AH168" s="21">
        <f t="shared" si="151"/>
        <v>0</v>
      </c>
      <c r="AI168" s="17">
        <f t="shared" si="152"/>
        <v>0</v>
      </c>
      <c r="AJ168" s="18">
        <f t="shared" si="153"/>
        <v>0</v>
      </c>
      <c r="AK168" s="10"/>
      <c r="AL168" s="455">
        <v>0</v>
      </c>
      <c r="AM168" s="458">
        <v>0</v>
      </c>
      <c r="AN168" s="10"/>
    </row>
    <row r="169" spans="1:40" s="467" customFormat="1" ht="15.75" x14ac:dyDescent="0.2">
      <c r="A169" s="623"/>
      <c r="N169" s="10"/>
      <c r="P169" s="10"/>
      <c r="Q169" s="10"/>
      <c r="R169" s="10"/>
      <c r="S169" s="448" t="str">
        <f>+IF(OCTUBRE!S169=0,"",OCTUBRE!S169)</f>
        <v/>
      </c>
      <c r="T169" s="649" t="str">
        <f>+IF(OCTUBRE!T169=0,"",OCTUBRE!T169)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+IF(OCTUBRE!S170=0,"",OCTUBRE!S170)</f>
        <v>3000000</v>
      </c>
      <c r="T170" s="588" t="str">
        <f>+IF(OCTUBRE!T170=0,"",OCTUBRE!T170)</f>
        <v>TRANSFERENCIAS CORRIENTES</v>
      </c>
      <c r="U170" s="589">
        <f t="shared" ref="U170:AJ170" si="154">U172+U176+U185</f>
        <v>217489235</v>
      </c>
      <c r="V170" s="590">
        <f t="shared" si="154"/>
        <v>-12907692</v>
      </c>
      <c r="W170" s="590">
        <f t="shared" si="154"/>
        <v>1000000</v>
      </c>
      <c r="X170" s="591">
        <f t="shared" si="154"/>
        <v>205581543</v>
      </c>
      <c r="Y170" s="464">
        <f t="shared" si="154"/>
        <v>111588848</v>
      </c>
      <c r="Z170" s="590">
        <f t="shared" si="154"/>
        <v>15122076</v>
      </c>
      <c r="AA170" s="591">
        <f t="shared" si="154"/>
        <v>126710924</v>
      </c>
      <c r="AB170" s="464">
        <f t="shared" si="154"/>
        <v>111588848</v>
      </c>
      <c r="AC170" s="590">
        <f t="shared" si="154"/>
        <v>15122076</v>
      </c>
      <c r="AD170" s="591">
        <f t="shared" si="154"/>
        <v>126710924</v>
      </c>
      <c r="AE170" s="464">
        <f t="shared" si="154"/>
        <v>109089959</v>
      </c>
      <c r="AF170" s="590">
        <f t="shared" si="154"/>
        <v>7556193</v>
      </c>
      <c r="AG170" s="591">
        <f t="shared" si="154"/>
        <v>116646152</v>
      </c>
      <c r="AH170" s="464">
        <f t="shared" si="154"/>
        <v>78870619</v>
      </c>
      <c r="AI170" s="590">
        <f t="shared" si="154"/>
        <v>78870619</v>
      </c>
      <c r="AJ170" s="465">
        <f t="shared" si="154"/>
        <v>88935391</v>
      </c>
      <c r="AK170" s="10"/>
      <c r="AL170" s="151">
        <f>AL172+AL176+AL185</f>
        <v>0</v>
      </c>
      <c r="AM170" s="153">
        <f>AM172+AM176+AM185</f>
        <v>0</v>
      </c>
      <c r="AN170" s="10"/>
    </row>
    <row r="171" spans="1:40" s="467" customFormat="1" ht="15.75" x14ac:dyDescent="0.2">
      <c r="A171" s="623"/>
      <c r="N171" s="10"/>
      <c r="P171" s="10"/>
      <c r="Q171" s="10"/>
      <c r="R171" s="10"/>
      <c r="S171" s="448" t="str">
        <f>+IF(OCTUBRE!S171=0,"",OCTUBRE!S171)</f>
        <v/>
      </c>
      <c r="T171" s="649" t="str">
        <f>+IF(OCTUBRE!T171=0,"",OCTUBRE!T171)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+IF(OCTUBRE!S172=0,"",OCTUBRE!S172)</f>
        <v>3100000</v>
      </c>
      <c r="T172" s="158" t="str">
        <f>+IF(OCTUBRE!T172=0,"",OCTUBRE!T172)</f>
        <v>Transferencias al Sector Público</v>
      </c>
      <c r="U172" s="157">
        <f t="shared" ref="U172:AJ172" si="155">SUM(U173:U174)</f>
        <v>2689964</v>
      </c>
      <c r="V172" s="144">
        <f t="shared" si="155"/>
        <v>746499</v>
      </c>
      <c r="W172" s="144">
        <f t="shared" si="155"/>
        <v>0</v>
      </c>
      <c r="X172" s="152">
        <f t="shared" si="155"/>
        <v>3436463</v>
      </c>
      <c r="Y172" s="151">
        <f t="shared" si="155"/>
        <v>1764329</v>
      </c>
      <c r="Z172" s="144">
        <f t="shared" si="155"/>
        <v>101783</v>
      </c>
      <c r="AA172" s="152">
        <f t="shared" si="155"/>
        <v>1866112</v>
      </c>
      <c r="AB172" s="151">
        <f t="shared" si="155"/>
        <v>1764329</v>
      </c>
      <c r="AC172" s="144">
        <f t="shared" si="155"/>
        <v>101783</v>
      </c>
      <c r="AD172" s="152">
        <f t="shared" si="155"/>
        <v>1866112</v>
      </c>
      <c r="AE172" s="151">
        <f t="shared" si="155"/>
        <v>1662546</v>
      </c>
      <c r="AF172" s="144">
        <f t="shared" si="155"/>
        <v>0</v>
      </c>
      <c r="AG172" s="152">
        <f t="shared" si="155"/>
        <v>1662546</v>
      </c>
      <c r="AH172" s="151">
        <f t="shared" si="155"/>
        <v>1570351</v>
      </c>
      <c r="AI172" s="144">
        <f t="shared" si="155"/>
        <v>1570351</v>
      </c>
      <c r="AJ172" s="153">
        <f t="shared" si="155"/>
        <v>1773917</v>
      </c>
      <c r="AK172" s="10"/>
      <c r="AL172" s="151">
        <f>SUM(AL173:AL174)</f>
        <v>0</v>
      </c>
      <c r="AM172" s="153">
        <f>SUM(AM173:AM174)</f>
        <v>0</v>
      </c>
      <c r="AN172" s="10"/>
    </row>
    <row r="173" spans="1:40" s="467" customFormat="1" x14ac:dyDescent="0.2">
      <c r="A173" s="623"/>
      <c r="N173" s="10"/>
      <c r="P173" s="10"/>
      <c r="Q173" s="10"/>
      <c r="R173" s="10"/>
      <c r="S173" s="155">
        <f>+IF(OCTUBRE!S173=0,"",OCTUBRE!S173)</f>
        <v>3100003</v>
      </c>
      <c r="T173" s="159" t="str">
        <f>+IF(OCTUBRE!T173=0,"",OCTUBRE!T173)</f>
        <v>Entidades Públicas (Contraloria, Supersalud,…)</v>
      </c>
      <c r="U173" s="29">
        <f>+ENERO!U173</f>
        <v>2689964</v>
      </c>
      <c r="V173" s="17">
        <f>OCTUBRE!V173+NOVIEMBRE!AL173</f>
        <v>0</v>
      </c>
      <c r="W173" s="17">
        <f>OCTUBRE!W173+NOVIEMBRE!AM173</f>
        <v>0</v>
      </c>
      <c r="X173" s="20">
        <f>SUM(U173:W173)</f>
        <v>2689964</v>
      </c>
      <c r="Y173" s="21">
        <f>OCTUBRE!AA173</f>
        <v>1017830</v>
      </c>
      <c r="Z173" s="457">
        <v>101783</v>
      </c>
      <c r="AA173" s="20">
        <f>SUM(Y173:Z173)</f>
        <v>1119613</v>
      </c>
      <c r="AB173" s="21">
        <f>OCTUBRE!AD173</f>
        <v>1017830</v>
      </c>
      <c r="AC173" s="457">
        <v>101783</v>
      </c>
      <c r="AD173" s="20">
        <f>SUM(AB173:AC173)</f>
        <v>1119613</v>
      </c>
      <c r="AE173" s="21">
        <f>OCTUBRE!AG173</f>
        <v>916047</v>
      </c>
      <c r="AF173" s="457">
        <v>0</v>
      </c>
      <c r="AG173" s="20">
        <f>SUM(AE173:AF173)</f>
        <v>916047</v>
      </c>
      <c r="AH173" s="21">
        <f>X173-AA173</f>
        <v>1570351</v>
      </c>
      <c r="AI173" s="17">
        <f>X173-AD173</f>
        <v>1570351</v>
      </c>
      <c r="AJ173" s="18">
        <f>X173-AG173</f>
        <v>1773917</v>
      </c>
      <c r="AK173" s="10"/>
      <c r="AL173" s="455">
        <v>0</v>
      </c>
      <c r="AM173" s="458">
        <v>0</v>
      </c>
      <c r="AN173" s="10"/>
    </row>
    <row r="174" spans="1:40" s="467" customFormat="1" x14ac:dyDescent="0.2">
      <c r="A174" s="623"/>
      <c r="N174" s="10"/>
      <c r="P174" s="10"/>
      <c r="Q174" s="10"/>
      <c r="R174" s="10"/>
      <c r="S174" s="155">
        <f>+IF(OCTUBRE!S174=0,"",OCTUBRE!S174)</f>
        <v>3199999</v>
      </c>
      <c r="T174" s="159" t="str">
        <f>+IF(OCTUBRE!T174=0,"",OCTUBRE!T174)</f>
        <v>Vigencias Anteriores</v>
      </c>
      <c r="U174" s="29">
        <f>+ENERO!U174</f>
        <v>0</v>
      </c>
      <c r="V174" s="17">
        <f>OCTUBRE!V174+NOVIEMBRE!AL174</f>
        <v>746499</v>
      </c>
      <c r="W174" s="17">
        <f>OCTUBRE!W174+NOVIEMBRE!AM174</f>
        <v>0</v>
      </c>
      <c r="X174" s="20">
        <f>SUM(U174:W174)</f>
        <v>746499</v>
      </c>
      <c r="Y174" s="21">
        <f>OCTUBRE!AA174</f>
        <v>746499</v>
      </c>
      <c r="Z174" s="457">
        <v>0</v>
      </c>
      <c r="AA174" s="20">
        <f>SUM(Y174:Z174)</f>
        <v>746499</v>
      </c>
      <c r="AB174" s="21">
        <f>OCTUBRE!AD174</f>
        <v>746499</v>
      </c>
      <c r="AC174" s="457">
        <v>0</v>
      </c>
      <c r="AD174" s="20">
        <f>SUM(AB174:AC174)</f>
        <v>746499</v>
      </c>
      <c r="AE174" s="21">
        <f>OCTUBRE!AG174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+IF(OCTUBRE!S175=0,"",OCTUBRE!S175)</f>
        <v/>
      </c>
      <c r="T175" s="649" t="str">
        <f>+IF(OCTUBRE!T175=0,"",OCTUBRE!T175)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+IF(OCTUBRE!S176=0,"",OCTUBRE!S176)</f>
        <v>320000</v>
      </c>
      <c r="T176" s="158" t="str">
        <f>+IF(OCTUBRE!T176=0,"",OCTUBRE!T176)</f>
        <v>Transf. Previsión y Seguridad Social</v>
      </c>
      <c r="U176" s="157">
        <f t="shared" ref="U176:AJ176" si="156">SUM(U177:U183)</f>
        <v>213299271</v>
      </c>
      <c r="V176" s="144">
        <f t="shared" si="156"/>
        <v>-14130741</v>
      </c>
      <c r="W176" s="144">
        <f t="shared" si="156"/>
        <v>0</v>
      </c>
      <c r="X176" s="152">
        <f t="shared" si="156"/>
        <v>199168530</v>
      </c>
      <c r="Y176" s="151">
        <f t="shared" si="156"/>
        <v>108141275</v>
      </c>
      <c r="Z176" s="144">
        <f t="shared" si="156"/>
        <v>15020293</v>
      </c>
      <c r="AA176" s="152">
        <f t="shared" si="156"/>
        <v>123161568</v>
      </c>
      <c r="AB176" s="151">
        <f t="shared" si="156"/>
        <v>108141275</v>
      </c>
      <c r="AC176" s="144">
        <f t="shared" si="156"/>
        <v>15020293</v>
      </c>
      <c r="AD176" s="152">
        <f t="shared" si="156"/>
        <v>123161568</v>
      </c>
      <c r="AE176" s="151">
        <f t="shared" si="156"/>
        <v>106381918</v>
      </c>
      <c r="AF176" s="144">
        <f t="shared" si="156"/>
        <v>7556193</v>
      </c>
      <c r="AG176" s="152">
        <f t="shared" si="156"/>
        <v>113938111</v>
      </c>
      <c r="AH176" s="151">
        <f t="shared" si="156"/>
        <v>76006962</v>
      </c>
      <c r="AI176" s="144">
        <f t="shared" si="156"/>
        <v>76006962</v>
      </c>
      <c r="AJ176" s="153">
        <f t="shared" si="156"/>
        <v>85230419</v>
      </c>
      <c r="AK176" s="10"/>
      <c r="AL176" s="151">
        <f>SUM(AL177:AL183)</f>
        <v>0</v>
      </c>
      <c r="AM176" s="153">
        <f>SUM(AM177:AM183)</f>
        <v>0</v>
      </c>
      <c r="AN176" s="10"/>
    </row>
    <row r="177" spans="1:40" s="467" customFormat="1" x14ac:dyDescent="0.2">
      <c r="A177" s="623"/>
      <c r="N177" s="10"/>
      <c r="P177" s="10"/>
      <c r="Q177" s="10"/>
      <c r="R177" s="10"/>
      <c r="S177" s="155">
        <f>+IF(OCTUBRE!S177=0,"",OCTUBRE!S177)</f>
        <v>3200100</v>
      </c>
      <c r="T177" s="159" t="str">
        <f>+IF(OCTUBRE!T177=0,"",OCTUBRE!T177)</f>
        <v>Pensiones y Jubilaciones (Pago Directo)</v>
      </c>
      <c r="U177" s="29">
        <f>+ENERO!U177</f>
        <v>104106866</v>
      </c>
      <c r="V177" s="17">
        <f>OCTUBRE!V177+NOVIEMBRE!AL177</f>
        <v>0</v>
      </c>
      <c r="W177" s="17">
        <f>OCTUBRE!W177+NOVIEMBRE!AM177</f>
        <v>0</v>
      </c>
      <c r="X177" s="20">
        <f t="shared" ref="X177:X183" si="157">SUM(U177:W177)</f>
        <v>104106866</v>
      </c>
      <c r="Y177" s="21">
        <f>OCTUBRE!AA177</f>
        <v>81094225</v>
      </c>
      <c r="Z177" s="457">
        <v>7458862</v>
      </c>
      <c r="AA177" s="20">
        <f t="shared" ref="AA177:AA183" si="158">SUM(Y177:Z177)</f>
        <v>88553087</v>
      </c>
      <c r="AB177" s="21">
        <f>OCTUBRE!AD177</f>
        <v>81094225</v>
      </c>
      <c r="AC177" s="457">
        <v>7458862</v>
      </c>
      <c r="AD177" s="20">
        <f t="shared" ref="AD177:AD183" si="159">SUM(AB177:AC177)</f>
        <v>88553087</v>
      </c>
      <c r="AE177" s="21">
        <f>OCTUBRE!AG177</f>
        <v>79962833</v>
      </c>
      <c r="AF177" s="457">
        <v>7458862</v>
      </c>
      <c r="AG177" s="20">
        <f t="shared" ref="AG177:AG183" si="160">SUM(AE177:AF177)</f>
        <v>87421695</v>
      </c>
      <c r="AH177" s="21">
        <f t="shared" ref="AH177:AH183" si="161">X177-AA177</f>
        <v>15553779</v>
      </c>
      <c r="AI177" s="17">
        <f t="shared" ref="AI177:AI183" si="162">X177-AD177</f>
        <v>15553779</v>
      </c>
      <c r="AJ177" s="18">
        <f t="shared" ref="AJ177:AJ183" si="163">X177-AG177</f>
        <v>16685171</v>
      </c>
      <c r="AK177" s="10"/>
      <c r="AL177" s="455">
        <v>0</v>
      </c>
      <c r="AM177" s="458">
        <v>0</v>
      </c>
      <c r="AN177" s="10"/>
    </row>
    <row r="178" spans="1:40" s="467" customFormat="1" x14ac:dyDescent="0.2">
      <c r="A178" s="623"/>
      <c r="N178" s="10"/>
      <c r="P178" s="10"/>
      <c r="Q178" s="10"/>
      <c r="R178" s="10"/>
      <c r="S178" s="155">
        <f>+IF(OCTUBRE!S178=0,"",OCTUBRE!S178)</f>
        <v>3200200</v>
      </c>
      <c r="T178" s="159" t="str">
        <f>+IF(OCTUBRE!T178=0,"",OCTUBRE!T178)</f>
        <v>Cesantías Pago Directo (Pago Directo)</v>
      </c>
      <c r="U178" s="29">
        <f>+ENERO!U178</f>
        <v>22532311</v>
      </c>
      <c r="V178" s="17">
        <f>OCTUBRE!V178+NOVIEMBRE!AL178</f>
        <v>0</v>
      </c>
      <c r="W178" s="17">
        <f>OCTUBRE!W178+NOVIEMBRE!AM178</f>
        <v>0</v>
      </c>
      <c r="X178" s="20">
        <f t="shared" si="157"/>
        <v>22532311</v>
      </c>
      <c r="Y178" s="21">
        <f>OCTUBRE!AA178</f>
        <v>5296242</v>
      </c>
      <c r="Z178" s="457">
        <v>6720700</v>
      </c>
      <c r="AA178" s="20">
        <f t="shared" si="158"/>
        <v>12016942</v>
      </c>
      <c r="AB178" s="21">
        <f>OCTUBRE!AD178</f>
        <v>5296242</v>
      </c>
      <c r="AC178" s="457">
        <v>6720700</v>
      </c>
      <c r="AD178" s="20">
        <f t="shared" si="159"/>
        <v>12016942</v>
      </c>
      <c r="AE178" s="21">
        <f>OCTUBRE!AG178</f>
        <v>5296242</v>
      </c>
      <c r="AF178" s="457">
        <v>0</v>
      </c>
      <c r="AG178" s="20">
        <f t="shared" si="160"/>
        <v>5296242</v>
      </c>
      <c r="AH178" s="21">
        <f t="shared" si="161"/>
        <v>10515369</v>
      </c>
      <c r="AI178" s="17">
        <f t="shared" si="162"/>
        <v>10515369</v>
      </c>
      <c r="AJ178" s="18">
        <f t="shared" si="163"/>
        <v>17236069</v>
      </c>
      <c r="AK178" s="10"/>
      <c r="AL178" s="455">
        <v>0</v>
      </c>
      <c r="AM178" s="458">
        <v>0</v>
      </c>
      <c r="AN178" s="10"/>
    </row>
    <row r="179" spans="1:40" s="467" customFormat="1" x14ac:dyDescent="0.2">
      <c r="A179" s="623"/>
      <c r="N179" s="10"/>
      <c r="P179" s="10"/>
      <c r="Q179" s="10"/>
      <c r="R179" s="10"/>
      <c r="S179" s="155">
        <f>+IF(OCTUBRE!S179=0,"",OCTUBRE!S179)</f>
        <v>3200300</v>
      </c>
      <c r="T179" s="159" t="str">
        <f>+IF(OCTUBRE!T179=0,"",OCTUBRE!T179)</f>
        <v>Bonos, Cuotas de Bonos y cuotas partes jubilatorias</v>
      </c>
      <c r="U179" s="29">
        <f>+ENERO!U179</f>
        <v>70000000</v>
      </c>
      <c r="V179" s="17">
        <f>OCTUBRE!V179+NOVIEMBRE!AL179</f>
        <v>-17721746</v>
      </c>
      <c r="W179" s="17">
        <f>OCTUBRE!W179+NOVIEMBRE!AM179</f>
        <v>0</v>
      </c>
      <c r="X179" s="20">
        <f t="shared" si="157"/>
        <v>52278254</v>
      </c>
      <c r="Y179" s="21">
        <f>OCTUBRE!AA179</f>
        <v>4205715</v>
      </c>
      <c r="Z179" s="457">
        <v>394376</v>
      </c>
      <c r="AA179" s="20">
        <f t="shared" si="158"/>
        <v>4600091</v>
      </c>
      <c r="AB179" s="21">
        <f>OCTUBRE!AD179</f>
        <v>4205715</v>
      </c>
      <c r="AC179" s="457">
        <v>394376</v>
      </c>
      <c r="AD179" s="20">
        <f t="shared" si="159"/>
        <v>4600091</v>
      </c>
      <c r="AE179" s="21">
        <f>OCTUBRE!AG179</f>
        <v>4205715</v>
      </c>
      <c r="AF179" s="457">
        <v>0</v>
      </c>
      <c r="AG179" s="20">
        <f t="shared" si="160"/>
        <v>4205715</v>
      </c>
      <c r="AH179" s="21">
        <f t="shared" si="161"/>
        <v>47678163</v>
      </c>
      <c r="AI179" s="17">
        <f t="shared" si="162"/>
        <v>47678163</v>
      </c>
      <c r="AJ179" s="18">
        <f t="shared" si="163"/>
        <v>48072539</v>
      </c>
      <c r="AK179" s="10"/>
      <c r="AL179" s="455">
        <v>0</v>
      </c>
      <c r="AM179" s="458">
        <v>0</v>
      </c>
      <c r="AN179" s="10"/>
    </row>
    <row r="180" spans="1:40" s="467" customFormat="1" x14ac:dyDescent="0.2">
      <c r="A180" s="623"/>
      <c r="N180" s="10"/>
      <c r="P180" s="10"/>
      <c r="Q180" s="10"/>
      <c r="R180" s="10"/>
      <c r="S180" s="155">
        <f>+IF(OCTUBRE!S180=0,"",OCTUBRE!S180)</f>
        <v>3200400</v>
      </c>
      <c r="T180" s="159" t="str">
        <f>+IF(OCTUBRE!T180=0,"",OCTUBRE!T180)</f>
        <v>Intereses a las cesantias</v>
      </c>
      <c r="U180" s="29">
        <f>+ENERO!U180</f>
        <v>14660094</v>
      </c>
      <c r="V180" s="17">
        <f>OCTUBRE!V180+NOVIEMBRE!AL180</f>
        <v>0</v>
      </c>
      <c r="W180" s="17">
        <f>OCTUBRE!W180+NOVIEMBRE!AM180</f>
        <v>0</v>
      </c>
      <c r="X180" s="20">
        <f t="shared" si="157"/>
        <v>14660094</v>
      </c>
      <c r="Y180" s="21">
        <f>OCTUBRE!AA180</f>
        <v>11954088</v>
      </c>
      <c r="Z180" s="457">
        <v>446355</v>
      </c>
      <c r="AA180" s="20">
        <f t="shared" si="158"/>
        <v>12400443</v>
      </c>
      <c r="AB180" s="21">
        <f>OCTUBRE!AD180</f>
        <v>11954088</v>
      </c>
      <c r="AC180" s="457">
        <v>446355</v>
      </c>
      <c r="AD180" s="20">
        <f t="shared" si="159"/>
        <v>12400443</v>
      </c>
      <c r="AE180" s="21">
        <f>OCTUBRE!AG180</f>
        <v>11326123</v>
      </c>
      <c r="AF180" s="457">
        <v>97331</v>
      </c>
      <c r="AG180" s="20">
        <f t="shared" si="160"/>
        <v>11423454</v>
      </c>
      <c r="AH180" s="21">
        <f t="shared" si="161"/>
        <v>2259651</v>
      </c>
      <c r="AI180" s="17">
        <f t="shared" si="162"/>
        <v>2259651</v>
      </c>
      <c r="AJ180" s="18">
        <f t="shared" si="163"/>
        <v>3236640</v>
      </c>
      <c r="AK180" s="10"/>
      <c r="AL180" s="455">
        <v>0</v>
      </c>
      <c r="AM180" s="458">
        <v>0</v>
      </c>
      <c r="AN180" s="10"/>
    </row>
    <row r="181" spans="1:40" s="467" customFormat="1" x14ac:dyDescent="0.2">
      <c r="A181" s="623"/>
      <c r="N181" s="10"/>
      <c r="P181" s="10"/>
      <c r="Q181" s="10"/>
      <c r="R181" s="10"/>
      <c r="S181" s="155" t="str">
        <f>+IF(OCTUBRE!S181=0,"",OCTUBRE!S181)</f>
        <v/>
      </c>
      <c r="T181" s="159" t="str">
        <f>+IF(OCTUBRE!T181=0,"",OCTUBRE!T181)</f>
        <v/>
      </c>
      <c r="U181" s="29">
        <f>+ENERO!U181</f>
        <v>0</v>
      </c>
      <c r="V181" s="17">
        <f>OCTUBRE!V181+NOVIEMBRE!AL181</f>
        <v>0</v>
      </c>
      <c r="W181" s="17">
        <f>OCTUBRE!W181+NOVIEMBRE!AM181</f>
        <v>0</v>
      </c>
      <c r="X181" s="20">
        <f t="shared" si="157"/>
        <v>0</v>
      </c>
      <c r="Y181" s="21">
        <f>OCTUBRE!AA181</f>
        <v>0</v>
      </c>
      <c r="Z181" s="457">
        <v>0</v>
      </c>
      <c r="AA181" s="20">
        <f t="shared" si="158"/>
        <v>0</v>
      </c>
      <c r="AB181" s="21">
        <f>OCTUBRE!AD181</f>
        <v>0</v>
      </c>
      <c r="AC181" s="457">
        <v>0</v>
      </c>
      <c r="AD181" s="20">
        <f t="shared" si="159"/>
        <v>0</v>
      </c>
      <c r="AE181" s="21">
        <f>OCTUBRE!AG181</f>
        <v>0</v>
      </c>
      <c r="AF181" s="457">
        <v>0</v>
      </c>
      <c r="AG181" s="20">
        <f t="shared" si="160"/>
        <v>0</v>
      </c>
      <c r="AH181" s="21">
        <f t="shared" si="161"/>
        <v>0</v>
      </c>
      <c r="AI181" s="17">
        <f t="shared" si="162"/>
        <v>0</v>
      </c>
      <c r="AJ181" s="18">
        <f t="shared" si="163"/>
        <v>0</v>
      </c>
      <c r="AK181" s="10"/>
      <c r="AL181" s="455">
        <v>0</v>
      </c>
      <c r="AM181" s="458">
        <v>0</v>
      </c>
      <c r="AN181" s="10"/>
    </row>
    <row r="182" spans="1:40" s="467" customFormat="1" x14ac:dyDescent="0.2">
      <c r="A182" s="623"/>
      <c r="N182" s="10"/>
      <c r="P182" s="10"/>
      <c r="Q182" s="10"/>
      <c r="R182" s="10"/>
      <c r="S182" s="155" t="str">
        <f>+IF(OCTUBRE!S182=0,"",OCTUBRE!S182)</f>
        <v/>
      </c>
      <c r="T182" s="159" t="str">
        <f>+IF(OCTUBRE!T182=0,"",OCTUBRE!T182)</f>
        <v/>
      </c>
      <c r="U182" s="29">
        <f>+ENERO!U182</f>
        <v>0</v>
      </c>
      <c r="V182" s="17">
        <f>OCTUBRE!V182+NOVIEMBRE!AL182</f>
        <v>0</v>
      </c>
      <c r="W182" s="17">
        <f>OCTUBRE!W182+NOVIEMBRE!AM182</f>
        <v>0</v>
      </c>
      <c r="X182" s="20">
        <f t="shared" si="157"/>
        <v>0</v>
      </c>
      <c r="Y182" s="21">
        <f>OCTUBRE!AA182</f>
        <v>0</v>
      </c>
      <c r="Z182" s="457">
        <v>0</v>
      </c>
      <c r="AA182" s="20">
        <f t="shared" si="158"/>
        <v>0</v>
      </c>
      <c r="AB182" s="21">
        <f>OCTUBRE!AD182</f>
        <v>0</v>
      </c>
      <c r="AC182" s="457">
        <v>0</v>
      </c>
      <c r="AD182" s="20">
        <f t="shared" si="159"/>
        <v>0</v>
      </c>
      <c r="AE182" s="21">
        <f>OCTUBRE!AG182</f>
        <v>0</v>
      </c>
      <c r="AF182" s="457">
        <v>0</v>
      </c>
      <c r="AG182" s="20">
        <f t="shared" si="160"/>
        <v>0</v>
      </c>
      <c r="AH182" s="21">
        <f t="shared" si="161"/>
        <v>0</v>
      </c>
      <c r="AI182" s="17">
        <f t="shared" si="162"/>
        <v>0</v>
      </c>
      <c r="AJ182" s="18">
        <f t="shared" si="163"/>
        <v>0</v>
      </c>
      <c r="AK182" s="10"/>
      <c r="AL182" s="455">
        <v>0</v>
      </c>
      <c r="AM182" s="458">
        <v>0</v>
      </c>
      <c r="AN182" s="10"/>
    </row>
    <row r="183" spans="1:40" s="467" customFormat="1" x14ac:dyDescent="0.2">
      <c r="A183" s="623"/>
      <c r="N183" s="10"/>
      <c r="P183" s="10"/>
      <c r="Q183" s="10"/>
      <c r="R183" s="10"/>
      <c r="S183" s="155">
        <f>+IF(OCTUBRE!S183=0,"",OCTUBRE!S183)</f>
        <v>3299999</v>
      </c>
      <c r="T183" s="159" t="str">
        <f>+IF(OCTUBRE!T183=0,"",OCTUBRE!T183)</f>
        <v>Vigencias Anteriores</v>
      </c>
      <c r="U183" s="29">
        <f>+ENERO!U183</f>
        <v>2000000</v>
      </c>
      <c r="V183" s="17">
        <f>OCTUBRE!V183+NOVIEMBRE!AL183</f>
        <v>3591005</v>
      </c>
      <c r="W183" s="17">
        <f>OCTUBRE!W183+NOVIEMBRE!AM183</f>
        <v>0</v>
      </c>
      <c r="X183" s="20">
        <f t="shared" si="157"/>
        <v>5591005</v>
      </c>
      <c r="Y183" s="21">
        <f>OCTUBRE!AA183</f>
        <v>5591005</v>
      </c>
      <c r="Z183" s="457">
        <v>0</v>
      </c>
      <c r="AA183" s="20">
        <f t="shared" si="158"/>
        <v>5591005</v>
      </c>
      <c r="AB183" s="21">
        <f>OCTUBRE!AD183</f>
        <v>5591005</v>
      </c>
      <c r="AC183" s="457">
        <v>0</v>
      </c>
      <c r="AD183" s="20">
        <f t="shared" si="159"/>
        <v>5591005</v>
      </c>
      <c r="AE183" s="21">
        <f>OCTUBRE!AG183</f>
        <v>5591005</v>
      </c>
      <c r="AF183" s="457">
        <v>0</v>
      </c>
      <c r="AG183" s="20">
        <f t="shared" si="160"/>
        <v>5591005</v>
      </c>
      <c r="AH183" s="21">
        <f t="shared" si="161"/>
        <v>0</v>
      </c>
      <c r="AI183" s="17">
        <f t="shared" si="162"/>
        <v>0</v>
      </c>
      <c r="AJ183" s="18">
        <f t="shared" si="163"/>
        <v>0</v>
      </c>
      <c r="AK183" s="10"/>
      <c r="AL183" s="455">
        <v>0</v>
      </c>
      <c r="AM183" s="458">
        <v>0</v>
      </c>
      <c r="AN183" s="10"/>
    </row>
    <row r="184" spans="1:40" s="467" customFormat="1" ht="15.75" x14ac:dyDescent="0.2">
      <c r="A184" s="623"/>
      <c r="N184" s="10"/>
      <c r="P184" s="10"/>
      <c r="Q184" s="10"/>
      <c r="R184" s="10"/>
      <c r="S184" s="448" t="str">
        <f>+IF(OCTUBRE!S184=0,"",OCTUBRE!S184)</f>
        <v/>
      </c>
      <c r="T184" s="649" t="str">
        <f>+IF(OCTUBRE!T184=0,"",OCTUBRE!T184)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+IF(OCTUBRE!S185=0,"",OCTUBRE!S185)</f>
        <v>3300000</v>
      </c>
      <c r="T185" s="158" t="str">
        <f>+IF(OCTUBRE!T185=0,"",OCTUBRE!T185)</f>
        <v>Otras Transferencias</v>
      </c>
      <c r="U185" s="157">
        <f t="shared" ref="U185:AJ185" si="164">U186+U187+U191</f>
        <v>1500000</v>
      </c>
      <c r="V185" s="144">
        <f t="shared" si="164"/>
        <v>476550</v>
      </c>
      <c r="W185" s="144">
        <f t="shared" si="164"/>
        <v>1000000</v>
      </c>
      <c r="X185" s="152">
        <f t="shared" si="164"/>
        <v>2976550</v>
      </c>
      <c r="Y185" s="151">
        <f t="shared" si="164"/>
        <v>1683244</v>
      </c>
      <c r="Z185" s="144">
        <f t="shared" si="164"/>
        <v>0</v>
      </c>
      <c r="AA185" s="152">
        <f t="shared" si="164"/>
        <v>1683244</v>
      </c>
      <c r="AB185" s="151">
        <f t="shared" si="164"/>
        <v>1683244</v>
      </c>
      <c r="AC185" s="144">
        <f t="shared" si="164"/>
        <v>0</v>
      </c>
      <c r="AD185" s="152">
        <f t="shared" si="164"/>
        <v>1683244</v>
      </c>
      <c r="AE185" s="151">
        <f t="shared" si="164"/>
        <v>1045495</v>
      </c>
      <c r="AF185" s="144">
        <f t="shared" si="164"/>
        <v>0</v>
      </c>
      <c r="AG185" s="152">
        <f t="shared" si="164"/>
        <v>1045495</v>
      </c>
      <c r="AH185" s="151">
        <f t="shared" si="164"/>
        <v>1293306</v>
      </c>
      <c r="AI185" s="144">
        <f t="shared" si="164"/>
        <v>1293306</v>
      </c>
      <c r="AJ185" s="153">
        <f t="shared" si="164"/>
        <v>1931055</v>
      </c>
      <c r="AK185" s="10"/>
      <c r="AL185" s="151">
        <f>AL186+AL187+AL191</f>
        <v>0</v>
      </c>
      <c r="AM185" s="153">
        <f>AM186+AM187+AM191</f>
        <v>0</v>
      </c>
      <c r="AN185" s="10"/>
    </row>
    <row r="186" spans="1:40" s="467" customFormat="1" x14ac:dyDescent="0.2">
      <c r="A186" s="623"/>
      <c r="N186" s="10"/>
      <c r="P186" s="10"/>
      <c r="Q186" s="10"/>
      <c r="R186" s="10"/>
      <c r="S186" s="155">
        <f>+IF(OCTUBRE!S186=0,"",OCTUBRE!S186)</f>
        <v>3300100</v>
      </c>
      <c r="T186" s="159" t="str">
        <f>+IF(OCTUBRE!T186=0,"",OCTUBRE!T186)</f>
        <v>Sentencias y Conciliaciones</v>
      </c>
      <c r="U186" s="29">
        <f>+ENERO!U186</f>
        <v>0</v>
      </c>
      <c r="V186" s="17">
        <f>OCTUBRE!V186+NOVIEMBRE!AL186</f>
        <v>0</v>
      </c>
      <c r="W186" s="17">
        <f>OCTUBRE!W186+NOVIEMBRE!AM186</f>
        <v>0</v>
      </c>
      <c r="X186" s="20">
        <f>SUM(U186:W186)</f>
        <v>0</v>
      </c>
      <c r="Y186" s="21">
        <f>OCTUBRE!AA186</f>
        <v>0</v>
      </c>
      <c r="Z186" s="457">
        <v>0</v>
      </c>
      <c r="AA186" s="20">
        <f>SUM(Y186:Z186)</f>
        <v>0</v>
      </c>
      <c r="AB186" s="21">
        <f>OCTUBRE!AD186</f>
        <v>0</v>
      </c>
      <c r="AC186" s="457">
        <v>0</v>
      </c>
      <c r="AD186" s="20">
        <f>SUM(AB186:AC186)</f>
        <v>0</v>
      </c>
      <c r="AE186" s="21">
        <f>OCTUBRE!AG186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+IF(OCTUBRE!S187=0,"",OCTUBRE!S187)</f>
        <v>3300200</v>
      </c>
      <c r="T187" s="159" t="str">
        <f>+IF(OCTUBRE!T187=0,"",OCTUBRE!T187)</f>
        <v>Destinatarios de otras transferencias</v>
      </c>
      <c r="U187" s="29">
        <f t="shared" ref="U187:AM187" si="165">SUM(U188:U190)</f>
        <v>1500000</v>
      </c>
      <c r="V187" s="17">
        <f t="shared" si="165"/>
        <v>0</v>
      </c>
      <c r="W187" s="17">
        <f t="shared" si="165"/>
        <v>1000000</v>
      </c>
      <c r="X187" s="20">
        <f t="shared" si="165"/>
        <v>2500000</v>
      </c>
      <c r="Y187" s="21">
        <f t="shared" si="165"/>
        <v>1206694</v>
      </c>
      <c r="Z187" s="169">
        <f t="shared" si="165"/>
        <v>0</v>
      </c>
      <c r="AA187" s="20">
        <f t="shared" si="165"/>
        <v>1206694</v>
      </c>
      <c r="AB187" s="21">
        <f t="shared" si="165"/>
        <v>1206694</v>
      </c>
      <c r="AC187" s="169">
        <f t="shared" si="165"/>
        <v>0</v>
      </c>
      <c r="AD187" s="20">
        <f t="shared" si="165"/>
        <v>1206694</v>
      </c>
      <c r="AE187" s="21">
        <f t="shared" si="165"/>
        <v>568945</v>
      </c>
      <c r="AF187" s="169">
        <f t="shared" si="165"/>
        <v>0</v>
      </c>
      <c r="AG187" s="20">
        <f t="shared" si="165"/>
        <v>568945</v>
      </c>
      <c r="AH187" s="21">
        <f t="shared" si="165"/>
        <v>1293306</v>
      </c>
      <c r="AI187" s="17">
        <f t="shared" si="165"/>
        <v>1293306</v>
      </c>
      <c r="AJ187" s="18">
        <f t="shared" si="165"/>
        <v>1931055</v>
      </c>
      <c r="AK187" s="10"/>
      <c r="AL187" s="31">
        <f t="shared" si="165"/>
        <v>0</v>
      </c>
      <c r="AM187" s="28">
        <f t="shared" si="165"/>
        <v>0</v>
      </c>
      <c r="AN187" s="10"/>
    </row>
    <row r="188" spans="1:40" s="467" customFormat="1" x14ac:dyDescent="0.2">
      <c r="A188" s="623"/>
      <c r="B188" s="554"/>
      <c r="N188" s="10"/>
      <c r="P188" s="10"/>
      <c r="Q188" s="10"/>
      <c r="R188" s="10"/>
      <c r="S188" s="156" t="str">
        <f>+IF(OCTUBRE!S188=0,"",OCTUBRE!S188)</f>
        <v>3300200-1</v>
      </c>
      <c r="T188" s="159" t="str">
        <f>+IF(OCTUBRE!T188=0,"",OCTUBRE!T188)</f>
        <v>COHAN</v>
      </c>
      <c r="U188" s="29">
        <f>+ENERO!U188</f>
        <v>1500000</v>
      </c>
      <c r="V188" s="17">
        <f>OCTUBRE!V188+NOVIEMBRE!AL188</f>
        <v>0</v>
      </c>
      <c r="W188" s="17">
        <f>OCTUBRE!W188+NOVIEMBRE!AM188</f>
        <v>1000000</v>
      </c>
      <c r="X188" s="20">
        <f>SUM(U188:W188)</f>
        <v>2500000</v>
      </c>
      <c r="Y188" s="21">
        <f>OCTUBRE!AA188</f>
        <v>1206694</v>
      </c>
      <c r="Z188" s="457">
        <v>0</v>
      </c>
      <c r="AA188" s="20">
        <f>SUM(Y188:Z188)</f>
        <v>1206694</v>
      </c>
      <c r="AB188" s="21">
        <f>OCTUBRE!AD188</f>
        <v>1206694</v>
      </c>
      <c r="AC188" s="457">
        <v>0</v>
      </c>
      <c r="AD188" s="20">
        <f>SUM(AB188:AC188)</f>
        <v>1206694</v>
      </c>
      <c r="AE188" s="21">
        <f>OCTUBRE!AG188</f>
        <v>568945</v>
      </c>
      <c r="AF188" s="457">
        <v>0</v>
      </c>
      <c r="AG188" s="20">
        <f>SUM(AE188:AF188)</f>
        <v>568945</v>
      </c>
      <c r="AH188" s="21">
        <f>X188-AA188</f>
        <v>1293306</v>
      </c>
      <c r="AI188" s="17">
        <f>X188-AD188</f>
        <v>1293306</v>
      </c>
      <c r="AJ188" s="18">
        <f>X188-AG188</f>
        <v>1931055</v>
      </c>
      <c r="AK188" s="10"/>
      <c r="AL188" s="455">
        <v>0</v>
      </c>
      <c r="AM188" s="458">
        <v>0</v>
      </c>
      <c r="AN188" s="10"/>
    </row>
    <row r="189" spans="1:40" s="467" customFormat="1" x14ac:dyDescent="0.2">
      <c r="A189" s="623"/>
      <c r="B189" s="554"/>
      <c r="N189" s="10"/>
      <c r="P189" s="10"/>
      <c r="Q189" s="10"/>
      <c r="R189" s="10"/>
      <c r="S189" s="156" t="str">
        <f>+IF(OCTUBRE!S189=0,"",OCTUBRE!S189)</f>
        <v>3300200-2</v>
      </c>
      <c r="T189" s="159" t="str">
        <f>+IF(OCTUBRE!T189=0,"",OCTUBRE!T189)</f>
        <v>AESA</v>
      </c>
      <c r="U189" s="29">
        <f>+ENERO!U189</f>
        <v>0</v>
      </c>
      <c r="V189" s="17">
        <f>OCTUBRE!V189+NOVIEMBRE!AL189</f>
        <v>0</v>
      </c>
      <c r="W189" s="17">
        <f>OCTUBRE!W189+NOVIEMBRE!AM189</f>
        <v>0</v>
      </c>
      <c r="X189" s="20">
        <f>SUM(U189:W189)</f>
        <v>0</v>
      </c>
      <c r="Y189" s="21">
        <f>OCTUBRE!AA189</f>
        <v>0</v>
      </c>
      <c r="Z189" s="457">
        <v>0</v>
      </c>
      <c r="AA189" s="20">
        <f>SUM(Y189:Z189)</f>
        <v>0</v>
      </c>
      <c r="AB189" s="21">
        <f>OCTUBRE!AD189</f>
        <v>0</v>
      </c>
      <c r="AC189" s="457">
        <v>0</v>
      </c>
      <c r="AD189" s="20">
        <f>SUM(AB189:AC189)</f>
        <v>0</v>
      </c>
      <c r="AE189" s="21">
        <f>OCTUBRE!AG189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+IF(OCTUBRE!S190=0,"",OCTUBRE!S190)</f>
        <v>3300200-3</v>
      </c>
      <c r="T190" s="159" t="str">
        <f>+IF(OCTUBRE!T190=0,"",OCTUBRE!T190)</f>
        <v xml:space="preserve">OTRAS </v>
      </c>
      <c r="U190" s="29">
        <f>+ENERO!U190</f>
        <v>0</v>
      </c>
      <c r="V190" s="17">
        <f>OCTUBRE!V190+NOVIEMBRE!AL190</f>
        <v>0</v>
      </c>
      <c r="W190" s="17">
        <f>OCTUBRE!W190+NOVIEMBRE!AM190</f>
        <v>0</v>
      </c>
      <c r="X190" s="20">
        <f>SUM(U190:W190)</f>
        <v>0</v>
      </c>
      <c r="Y190" s="21">
        <f>OCTUBRE!AA190</f>
        <v>0</v>
      </c>
      <c r="Z190" s="457">
        <v>0</v>
      </c>
      <c r="AA190" s="20">
        <f>SUM(Y190:Z190)</f>
        <v>0</v>
      </c>
      <c r="AB190" s="21">
        <f>OCTUBRE!AD190</f>
        <v>0</v>
      </c>
      <c r="AC190" s="457">
        <v>0</v>
      </c>
      <c r="AD190" s="20">
        <f>SUM(AB190:AC190)</f>
        <v>0</v>
      </c>
      <c r="AE190" s="21">
        <f>OCTUBRE!AG190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+IF(OCTUBRE!S191=0,"",OCTUBRE!S191)</f>
        <v>3399999</v>
      </c>
      <c r="T191" s="159" t="str">
        <f>+IF(OCTUBRE!T191=0,"",OCTUBRE!T191)</f>
        <v>Vigencias Anteriores</v>
      </c>
      <c r="U191" s="29">
        <f>+ENERO!U191</f>
        <v>0</v>
      </c>
      <c r="V191" s="17">
        <f>OCTUBRE!V191+NOVIEMBRE!AL191</f>
        <v>476550</v>
      </c>
      <c r="W191" s="17">
        <f>OCTUBRE!W191+NOVIEMBRE!AM191</f>
        <v>0</v>
      </c>
      <c r="X191" s="20">
        <f>SUM(U191:W191)</f>
        <v>476550</v>
      </c>
      <c r="Y191" s="21">
        <f>OCTUBRE!AA191</f>
        <v>476550</v>
      </c>
      <c r="Z191" s="457">
        <v>0</v>
      </c>
      <c r="AA191" s="20">
        <f>SUM(Y191:Z191)</f>
        <v>476550</v>
      </c>
      <c r="AB191" s="21">
        <f>OCTUBRE!AD191</f>
        <v>476550</v>
      </c>
      <c r="AC191" s="457">
        <v>0</v>
      </c>
      <c r="AD191" s="20">
        <f>SUM(AB191:AC191)</f>
        <v>476550</v>
      </c>
      <c r="AE191" s="21">
        <f>OCTUBRE!AG191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+IF(OCTUBRE!S192=0,"",OCTUBRE!S192)</f>
        <v/>
      </c>
      <c r="T192" s="649" t="str">
        <f>+IF(OCTUBRE!T192=0,"",OCTUBRE!T192)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+IF(OCTUBRE!S193=0,"",OCTUBRE!S193)</f>
        <v>4000000</v>
      </c>
      <c r="T193" s="588" t="str">
        <f>+IF(OCTUBRE!T193=0,"",OCTUBRE!T193)</f>
        <v>GASTOS  DE PRESTACION DE SERVICIOS</v>
      </c>
      <c r="U193" s="589">
        <f t="shared" ref="U193:AJ193" si="166">U194</f>
        <v>355892858</v>
      </c>
      <c r="V193" s="590">
        <f t="shared" si="166"/>
        <v>15217291</v>
      </c>
      <c r="W193" s="590">
        <f t="shared" si="166"/>
        <v>49783068</v>
      </c>
      <c r="X193" s="591">
        <f t="shared" si="166"/>
        <v>420893217</v>
      </c>
      <c r="Y193" s="464">
        <f t="shared" si="166"/>
        <v>295715118</v>
      </c>
      <c r="Z193" s="590">
        <f t="shared" si="166"/>
        <v>36107229</v>
      </c>
      <c r="AA193" s="591">
        <f t="shared" si="166"/>
        <v>331822347</v>
      </c>
      <c r="AB193" s="464">
        <f t="shared" si="166"/>
        <v>295687804</v>
      </c>
      <c r="AC193" s="590">
        <f t="shared" si="166"/>
        <v>36107229</v>
      </c>
      <c r="AD193" s="591">
        <f t="shared" si="166"/>
        <v>331795033</v>
      </c>
      <c r="AE193" s="464">
        <f t="shared" si="166"/>
        <v>225310919</v>
      </c>
      <c r="AF193" s="590">
        <f t="shared" si="166"/>
        <v>32342282</v>
      </c>
      <c r="AG193" s="591">
        <f t="shared" si="166"/>
        <v>257653201</v>
      </c>
      <c r="AH193" s="464">
        <f t="shared" si="166"/>
        <v>89070870</v>
      </c>
      <c r="AI193" s="590">
        <f t="shared" si="166"/>
        <v>89098184</v>
      </c>
      <c r="AJ193" s="465">
        <f t="shared" si="166"/>
        <v>163240016</v>
      </c>
      <c r="AK193" s="10"/>
      <c r="AL193" s="151">
        <f>AL194</f>
        <v>0</v>
      </c>
      <c r="AM193" s="153">
        <f>AM194</f>
        <v>0</v>
      </c>
      <c r="AN193" s="10"/>
    </row>
    <row r="194" spans="1:40" s="467" customFormat="1" ht="15" x14ac:dyDescent="0.2">
      <c r="A194" s="623"/>
      <c r="B194" s="554"/>
      <c r="N194" s="10"/>
      <c r="P194" s="10"/>
      <c r="Q194" s="10"/>
      <c r="R194" s="10"/>
      <c r="S194" s="34">
        <f>+IF(OCTUBRE!S194=0,"",OCTUBRE!S194)</f>
        <v>4100000</v>
      </c>
      <c r="T194" s="158" t="str">
        <f>+IF(OCTUBRE!T194=0,"",OCTUBRE!T194)</f>
        <v>Insumos y Suministros Hospitalarios</v>
      </c>
      <c r="U194" s="157">
        <f t="shared" ref="U194:AJ194" si="167">U195+U203+U205</f>
        <v>355892858</v>
      </c>
      <c r="V194" s="144">
        <f t="shared" si="167"/>
        <v>15217291</v>
      </c>
      <c r="W194" s="144">
        <f t="shared" si="167"/>
        <v>49783068</v>
      </c>
      <c r="X194" s="152">
        <f t="shared" si="167"/>
        <v>420893217</v>
      </c>
      <c r="Y194" s="151">
        <f t="shared" si="167"/>
        <v>295715118</v>
      </c>
      <c r="Z194" s="144">
        <f t="shared" si="167"/>
        <v>36107229</v>
      </c>
      <c r="AA194" s="152">
        <f t="shared" si="167"/>
        <v>331822347</v>
      </c>
      <c r="AB194" s="151">
        <f t="shared" si="167"/>
        <v>295687804</v>
      </c>
      <c r="AC194" s="144">
        <f t="shared" si="167"/>
        <v>36107229</v>
      </c>
      <c r="AD194" s="152">
        <f t="shared" si="167"/>
        <v>331795033</v>
      </c>
      <c r="AE194" s="151">
        <f t="shared" si="167"/>
        <v>225310919</v>
      </c>
      <c r="AF194" s="144">
        <f t="shared" si="167"/>
        <v>32342282</v>
      </c>
      <c r="AG194" s="152">
        <f t="shared" si="167"/>
        <v>257653201</v>
      </c>
      <c r="AH194" s="151">
        <f t="shared" si="167"/>
        <v>89070870</v>
      </c>
      <c r="AI194" s="144">
        <f t="shared" si="167"/>
        <v>89098184</v>
      </c>
      <c r="AJ194" s="153">
        <f t="shared" si="167"/>
        <v>163240016</v>
      </c>
      <c r="AK194" s="12"/>
      <c r="AL194" s="151">
        <f>AL195+AL203+AL205</f>
        <v>0</v>
      </c>
      <c r="AM194" s="153">
        <f>AM195+AM203+AM205</f>
        <v>0</v>
      </c>
      <c r="AN194" s="10"/>
    </row>
    <row r="195" spans="1:40" s="467" customFormat="1" x14ac:dyDescent="0.2">
      <c r="A195" s="623"/>
      <c r="B195" s="554"/>
      <c r="N195" s="10"/>
      <c r="P195" s="10"/>
      <c r="Q195" s="10"/>
      <c r="R195" s="10"/>
      <c r="S195" s="155">
        <f>+IF(OCTUBRE!S195=0,"",OCTUBRE!S195)</f>
        <v>4100100</v>
      </c>
      <c r="T195" s="159" t="str">
        <f>+IF(OCTUBRE!T195=0,"",OCTUBRE!T195)</f>
        <v>Compra de Bienes para la Prestacion de servicios</v>
      </c>
      <c r="U195" s="29">
        <f t="shared" ref="U195:AJ195" si="168">SUM(U196:U202)</f>
        <v>282124359</v>
      </c>
      <c r="V195" s="17">
        <f t="shared" si="168"/>
        <v>0</v>
      </c>
      <c r="W195" s="17">
        <f t="shared" si="168"/>
        <v>49783068</v>
      </c>
      <c r="X195" s="20">
        <f t="shared" si="168"/>
        <v>331907427</v>
      </c>
      <c r="Y195" s="21">
        <f t="shared" si="168"/>
        <v>219934091</v>
      </c>
      <c r="Z195" s="169">
        <f t="shared" si="168"/>
        <v>33869213</v>
      </c>
      <c r="AA195" s="20">
        <f t="shared" si="168"/>
        <v>253803304</v>
      </c>
      <c r="AB195" s="21">
        <f t="shared" si="168"/>
        <v>219906777</v>
      </c>
      <c r="AC195" s="169">
        <f t="shared" si="168"/>
        <v>33869213</v>
      </c>
      <c r="AD195" s="20">
        <f t="shared" si="168"/>
        <v>253775990</v>
      </c>
      <c r="AE195" s="21">
        <f t="shared" si="168"/>
        <v>151172776</v>
      </c>
      <c r="AF195" s="169">
        <f t="shared" si="168"/>
        <v>30699398</v>
      </c>
      <c r="AG195" s="20">
        <f t="shared" si="168"/>
        <v>181872174</v>
      </c>
      <c r="AH195" s="21">
        <f t="shared" si="168"/>
        <v>78104123</v>
      </c>
      <c r="AI195" s="17">
        <f t="shared" si="168"/>
        <v>78131437</v>
      </c>
      <c r="AJ195" s="18">
        <f t="shared" si="168"/>
        <v>150035253</v>
      </c>
      <c r="AK195" s="10"/>
      <c r="AL195" s="31">
        <f>SUM(AL196:AL202)</f>
        <v>0</v>
      </c>
      <c r="AM195" s="28">
        <f>SUM(AM196:AM202)</f>
        <v>0</v>
      </c>
      <c r="AN195" s="10"/>
    </row>
    <row r="196" spans="1:40" s="467" customFormat="1" x14ac:dyDescent="0.2">
      <c r="A196" s="623"/>
      <c r="B196" s="554"/>
      <c r="N196" s="10"/>
      <c r="P196" s="10"/>
      <c r="Q196" s="10"/>
      <c r="R196" s="10"/>
      <c r="S196" s="156" t="str">
        <f>+IF(OCTUBRE!S196=0,"",OCTUBRE!S196)</f>
        <v>4100100-1</v>
      </c>
      <c r="T196" s="55" t="str">
        <f>+IF(OCTUBRE!T196=0,"",OCTUBRE!T196)</f>
        <v>Productos Farmaceuticos</v>
      </c>
      <c r="U196" s="29">
        <f>+ENERO!U196</f>
        <v>185254982</v>
      </c>
      <c r="V196" s="17">
        <f>OCTUBRE!V196+NOVIEMBRE!AL196</f>
        <v>0</v>
      </c>
      <c r="W196" s="17">
        <f>OCTUBRE!W196+NOVIEMBRE!AM196</f>
        <v>22783068</v>
      </c>
      <c r="X196" s="20">
        <f t="shared" ref="X196:X202" si="169">SUM(U196:W196)</f>
        <v>208038050</v>
      </c>
      <c r="Y196" s="21">
        <f>OCTUBRE!AA196</f>
        <v>146167677</v>
      </c>
      <c r="Z196" s="457">
        <v>18150043</v>
      </c>
      <c r="AA196" s="20">
        <f t="shared" ref="AA196:AA202" si="170">SUM(Y196:Z196)</f>
        <v>164317720</v>
      </c>
      <c r="AB196" s="21">
        <f>OCTUBRE!AD196</f>
        <v>146140668</v>
      </c>
      <c r="AC196" s="457">
        <v>18150043</v>
      </c>
      <c r="AD196" s="20">
        <f t="shared" ref="AD196:AD202" si="171">SUM(AB196:AC196)</f>
        <v>164290711</v>
      </c>
      <c r="AE196" s="21">
        <f>OCTUBRE!AG196</f>
        <v>95900008</v>
      </c>
      <c r="AF196" s="457">
        <v>20514331</v>
      </c>
      <c r="AG196" s="20">
        <f t="shared" ref="AG196:AG202" si="172">SUM(AE196:AF196)</f>
        <v>116414339</v>
      </c>
      <c r="AH196" s="21">
        <f t="shared" ref="AH196:AH202" si="173">X196-AA196</f>
        <v>43720330</v>
      </c>
      <c r="AI196" s="17">
        <f t="shared" ref="AI196:AI202" si="174">X196-AD196</f>
        <v>43747339</v>
      </c>
      <c r="AJ196" s="18">
        <f t="shared" ref="AJ196:AJ202" si="175">X196-AG196</f>
        <v>91623711</v>
      </c>
      <c r="AK196" s="10"/>
      <c r="AL196" s="455">
        <v>0</v>
      </c>
      <c r="AM196" s="458">
        <v>0</v>
      </c>
      <c r="AN196" s="10"/>
    </row>
    <row r="197" spans="1:40" s="467" customFormat="1" x14ac:dyDescent="0.2">
      <c r="A197" s="623"/>
      <c r="B197" s="554"/>
      <c r="N197" s="10"/>
      <c r="P197" s="10"/>
      <c r="Q197" s="10"/>
      <c r="R197" s="10"/>
      <c r="S197" s="156" t="str">
        <f>+IF(OCTUBRE!S197=0,"",OCTUBRE!S197)</f>
        <v>4100100-2</v>
      </c>
      <c r="T197" s="55" t="str">
        <f>+IF(OCTUBRE!T197=0,"",OCTUBRE!T197)</f>
        <v>Material Médico Quirúrgico</v>
      </c>
      <c r="U197" s="29">
        <f>+ENERO!U197</f>
        <v>45805235</v>
      </c>
      <c r="V197" s="17">
        <f>OCTUBRE!V197+NOVIEMBRE!AL197</f>
        <v>0</v>
      </c>
      <c r="W197" s="17">
        <f>OCTUBRE!W197+NOVIEMBRE!AM197</f>
        <v>10000000</v>
      </c>
      <c r="X197" s="20">
        <f t="shared" si="169"/>
        <v>55805235</v>
      </c>
      <c r="Y197" s="21">
        <f>OCTUBRE!AA197</f>
        <v>39873906</v>
      </c>
      <c r="Z197" s="457">
        <v>5746415</v>
      </c>
      <c r="AA197" s="20">
        <f t="shared" si="170"/>
        <v>45620321</v>
      </c>
      <c r="AB197" s="21">
        <f>OCTUBRE!AD197</f>
        <v>39873901</v>
      </c>
      <c r="AC197" s="457">
        <v>5746415</v>
      </c>
      <c r="AD197" s="20">
        <f t="shared" si="171"/>
        <v>45620316</v>
      </c>
      <c r="AE197" s="21">
        <f>OCTUBRE!AG197</f>
        <v>28264181</v>
      </c>
      <c r="AF197" s="457">
        <v>4334006</v>
      </c>
      <c r="AG197" s="20">
        <f t="shared" si="172"/>
        <v>32598187</v>
      </c>
      <c r="AH197" s="21">
        <f t="shared" si="173"/>
        <v>10184914</v>
      </c>
      <c r="AI197" s="17">
        <f t="shared" si="174"/>
        <v>10184919</v>
      </c>
      <c r="AJ197" s="18">
        <f t="shared" si="175"/>
        <v>23207048</v>
      </c>
      <c r="AK197" s="10"/>
      <c r="AL197" s="455">
        <v>0</v>
      </c>
      <c r="AM197" s="458">
        <v>0</v>
      </c>
      <c r="AN197" s="10"/>
    </row>
    <row r="198" spans="1:40" s="467" customFormat="1" x14ac:dyDescent="0.2">
      <c r="A198" s="623"/>
      <c r="B198" s="554"/>
      <c r="N198" s="10"/>
      <c r="P198" s="10"/>
      <c r="Q198" s="10"/>
      <c r="R198" s="10"/>
      <c r="S198" s="156" t="str">
        <f>+IF(OCTUBRE!S198=0,"",OCTUBRE!S198)</f>
        <v>4100100-3</v>
      </c>
      <c r="T198" s="55" t="str">
        <f>+IF(OCTUBRE!T198=0,"",OCTUBRE!T198)</f>
        <v>Material de Laboratorio</v>
      </c>
      <c r="U198" s="29">
        <f>+ENERO!U198</f>
        <v>28507645</v>
      </c>
      <c r="V198" s="17">
        <f>OCTUBRE!V198+NOVIEMBRE!AL198</f>
        <v>0</v>
      </c>
      <c r="W198" s="17">
        <f>OCTUBRE!W198+NOVIEMBRE!AM198</f>
        <v>9000000</v>
      </c>
      <c r="X198" s="20">
        <f t="shared" si="169"/>
        <v>37507645</v>
      </c>
      <c r="Y198" s="21">
        <f>OCTUBRE!AA198</f>
        <v>19988026</v>
      </c>
      <c r="Z198" s="457">
        <v>6153327</v>
      </c>
      <c r="AA198" s="20">
        <f t="shared" si="170"/>
        <v>26141353</v>
      </c>
      <c r="AB198" s="21">
        <f>OCTUBRE!AD198</f>
        <v>19987726</v>
      </c>
      <c r="AC198" s="457">
        <v>6153327</v>
      </c>
      <c r="AD198" s="20">
        <f t="shared" si="171"/>
        <v>26141053</v>
      </c>
      <c r="AE198" s="21">
        <f>OCTUBRE!AG198</f>
        <v>15492829</v>
      </c>
      <c r="AF198" s="457">
        <v>3462337</v>
      </c>
      <c r="AG198" s="20">
        <f t="shared" si="172"/>
        <v>18955166</v>
      </c>
      <c r="AH198" s="21">
        <f t="shared" si="173"/>
        <v>11366292</v>
      </c>
      <c r="AI198" s="17">
        <f t="shared" si="174"/>
        <v>11366592</v>
      </c>
      <c r="AJ198" s="18">
        <f t="shared" si="175"/>
        <v>18552479</v>
      </c>
      <c r="AK198" s="10"/>
      <c r="AL198" s="455">
        <v>0</v>
      </c>
      <c r="AM198" s="458">
        <v>0</v>
      </c>
      <c r="AN198" s="10"/>
    </row>
    <row r="199" spans="1:40" s="467" customFormat="1" x14ac:dyDescent="0.2">
      <c r="A199" s="623"/>
      <c r="B199" s="554"/>
      <c r="N199" s="10"/>
      <c r="P199" s="10"/>
      <c r="Q199" s="10"/>
      <c r="R199" s="10"/>
      <c r="S199" s="156" t="str">
        <f>+IF(OCTUBRE!S199=0,"",OCTUBRE!S199)</f>
        <v>4100100-4</v>
      </c>
      <c r="T199" s="55" t="str">
        <f>+IF(OCTUBRE!T199=0,"",OCTUBRE!T199)</f>
        <v>Material para Odontologia</v>
      </c>
      <c r="U199" s="29">
        <f>+ENERO!U199</f>
        <v>13598841</v>
      </c>
      <c r="V199" s="17">
        <f>OCTUBRE!V199+NOVIEMBRE!AL199</f>
        <v>0</v>
      </c>
      <c r="W199" s="17">
        <f>OCTUBRE!W199+NOVIEMBRE!AM199</f>
        <v>5000000</v>
      </c>
      <c r="X199" s="20">
        <f t="shared" si="169"/>
        <v>18598841</v>
      </c>
      <c r="Y199" s="21">
        <f>OCTUBRE!AA199</f>
        <v>9996714</v>
      </c>
      <c r="Z199" s="457">
        <v>1954720</v>
      </c>
      <c r="AA199" s="20">
        <f t="shared" si="170"/>
        <v>11951434</v>
      </c>
      <c r="AB199" s="21">
        <f>OCTUBRE!AD199</f>
        <v>9996714</v>
      </c>
      <c r="AC199" s="457">
        <v>1954720</v>
      </c>
      <c r="AD199" s="20">
        <f t="shared" si="171"/>
        <v>11951434</v>
      </c>
      <c r="AE199" s="21">
        <f>OCTUBRE!AG199</f>
        <v>7607990</v>
      </c>
      <c r="AF199" s="457">
        <v>2388724</v>
      </c>
      <c r="AG199" s="20">
        <f t="shared" si="172"/>
        <v>9996714</v>
      </c>
      <c r="AH199" s="21">
        <f t="shared" si="173"/>
        <v>6647407</v>
      </c>
      <c r="AI199" s="17">
        <f t="shared" si="174"/>
        <v>6647407</v>
      </c>
      <c r="AJ199" s="18">
        <f t="shared" si="175"/>
        <v>8602127</v>
      </c>
      <c r="AK199" s="10"/>
      <c r="AL199" s="455">
        <v>0</v>
      </c>
      <c r="AM199" s="458">
        <v>0</v>
      </c>
      <c r="AN199" s="10"/>
    </row>
    <row r="200" spans="1:40" s="467" customFormat="1" x14ac:dyDescent="0.2">
      <c r="A200" s="623"/>
      <c r="B200" s="554"/>
      <c r="N200" s="10"/>
      <c r="P200" s="10"/>
      <c r="Q200" s="10"/>
      <c r="R200" s="10"/>
      <c r="S200" s="156" t="str">
        <f>+IF(OCTUBRE!S200=0,"",OCTUBRE!S200)</f>
        <v>4100100-5</v>
      </c>
      <c r="T200" s="55" t="str">
        <f>+IF(OCTUBRE!T200=0,"",OCTUBRE!T200)</f>
        <v>Material para Rayos X</v>
      </c>
      <c r="U200" s="29">
        <f>+ENERO!U200</f>
        <v>8957656</v>
      </c>
      <c r="V200" s="17">
        <f>OCTUBRE!V200+NOVIEMBRE!AL200</f>
        <v>0</v>
      </c>
      <c r="W200" s="17">
        <f>OCTUBRE!W200+NOVIEMBRE!AM200</f>
        <v>3000000</v>
      </c>
      <c r="X200" s="20">
        <f t="shared" si="169"/>
        <v>11957656</v>
      </c>
      <c r="Y200" s="21">
        <f>OCTUBRE!AA200</f>
        <v>3907768</v>
      </c>
      <c r="Z200" s="457">
        <v>1864708</v>
      </c>
      <c r="AA200" s="20">
        <f t="shared" si="170"/>
        <v>5772476</v>
      </c>
      <c r="AB200" s="21">
        <f>OCTUBRE!AD200</f>
        <v>3907768</v>
      </c>
      <c r="AC200" s="457">
        <v>1864708</v>
      </c>
      <c r="AD200" s="20">
        <f t="shared" si="171"/>
        <v>5772476</v>
      </c>
      <c r="AE200" s="21">
        <f>OCTUBRE!AG200</f>
        <v>3907768</v>
      </c>
      <c r="AF200" s="457">
        <v>0</v>
      </c>
      <c r="AG200" s="20">
        <f t="shared" si="172"/>
        <v>3907768</v>
      </c>
      <c r="AH200" s="21">
        <f t="shared" si="173"/>
        <v>6185180</v>
      </c>
      <c r="AI200" s="17">
        <f t="shared" si="174"/>
        <v>6185180</v>
      </c>
      <c r="AJ200" s="18">
        <f t="shared" si="175"/>
        <v>8049888</v>
      </c>
      <c r="AK200" s="10"/>
      <c r="AL200" s="455">
        <v>0</v>
      </c>
      <c r="AM200" s="458">
        <v>0</v>
      </c>
      <c r="AN200" s="10"/>
    </row>
    <row r="201" spans="1:40" s="467" customFormat="1" x14ac:dyDescent="0.2">
      <c r="A201" s="623"/>
      <c r="B201" s="554"/>
      <c r="N201" s="10"/>
      <c r="P201" s="10"/>
      <c r="Q201" s="10"/>
      <c r="R201" s="10"/>
      <c r="S201" s="156" t="str">
        <f>+IF(OCTUBRE!S201=0,"",OCTUBRE!S201)</f>
        <v/>
      </c>
      <c r="T201" s="55" t="str">
        <f>+IF(OCTUBRE!T201=0,"",OCTUBRE!T201)</f>
        <v/>
      </c>
      <c r="U201" s="29">
        <f>+ENERO!U201</f>
        <v>0</v>
      </c>
      <c r="V201" s="17">
        <f>OCTUBRE!V201+NOVIEMBRE!AL201</f>
        <v>0</v>
      </c>
      <c r="W201" s="17">
        <f>OCTUBRE!W201+NOVIEMBRE!AM201</f>
        <v>0</v>
      </c>
      <c r="X201" s="20">
        <f t="shared" si="169"/>
        <v>0</v>
      </c>
      <c r="Y201" s="21">
        <f>OCTUBRE!AA201</f>
        <v>0</v>
      </c>
      <c r="Z201" s="457">
        <v>0</v>
      </c>
      <c r="AA201" s="20">
        <f t="shared" si="170"/>
        <v>0</v>
      </c>
      <c r="AB201" s="21">
        <f>OCTUBRE!AD201</f>
        <v>0</v>
      </c>
      <c r="AC201" s="457">
        <v>0</v>
      </c>
      <c r="AD201" s="20">
        <f t="shared" si="171"/>
        <v>0</v>
      </c>
      <c r="AE201" s="21">
        <f>OCTUBRE!AG201</f>
        <v>0</v>
      </c>
      <c r="AF201" s="457">
        <v>0</v>
      </c>
      <c r="AG201" s="20">
        <f t="shared" si="172"/>
        <v>0</v>
      </c>
      <c r="AH201" s="21">
        <f t="shared" si="173"/>
        <v>0</v>
      </c>
      <c r="AI201" s="17">
        <f t="shared" si="174"/>
        <v>0</v>
      </c>
      <c r="AJ201" s="18">
        <f t="shared" si="175"/>
        <v>0</v>
      </c>
      <c r="AK201" s="10"/>
      <c r="AL201" s="455">
        <v>0</v>
      </c>
      <c r="AM201" s="458">
        <v>0</v>
      </c>
      <c r="AN201" s="10"/>
    </row>
    <row r="202" spans="1:40" s="467" customFormat="1" x14ac:dyDescent="0.2">
      <c r="A202" s="623"/>
      <c r="B202" s="554"/>
      <c r="N202" s="10"/>
      <c r="P202" s="10"/>
      <c r="Q202" s="10"/>
      <c r="R202" s="10"/>
      <c r="S202" s="156" t="str">
        <f>+IF(OCTUBRE!S202=0,"",OCTUBRE!S202)</f>
        <v/>
      </c>
      <c r="T202" s="55" t="str">
        <f>+IF(OCTUBRE!T202=0,"",OCTUBRE!T202)</f>
        <v/>
      </c>
      <c r="U202" s="29">
        <f>+ENERO!U202</f>
        <v>0</v>
      </c>
      <c r="V202" s="17">
        <f>OCTUBRE!V202+NOVIEMBRE!AL202</f>
        <v>0</v>
      </c>
      <c r="W202" s="17">
        <f>OCTUBRE!W202+NOVIEMBRE!AM202</f>
        <v>0</v>
      </c>
      <c r="X202" s="20">
        <f t="shared" si="169"/>
        <v>0</v>
      </c>
      <c r="Y202" s="21">
        <f>OCTUBRE!AA202</f>
        <v>0</v>
      </c>
      <c r="Z202" s="457">
        <v>0</v>
      </c>
      <c r="AA202" s="20">
        <f t="shared" si="170"/>
        <v>0</v>
      </c>
      <c r="AB202" s="21">
        <f>OCTUBRE!AD202</f>
        <v>0</v>
      </c>
      <c r="AC202" s="457">
        <v>0</v>
      </c>
      <c r="AD202" s="20">
        <f t="shared" si="171"/>
        <v>0</v>
      </c>
      <c r="AE202" s="21">
        <f>OCTUBRE!AG202</f>
        <v>0</v>
      </c>
      <c r="AF202" s="457">
        <v>0</v>
      </c>
      <c r="AG202" s="20">
        <f t="shared" si="172"/>
        <v>0</v>
      </c>
      <c r="AH202" s="21">
        <f t="shared" si="173"/>
        <v>0</v>
      </c>
      <c r="AI202" s="17">
        <f t="shared" si="174"/>
        <v>0</v>
      </c>
      <c r="AJ202" s="18">
        <f t="shared" si="175"/>
        <v>0</v>
      </c>
      <c r="AK202" s="10"/>
      <c r="AL202" s="455">
        <v>0</v>
      </c>
      <c r="AM202" s="458">
        <v>0</v>
      </c>
      <c r="AN202" s="10"/>
    </row>
    <row r="203" spans="1:40" s="467" customFormat="1" x14ac:dyDescent="0.2">
      <c r="A203" s="623"/>
      <c r="B203" s="554"/>
      <c r="N203" s="10"/>
      <c r="P203" s="10"/>
      <c r="Q203" s="10"/>
      <c r="R203" s="10"/>
      <c r="S203" s="155">
        <f>+IF(OCTUBRE!S203=0,"",OCTUBRE!S203)</f>
        <v>4100200</v>
      </c>
      <c r="T203" s="159" t="str">
        <f>+IF(OCTUBRE!T203=0,"",OCTUBRE!T203)</f>
        <v>Gastos Complementarios e Intermedios</v>
      </c>
      <c r="U203" s="29">
        <f t="shared" ref="U203:AJ203" si="176">U204</f>
        <v>28768499</v>
      </c>
      <c r="V203" s="17">
        <f t="shared" si="176"/>
        <v>0</v>
      </c>
      <c r="W203" s="17">
        <f t="shared" si="176"/>
        <v>0</v>
      </c>
      <c r="X203" s="20">
        <f t="shared" si="176"/>
        <v>28768499</v>
      </c>
      <c r="Y203" s="21">
        <f t="shared" si="176"/>
        <v>15563736</v>
      </c>
      <c r="Z203" s="169">
        <f t="shared" si="176"/>
        <v>2238016</v>
      </c>
      <c r="AA203" s="20">
        <f t="shared" si="176"/>
        <v>17801752</v>
      </c>
      <c r="AB203" s="21">
        <f t="shared" si="176"/>
        <v>15563736</v>
      </c>
      <c r="AC203" s="169">
        <f t="shared" si="176"/>
        <v>2238016</v>
      </c>
      <c r="AD203" s="20">
        <f t="shared" si="176"/>
        <v>17801752</v>
      </c>
      <c r="AE203" s="21">
        <f t="shared" si="176"/>
        <v>13920852</v>
      </c>
      <c r="AF203" s="169">
        <f t="shared" si="176"/>
        <v>1642884</v>
      </c>
      <c r="AG203" s="20">
        <f t="shared" si="176"/>
        <v>15563736</v>
      </c>
      <c r="AH203" s="21">
        <f t="shared" si="176"/>
        <v>10966747</v>
      </c>
      <c r="AI203" s="17">
        <f t="shared" si="176"/>
        <v>10966747</v>
      </c>
      <c r="AJ203" s="18">
        <f t="shared" si="176"/>
        <v>13204763</v>
      </c>
      <c r="AK203" s="10"/>
      <c r="AL203" s="31">
        <f>AL204</f>
        <v>0</v>
      </c>
      <c r="AM203" s="28">
        <f>AM204</f>
        <v>0</v>
      </c>
      <c r="AN203" s="10"/>
    </row>
    <row r="204" spans="1:40" s="467" customFormat="1" x14ac:dyDescent="0.2">
      <c r="A204" s="623"/>
      <c r="B204" s="554"/>
      <c r="N204" s="10"/>
      <c r="P204" s="10"/>
      <c r="Q204" s="10"/>
      <c r="R204" s="10"/>
      <c r="S204" s="156" t="str">
        <f>+IF(OCTUBRE!S204=0,"",OCTUBRE!S204)</f>
        <v>4100200-1</v>
      </c>
      <c r="T204" s="55" t="str">
        <f>+IF(OCTUBRE!T204=0,"",OCTUBRE!T204)</f>
        <v>Alimentación</v>
      </c>
      <c r="U204" s="29">
        <f>+ENERO!U204</f>
        <v>28768499</v>
      </c>
      <c r="V204" s="17">
        <f>OCTUBRE!V204+NOVIEMBRE!AL204</f>
        <v>0</v>
      </c>
      <c r="W204" s="17">
        <f>OCTUBRE!W204+NOVIEMBRE!AM204</f>
        <v>0</v>
      </c>
      <c r="X204" s="20">
        <f>SUM(U204:W204)</f>
        <v>28768499</v>
      </c>
      <c r="Y204" s="21">
        <f>OCTUBRE!AA204</f>
        <v>15563736</v>
      </c>
      <c r="Z204" s="457">
        <v>2238016</v>
      </c>
      <c r="AA204" s="20">
        <f>SUM(Y204:Z204)</f>
        <v>17801752</v>
      </c>
      <c r="AB204" s="21">
        <f>OCTUBRE!AD204</f>
        <v>15563736</v>
      </c>
      <c r="AC204" s="457">
        <v>2238016</v>
      </c>
      <c r="AD204" s="20">
        <f>SUM(AB204:AC204)</f>
        <v>17801752</v>
      </c>
      <c r="AE204" s="21">
        <f>OCTUBRE!AG204</f>
        <v>13920852</v>
      </c>
      <c r="AF204" s="457">
        <v>1642884</v>
      </c>
      <c r="AG204" s="20">
        <f>SUM(AE204:AF204)</f>
        <v>15563736</v>
      </c>
      <c r="AH204" s="21">
        <f>X204-AA204</f>
        <v>10966747</v>
      </c>
      <c r="AI204" s="17">
        <f>X204-AD204</f>
        <v>10966747</v>
      </c>
      <c r="AJ204" s="18">
        <f>X204-AG204</f>
        <v>13204763</v>
      </c>
      <c r="AK204" s="10"/>
      <c r="AL204" s="455">
        <v>0</v>
      </c>
      <c r="AM204" s="458">
        <v>0</v>
      </c>
      <c r="AN204" s="10"/>
    </row>
    <row r="205" spans="1:40" s="467" customFormat="1" ht="13.5" thickBot="1" x14ac:dyDescent="0.25">
      <c r="A205" s="623"/>
      <c r="B205" s="554"/>
      <c r="N205" s="10"/>
      <c r="P205" s="10"/>
      <c r="Q205" s="10"/>
      <c r="R205" s="10"/>
      <c r="S205" s="624">
        <f>+IF(OCTUBRE!S205=0,"",OCTUBRE!S205)</f>
        <v>4199999</v>
      </c>
      <c r="T205" s="625" t="str">
        <f>+IF(OCTUBRE!T205=0,"",OCTUBRE!T205)</f>
        <v>Vigencias Anteriores</v>
      </c>
      <c r="U205" s="160">
        <f>+ENERO!U205</f>
        <v>45000000</v>
      </c>
      <c r="V205" s="143">
        <f>OCTUBRE!V205+NOVIEMBRE!AL205</f>
        <v>15217291</v>
      </c>
      <c r="W205" s="143">
        <f>OCTUBRE!W205+NOVIEMBRE!AM205</f>
        <v>0</v>
      </c>
      <c r="X205" s="149">
        <f>SUM(U205:W205)</f>
        <v>60217291</v>
      </c>
      <c r="Y205" s="147">
        <f>OCTUBRE!AA205</f>
        <v>60217291</v>
      </c>
      <c r="Z205" s="475">
        <v>0</v>
      </c>
      <c r="AA205" s="149">
        <f>SUM(Y205:Z205)</f>
        <v>60217291</v>
      </c>
      <c r="AB205" s="147">
        <f>OCTUBRE!AD205</f>
        <v>60217291</v>
      </c>
      <c r="AC205" s="475">
        <v>0</v>
      </c>
      <c r="AD205" s="149">
        <f>SUM(AB205:AC205)</f>
        <v>60217291</v>
      </c>
      <c r="AE205" s="147">
        <f>OCTUBRE!AG205</f>
        <v>60217291</v>
      </c>
      <c r="AF205" s="475">
        <v>0</v>
      </c>
      <c r="AG205" s="149">
        <f>SUM(AE205:AF205)</f>
        <v>60217291</v>
      </c>
      <c r="AH205" s="147">
        <f>X205-AA205</f>
        <v>0</v>
      </c>
      <c r="AI205" s="143">
        <f>X205-AD205</f>
        <v>0</v>
      </c>
      <c r="AJ205" s="148">
        <f>X205-AG205</f>
        <v>0</v>
      </c>
      <c r="AK205" s="10"/>
      <c r="AL205" s="471">
        <v>0</v>
      </c>
      <c r="AM205" s="476">
        <v>0</v>
      </c>
      <c r="AN205" s="10"/>
    </row>
    <row r="206" spans="1:40" s="467" customFormat="1" ht="15.75" x14ac:dyDescent="0.2">
      <c r="A206" s="623"/>
      <c r="B206" s="554"/>
      <c r="N206" s="10"/>
      <c r="P206" s="10"/>
      <c r="Q206" s="10"/>
      <c r="R206" s="10"/>
      <c r="S206" s="627" t="str">
        <f>+IF(OCTUBRE!S206=0,"",OCTUBRE!S206)</f>
        <v/>
      </c>
      <c r="T206" s="628" t="str">
        <f>+IF(OCTUBRE!T206=0,"",OCTUBRE!T206)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+IF(OCTUBRE!S207=0,"",OCTUBRE!S207)</f>
        <v>B</v>
      </c>
      <c r="T207" s="655" t="str">
        <f>+IF(OCTUBRE!T207=0,"",OCTUBRE!T207)</f>
        <v>GASTOS DE OPERACION COMERCIAL</v>
      </c>
      <c r="U207" s="589">
        <f t="shared" ref="U207:AJ207" si="177">U209</f>
        <v>0</v>
      </c>
      <c r="V207" s="590">
        <f t="shared" si="177"/>
        <v>0</v>
      </c>
      <c r="W207" s="590">
        <f t="shared" si="177"/>
        <v>0</v>
      </c>
      <c r="X207" s="591">
        <f t="shared" si="177"/>
        <v>0</v>
      </c>
      <c r="Y207" s="464">
        <f t="shared" si="177"/>
        <v>0</v>
      </c>
      <c r="Z207" s="590">
        <f t="shared" si="177"/>
        <v>0</v>
      </c>
      <c r="AA207" s="591">
        <f t="shared" si="177"/>
        <v>0</v>
      </c>
      <c r="AB207" s="464">
        <f t="shared" si="177"/>
        <v>0</v>
      </c>
      <c r="AC207" s="590">
        <f t="shared" si="177"/>
        <v>0</v>
      </c>
      <c r="AD207" s="591">
        <f t="shared" si="177"/>
        <v>0</v>
      </c>
      <c r="AE207" s="464">
        <f t="shared" si="177"/>
        <v>0</v>
      </c>
      <c r="AF207" s="590">
        <f t="shared" si="177"/>
        <v>0</v>
      </c>
      <c r="AG207" s="591">
        <f t="shared" si="177"/>
        <v>0</v>
      </c>
      <c r="AH207" s="464">
        <f t="shared" si="177"/>
        <v>0</v>
      </c>
      <c r="AI207" s="590">
        <f t="shared" si="177"/>
        <v>0</v>
      </c>
      <c r="AJ207" s="465">
        <f t="shared" si="177"/>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+IF(OCTUBRE!S209=0,"",OCTUBRE!S209)</f>
        <v>5000000</v>
      </c>
      <c r="T209" s="588" t="s">
        <v>480</v>
      </c>
      <c r="U209" s="589">
        <f t="shared" ref="U209:AJ209" si="178">U210</f>
        <v>0</v>
      </c>
      <c r="V209" s="590">
        <f t="shared" si="178"/>
        <v>0</v>
      </c>
      <c r="W209" s="590">
        <f t="shared" si="178"/>
        <v>0</v>
      </c>
      <c r="X209" s="591">
        <f t="shared" si="178"/>
        <v>0</v>
      </c>
      <c r="Y209" s="464">
        <f t="shared" si="178"/>
        <v>0</v>
      </c>
      <c r="Z209" s="590">
        <f t="shared" si="178"/>
        <v>0</v>
      </c>
      <c r="AA209" s="591">
        <f t="shared" si="178"/>
        <v>0</v>
      </c>
      <c r="AB209" s="464">
        <f t="shared" si="178"/>
        <v>0</v>
      </c>
      <c r="AC209" s="590">
        <f t="shared" si="178"/>
        <v>0</v>
      </c>
      <c r="AD209" s="591">
        <f t="shared" si="178"/>
        <v>0</v>
      </c>
      <c r="AE209" s="464">
        <f t="shared" si="178"/>
        <v>0</v>
      </c>
      <c r="AF209" s="590">
        <f t="shared" si="178"/>
        <v>0</v>
      </c>
      <c r="AG209" s="591">
        <f t="shared" si="178"/>
        <v>0</v>
      </c>
      <c r="AH209" s="464">
        <f t="shared" si="178"/>
        <v>0</v>
      </c>
      <c r="AI209" s="590">
        <f t="shared" si="178"/>
        <v>0</v>
      </c>
      <c r="AJ209" s="465">
        <f t="shared" si="178"/>
        <v>0</v>
      </c>
      <c r="AK209" s="10"/>
      <c r="AL209" s="151">
        <f>AL210</f>
        <v>0</v>
      </c>
      <c r="AM209" s="153">
        <f>AM210</f>
        <v>0</v>
      </c>
      <c r="AN209" s="10"/>
    </row>
    <row r="210" spans="1:40" s="467" customFormat="1" ht="15" x14ac:dyDescent="0.2">
      <c r="A210" s="623"/>
      <c r="B210" s="554"/>
      <c r="N210" s="10"/>
      <c r="P210" s="10"/>
      <c r="Q210" s="10"/>
      <c r="R210" s="10"/>
      <c r="S210" s="34">
        <f>+IF(OCTUBRE!S210=0,"",OCTUBRE!S210)</f>
        <v>5100000</v>
      </c>
      <c r="T210" s="158" t="str">
        <f>+IF(OCTUBRE!T210=0,"",OCTUBRE!T210)</f>
        <v>Insumos y Suministros para Venta al Público</v>
      </c>
      <c r="U210" s="157">
        <f t="shared" ref="U210:AJ210" si="179">U211+U218</f>
        <v>0</v>
      </c>
      <c r="V210" s="144">
        <f t="shared" si="179"/>
        <v>0</v>
      </c>
      <c r="W210" s="144">
        <f t="shared" si="179"/>
        <v>0</v>
      </c>
      <c r="X210" s="152">
        <f t="shared" si="179"/>
        <v>0</v>
      </c>
      <c r="Y210" s="151">
        <f t="shared" si="179"/>
        <v>0</v>
      </c>
      <c r="Z210" s="144">
        <f t="shared" si="179"/>
        <v>0</v>
      </c>
      <c r="AA210" s="152">
        <f t="shared" si="179"/>
        <v>0</v>
      </c>
      <c r="AB210" s="151">
        <f t="shared" si="179"/>
        <v>0</v>
      </c>
      <c r="AC210" s="144">
        <f t="shared" si="179"/>
        <v>0</v>
      </c>
      <c r="AD210" s="152">
        <f t="shared" si="179"/>
        <v>0</v>
      </c>
      <c r="AE210" s="151">
        <f t="shared" si="179"/>
        <v>0</v>
      </c>
      <c r="AF210" s="144">
        <f t="shared" si="179"/>
        <v>0</v>
      </c>
      <c r="AG210" s="152">
        <f t="shared" si="179"/>
        <v>0</v>
      </c>
      <c r="AH210" s="151">
        <f t="shared" si="179"/>
        <v>0</v>
      </c>
      <c r="AI210" s="144">
        <f t="shared" si="179"/>
        <v>0</v>
      </c>
      <c r="AJ210" s="153">
        <f t="shared" si="179"/>
        <v>0</v>
      </c>
      <c r="AK210" s="10"/>
      <c r="AL210" s="151">
        <f>AL211+AL218</f>
        <v>0</v>
      </c>
      <c r="AM210" s="153">
        <f>AM211+AM218</f>
        <v>0</v>
      </c>
      <c r="AN210" s="10"/>
    </row>
    <row r="211" spans="1:40" s="467" customFormat="1" x14ac:dyDescent="0.2">
      <c r="A211" s="623"/>
      <c r="B211" s="554"/>
      <c r="N211" s="10"/>
      <c r="P211" s="10"/>
      <c r="Q211" s="10"/>
      <c r="R211" s="10"/>
      <c r="S211" s="155">
        <f>+IF(OCTUBRE!S211=0,"",OCTUBRE!S211)</f>
        <v>5100100</v>
      </c>
      <c r="T211" s="159" t="str">
        <f>+IF(OCTUBRE!T211=0,"",OCTUBRE!T211)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20">
        <f t="shared" si="180"/>
        <v>0</v>
      </c>
      <c r="AE211" s="21">
        <f t="shared" si="180"/>
        <v>0</v>
      </c>
      <c r="AF211" s="169">
        <f t="shared" si="180"/>
        <v>0</v>
      </c>
      <c r="AG211" s="20">
        <f t="shared" si="180"/>
        <v>0</v>
      </c>
      <c r="AH211" s="21">
        <f t="shared" si="180"/>
        <v>0</v>
      </c>
      <c r="AI211" s="17">
        <f t="shared" si="180"/>
        <v>0</v>
      </c>
      <c r="AJ211" s="18">
        <f t="shared" si="180"/>
        <v>0</v>
      </c>
      <c r="AK211" s="12"/>
      <c r="AL211" s="31">
        <f>SUM(AL212:AL217)</f>
        <v>0</v>
      </c>
      <c r="AM211" s="28">
        <f>SUM(AM212:AM217)</f>
        <v>0</v>
      </c>
      <c r="AN211" s="10"/>
    </row>
    <row r="212" spans="1:40" s="467" customFormat="1" x14ac:dyDescent="0.2">
      <c r="A212" s="623"/>
      <c r="B212" s="554"/>
      <c r="N212" s="10"/>
      <c r="P212" s="10"/>
      <c r="Q212" s="10"/>
      <c r="R212" s="10"/>
      <c r="S212" s="156" t="str">
        <f>+IF(OCTUBRE!S212=0,"",OCTUBRE!S212)</f>
        <v>5100100-1</v>
      </c>
      <c r="T212" s="55" t="str">
        <f>+IF(OCTUBRE!T212=0,"",OCTUBRE!T212)</f>
        <v>Productos Farmaceuticos</v>
      </c>
      <c r="U212" s="29">
        <f>+ENERO!U212</f>
        <v>0</v>
      </c>
      <c r="V212" s="17">
        <f>OCTUBRE!V212+NOVIEMBRE!AL212</f>
        <v>0</v>
      </c>
      <c r="W212" s="17">
        <f>OCTUBRE!W212+NOVIEMBRE!AM212</f>
        <v>0</v>
      </c>
      <c r="X212" s="20">
        <f t="shared" ref="X212:X218" si="181">SUM(U212:W212)</f>
        <v>0</v>
      </c>
      <c r="Y212" s="21">
        <f>OCTUBRE!AA212</f>
        <v>0</v>
      </c>
      <c r="Z212" s="457">
        <v>0</v>
      </c>
      <c r="AA212" s="20">
        <f t="shared" ref="AA212:AA218" si="182">SUM(Y212:Z212)</f>
        <v>0</v>
      </c>
      <c r="AB212" s="21">
        <f>OCTUBRE!AD212</f>
        <v>0</v>
      </c>
      <c r="AC212" s="457">
        <v>0</v>
      </c>
      <c r="AD212" s="20">
        <f t="shared" ref="AD212:AD218" si="183">SUM(AB212:AC212)</f>
        <v>0</v>
      </c>
      <c r="AE212" s="21">
        <f>OCTUBRE!AG212</f>
        <v>0</v>
      </c>
      <c r="AF212" s="457">
        <v>0</v>
      </c>
      <c r="AG212" s="20">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x14ac:dyDescent="0.2">
      <c r="A213" s="623"/>
      <c r="B213" s="554"/>
      <c r="N213" s="10"/>
      <c r="P213" s="10"/>
      <c r="Q213" s="10"/>
      <c r="R213" s="10"/>
      <c r="S213" s="156" t="str">
        <f>+IF(OCTUBRE!S213=0,"",OCTUBRE!S213)</f>
        <v>5100100-2</v>
      </c>
      <c r="T213" s="55" t="str">
        <f>+IF(OCTUBRE!T213=0,"",OCTUBRE!T213)</f>
        <v>Material Médico Quirúrgico</v>
      </c>
      <c r="U213" s="29">
        <f>+ENERO!U213</f>
        <v>0</v>
      </c>
      <c r="V213" s="17">
        <f>OCTUBRE!V213+NOVIEMBRE!AL213</f>
        <v>0</v>
      </c>
      <c r="W213" s="17">
        <f>OCTUBRE!W213+NOVIEMBRE!AM213</f>
        <v>0</v>
      </c>
      <c r="X213" s="20">
        <f t="shared" si="181"/>
        <v>0</v>
      </c>
      <c r="Y213" s="21">
        <f>OCTUBRE!AA213</f>
        <v>0</v>
      </c>
      <c r="Z213" s="457">
        <v>0</v>
      </c>
      <c r="AA213" s="20">
        <f t="shared" si="182"/>
        <v>0</v>
      </c>
      <c r="AB213" s="21">
        <f>OCTUBRE!AD213</f>
        <v>0</v>
      </c>
      <c r="AC213" s="457">
        <v>0</v>
      </c>
      <c r="AD213" s="20">
        <f t="shared" si="183"/>
        <v>0</v>
      </c>
      <c r="AE213" s="21">
        <f>OCTUBRE!AG213</f>
        <v>0</v>
      </c>
      <c r="AF213" s="457">
        <v>0</v>
      </c>
      <c r="AG213" s="20">
        <f t="shared" si="184"/>
        <v>0</v>
      </c>
      <c r="AH213" s="21">
        <f t="shared" si="185"/>
        <v>0</v>
      </c>
      <c r="AI213" s="17">
        <f t="shared" si="186"/>
        <v>0</v>
      </c>
      <c r="AJ213" s="18">
        <f t="shared" si="187"/>
        <v>0</v>
      </c>
      <c r="AK213" s="10"/>
      <c r="AL213" s="455">
        <v>0</v>
      </c>
      <c r="AM213" s="458">
        <v>0</v>
      </c>
      <c r="AN213" s="10"/>
    </row>
    <row r="214" spans="1:40" s="467" customFormat="1" x14ac:dyDescent="0.2">
      <c r="A214" s="623"/>
      <c r="B214" s="554"/>
      <c r="N214" s="10"/>
      <c r="P214" s="10"/>
      <c r="Q214" s="10"/>
      <c r="R214" s="10"/>
      <c r="S214" s="156" t="str">
        <f>+IF(OCTUBRE!S214=0,"",OCTUBRE!S214)</f>
        <v>5100100-3</v>
      </c>
      <c r="T214" s="55" t="str">
        <f>+IF(OCTUBRE!T214=0,"",OCTUBRE!T214)</f>
        <v>Material de Laboratorio</v>
      </c>
      <c r="U214" s="29">
        <f>+ENERO!U214</f>
        <v>0</v>
      </c>
      <c r="V214" s="17">
        <f>OCTUBRE!V214+NOVIEMBRE!AL214</f>
        <v>0</v>
      </c>
      <c r="W214" s="17">
        <f>OCTUBRE!W214+NOVIEMBRE!AM214</f>
        <v>0</v>
      </c>
      <c r="X214" s="20">
        <f t="shared" si="181"/>
        <v>0</v>
      </c>
      <c r="Y214" s="21">
        <f>OCTUBRE!AA214</f>
        <v>0</v>
      </c>
      <c r="Z214" s="457">
        <v>0</v>
      </c>
      <c r="AA214" s="20">
        <f t="shared" si="182"/>
        <v>0</v>
      </c>
      <c r="AB214" s="21">
        <f>OCTUBRE!AD214</f>
        <v>0</v>
      </c>
      <c r="AC214" s="457">
        <v>0</v>
      </c>
      <c r="AD214" s="20">
        <f t="shared" si="183"/>
        <v>0</v>
      </c>
      <c r="AE214" s="21">
        <f>OCTUBRE!AG214</f>
        <v>0</v>
      </c>
      <c r="AF214" s="457">
        <v>0</v>
      </c>
      <c r="AG214" s="20">
        <f t="shared" si="184"/>
        <v>0</v>
      </c>
      <c r="AH214" s="21">
        <f t="shared" si="185"/>
        <v>0</v>
      </c>
      <c r="AI214" s="17">
        <f t="shared" si="186"/>
        <v>0</v>
      </c>
      <c r="AJ214" s="18">
        <f t="shared" si="187"/>
        <v>0</v>
      </c>
      <c r="AK214" s="10"/>
      <c r="AL214" s="455">
        <v>0</v>
      </c>
      <c r="AM214" s="458">
        <v>0</v>
      </c>
      <c r="AN214" s="10"/>
    </row>
    <row r="215" spans="1:40" s="467" customFormat="1" x14ac:dyDescent="0.2">
      <c r="A215" s="623"/>
      <c r="B215" s="554"/>
      <c r="N215" s="10"/>
      <c r="P215" s="10"/>
      <c r="Q215" s="10"/>
      <c r="R215" s="10"/>
      <c r="S215" s="156" t="str">
        <f>+IF(OCTUBRE!S215=0,"",OCTUBRE!S215)</f>
        <v>5100100-4</v>
      </c>
      <c r="T215" s="55" t="str">
        <f>+IF(OCTUBRE!T215=0,"",OCTUBRE!T215)</f>
        <v>Material para Odontologia</v>
      </c>
      <c r="U215" s="29">
        <f>+ENERO!U215</f>
        <v>0</v>
      </c>
      <c r="V215" s="17">
        <f>OCTUBRE!V215+NOVIEMBRE!AL215</f>
        <v>0</v>
      </c>
      <c r="W215" s="17">
        <f>OCTUBRE!W215+NOVIEMBRE!AM215</f>
        <v>0</v>
      </c>
      <c r="X215" s="20">
        <f t="shared" si="181"/>
        <v>0</v>
      </c>
      <c r="Y215" s="21">
        <f>OCTUBRE!AA215</f>
        <v>0</v>
      </c>
      <c r="Z215" s="457">
        <v>0</v>
      </c>
      <c r="AA215" s="20">
        <f t="shared" si="182"/>
        <v>0</v>
      </c>
      <c r="AB215" s="21">
        <f>OCTUBRE!AD215</f>
        <v>0</v>
      </c>
      <c r="AC215" s="457">
        <v>0</v>
      </c>
      <c r="AD215" s="20">
        <f t="shared" si="183"/>
        <v>0</v>
      </c>
      <c r="AE215" s="21">
        <f>OCTUBRE!AG215</f>
        <v>0</v>
      </c>
      <c r="AF215" s="457">
        <v>0</v>
      </c>
      <c r="AG215" s="20">
        <f t="shared" si="184"/>
        <v>0</v>
      </c>
      <c r="AH215" s="21">
        <f t="shared" si="185"/>
        <v>0</v>
      </c>
      <c r="AI215" s="17">
        <f t="shared" si="186"/>
        <v>0</v>
      </c>
      <c r="AJ215" s="18">
        <f t="shared" si="187"/>
        <v>0</v>
      </c>
      <c r="AK215" s="10"/>
      <c r="AL215" s="455">
        <v>0</v>
      </c>
      <c r="AM215" s="458">
        <v>0</v>
      </c>
      <c r="AN215" s="10"/>
    </row>
    <row r="216" spans="1:40" s="467" customFormat="1" x14ac:dyDescent="0.2">
      <c r="A216" s="623"/>
      <c r="B216" s="554"/>
      <c r="N216" s="10"/>
      <c r="P216" s="10"/>
      <c r="Q216" s="10"/>
      <c r="R216" s="10"/>
      <c r="S216" s="156" t="str">
        <f>+IF(OCTUBRE!S216=0,"",OCTUBRE!S216)</f>
        <v>5100100-5</v>
      </c>
      <c r="T216" s="55" t="str">
        <f>+IF(OCTUBRE!T216=0,"",OCTUBRE!T216)</f>
        <v>Material para Rayos X</v>
      </c>
      <c r="U216" s="29">
        <f>+ENERO!U216</f>
        <v>0</v>
      </c>
      <c r="V216" s="17">
        <f>OCTUBRE!V216+NOVIEMBRE!AL216</f>
        <v>0</v>
      </c>
      <c r="W216" s="17">
        <f>OCTUBRE!W216+NOVIEMBRE!AM216</f>
        <v>0</v>
      </c>
      <c r="X216" s="20">
        <f t="shared" si="181"/>
        <v>0</v>
      </c>
      <c r="Y216" s="21">
        <f>OCTUBRE!AA216</f>
        <v>0</v>
      </c>
      <c r="Z216" s="457">
        <v>0</v>
      </c>
      <c r="AA216" s="20">
        <f t="shared" si="182"/>
        <v>0</v>
      </c>
      <c r="AB216" s="21">
        <f>OCTUBRE!AD216</f>
        <v>0</v>
      </c>
      <c r="AC216" s="457">
        <v>0</v>
      </c>
      <c r="AD216" s="20">
        <f t="shared" si="183"/>
        <v>0</v>
      </c>
      <c r="AE216" s="21">
        <f>OCTUBRE!AG216</f>
        <v>0</v>
      </c>
      <c r="AF216" s="457">
        <v>0</v>
      </c>
      <c r="AG216" s="20">
        <f t="shared" si="184"/>
        <v>0</v>
      </c>
      <c r="AH216" s="21">
        <f t="shared" si="185"/>
        <v>0</v>
      </c>
      <c r="AI216" s="17">
        <f t="shared" si="186"/>
        <v>0</v>
      </c>
      <c r="AJ216" s="18">
        <f t="shared" si="187"/>
        <v>0</v>
      </c>
      <c r="AK216" s="10"/>
      <c r="AL216" s="455">
        <v>0</v>
      </c>
      <c r="AM216" s="458">
        <v>0</v>
      </c>
      <c r="AN216" s="10"/>
    </row>
    <row r="217" spans="1:40" s="467" customFormat="1" x14ac:dyDescent="0.2">
      <c r="A217" s="623"/>
      <c r="B217" s="554"/>
      <c r="N217" s="10"/>
      <c r="P217" s="10"/>
      <c r="Q217" s="10"/>
      <c r="R217" s="10"/>
      <c r="S217" s="156" t="str">
        <f>+IF(OCTUBRE!S217=0,"",OCTUBRE!S217)</f>
        <v>5100100-6</v>
      </c>
      <c r="T217" s="55" t="str">
        <f>+IF(OCTUBRE!T217=0,"",OCTUBRE!T217)</f>
        <v>Material aseo personal, etc.</v>
      </c>
      <c r="U217" s="29">
        <f>+ENERO!U217</f>
        <v>0</v>
      </c>
      <c r="V217" s="17">
        <f>OCTUBRE!V217+NOVIEMBRE!AL217</f>
        <v>0</v>
      </c>
      <c r="W217" s="17">
        <f>OCTUBRE!W217+NOVIEMBRE!AM217</f>
        <v>0</v>
      </c>
      <c r="X217" s="20">
        <f t="shared" si="181"/>
        <v>0</v>
      </c>
      <c r="Y217" s="21">
        <f>OCTUBRE!AA217</f>
        <v>0</v>
      </c>
      <c r="Z217" s="457">
        <v>0</v>
      </c>
      <c r="AA217" s="20">
        <f t="shared" si="182"/>
        <v>0</v>
      </c>
      <c r="AB217" s="21">
        <f>OCTUBRE!AD217</f>
        <v>0</v>
      </c>
      <c r="AC217" s="457">
        <v>0</v>
      </c>
      <c r="AD217" s="20">
        <f t="shared" si="183"/>
        <v>0</v>
      </c>
      <c r="AE217" s="21">
        <f>OCTUBRE!AG217</f>
        <v>0</v>
      </c>
      <c r="AF217" s="457">
        <v>0</v>
      </c>
      <c r="AG217" s="20">
        <f t="shared" si="184"/>
        <v>0</v>
      </c>
      <c r="AH217" s="21">
        <f t="shared" si="185"/>
        <v>0</v>
      </c>
      <c r="AI217" s="17">
        <f t="shared" si="186"/>
        <v>0</v>
      </c>
      <c r="AJ217" s="18">
        <f t="shared" si="187"/>
        <v>0</v>
      </c>
      <c r="AK217" s="10"/>
      <c r="AL217" s="455">
        <v>0</v>
      </c>
      <c r="AM217" s="458">
        <v>0</v>
      </c>
      <c r="AN217" s="10"/>
    </row>
    <row r="218" spans="1:40" s="467" customFormat="1" ht="15" thickBot="1" x14ac:dyDescent="0.25">
      <c r="A218" s="623"/>
      <c r="B218" s="554"/>
      <c r="N218" s="10"/>
      <c r="P218" s="10"/>
      <c r="Q218" s="10"/>
      <c r="R218" s="10"/>
      <c r="S218" s="657">
        <f>+IF(OCTUBRE!S218=0,"",OCTUBRE!S218)</f>
        <v>5199999</v>
      </c>
      <c r="T218" s="658" t="str">
        <f>+IF(OCTUBRE!T218=0,"",OCTUBRE!T218)</f>
        <v>Vigencias Anteriores</v>
      </c>
      <c r="U218" s="160">
        <f>+ENERO!U218</f>
        <v>0</v>
      </c>
      <c r="V218" s="143">
        <f>OCTUBRE!V218+NOVIEMBRE!AL218</f>
        <v>0</v>
      </c>
      <c r="W218" s="143">
        <f>OCTUBRE!W218+NOVIEMBRE!AM218</f>
        <v>0</v>
      </c>
      <c r="X218" s="149">
        <f t="shared" si="181"/>
        <v>0</v>
      </c>
      <c r="Y218" s="147">
        <f>OCTUBRE!AA218</f>
        <v>0</v>
      </c>
      <c r="Z218" s="475">
        <v>0</v>
      </c>
      <c r="AA218" s="149">
        <f t="shared" si="182"/>
        <v>0</v>
      </c>
      <c r="AB218" s="147">
        <f>OCTUBRE!AD218</f>
        <v>0</v>
      </c>
      <c r="AC218" s="475">
        <v>0</v>
      </c>
      <c r="AD218" s="149">
        <f t="shared" si="183"/>
        <v>0</v>
      </c>
      <c r="AE218" s="147">
        <f>OCTUBRE!AG218</f>
        <v>0</v>
      </c>
      <c r="AF218" s="475">
        <v>0</v>
      </c>
      <c r="AG218" s="149">
        <f t="shared" si="184"/>
        <v>0</v>
      </c>
      <c r="AH218" s="147">
        <f t="shared" si="185"/>
        <v>0</v>
      </c>
      <c r="AI218" s="143">
        <f t="shared" si="186"/>
        <v>0</v>
      </c>
      <c r="AJ218" s="148">
        <f t="shared" si="187"/>
        <v>0</v>
      </c>
      <c r="AK218" s="10"/>
      <c r="AL218" s="650">
        <v>0</v>
      </c>
      <c r="AM218" s="651">
        <v>0</v>
      </c>
      <c r="AN218" s="10"/>
    </row>
    <row r="219" spans="1:40" s="467" customFormat="1" ht="16.5" thickBot="1" x14ac:dyDescent="0.25">
      <c r="A219" s="623"/>
      <c r="B219" s="554"/>
      <c r="N219" s="10"/>
      <c r="P219" s="10"/>
      <c r="Q219" s="10"/>
      <c r="R219" s="10"/>
      <c r="S219" s="643" t="str">
        <f>+IF(OCTUBRE!S219=0,"",OCTUBRE!S219)</f>
        <v/>
      </c>
      <c r="T219" s="357" t="str">
        <f>+IF(OCTUBRE!T219=0,"",OCTUBRE!T219)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+IF(OCTUBRE!S220=0,"",OCTUBRE!S220)</f>
        <v>C</v>
      </c>
      <c r="T220" s="439" t="str">
        <f>+IF(OCTUBRE!T220=0,"",OCTUBRE!T220)</f>
        <v xml:space="preserve">SERVICIO DE LA DEUDA </v>
      </c>
      <c r="U220" s="440">
        <f t="shared" ref="U220:AJ220" si="188">U222+U227</f>
        <v>0</v>
      </c>
      <c r="V220" s="441">
        <f t="shared" si="188"/>
        <v>0</v>
      </c>
      <c r="W220" s="441">
        <f t="shared" si="188"/>
        <v>0</v>
      </c>
      <c r="X220" s="444">
        <f t="shared" si="188"/>
        <v>0</v>
      </c>
      <c r="Y220" s="443">
        <f t="shared" si="188"/>
        <v>0</v>
      </c>
      <c r="Z220" s="441">
        <f t="shared" si="188"/>
        <v>0</v>
      </c>
      <c r="AA220" s="444">
        <f t="shared" si="188"/>
        <v>0</v>
      </c>
      <c r="AB220" s="443">
        <f t="shared" si="188"/>
        <v>0</v>
      </c>
      <c r="AC220" s="441">
        <f t="shared" si="188"/>
        <v>0</v>
      </c>
      <c r="AD220" s="444">
        <f t="shared" si="188"/>
        <v>0</v>
      </c>
      <c r="AE220" s="443">
        <f t="shared" si="188"/>
        <v>0</v>
      </c>
      <c r="AF220" s="441">
        <f t="shared" si="188"/>
        <v>0</v>
      </c>
      <c r="AG220" s="444">
        <f t="shared" si="188"/>
        <v>0</v>
      </c>
      <c r="AH220" s="443">
        <f t="shared" si="188"/>
        <v>0</v>
      </c>
      <c r="AI220" s="441">
        <f t="shared" si="188"/>
        <v>0</v>
      </c>
      <c r="AJ220" s="442">
        <f t="shared" si="188"/>
        <v>0</v>
      </c>
      <c r="AK220" s="648"/>
      <c r="AL220" s="443">
        <f>AL222+AL227</f>
        <v>0</v>
      </c>
      <c r="AM220" s="442">
        <f>AM222+AM227</f>
        <v>0</v>
      </c>
      <c r="AN220" s="10"/>
    </row>
    <row r="221" spans="1:40" s="467" customFormat="1" ht="15.75" x14ac:dyDescent="0.2">
      <c r="A221" s="623"/>
      <c r="B221" s="554"/>
      <c r="N221" s="10"/>
      <c r="P221" s="10"/>
      <c r="Q221" s="10"/>
      <c r="R221" s="10"/>
      <c r="S221" s="448" t="str">
        <f>+IF(OCTUBRE!S221=0,"",OCTUBRE!S221)</f>
        <v/>
      </c>
      <c r="T221" s="649" t="str">
        <f>+IF(OCTUBRE!T221=0,"",OCTUBRE!T221)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+IF(OCTUBRE!S222=0,"",OCTUBRE!S222)</f>
        <v>7001000</v>
      </c>
      <c r="T222" s="158" t="str">
        <f>+IF(OCTUBRE!T222=0,"",OCTUBRE!T222)</f>
        <v>SERVICIO DE LA DEUDA INTERNA</v>
      </c>
      <c r="U222" s="157">
        <f t="shared" ref="U222:AJ222" si="189">SUM(U223:U225)</f>
        <v>0</v>
      </c>
      <c r="V222" s="144">
        <f t="shared" si="189"/>
        <v>0</v>
      </c>
      <c r="W222" s="144">
        <f t="shared" si="189"/>
        <v>0</v>
      </c>
      <c r="X222" s="152">
        <f t="shared" si="189"/>
        <v>0</v>
      </c>
      <c r="Y222" s="151">
        <f t="shared" si="189"/>
        <v>0</v>
      </c>
      <c r="Z222" s="144">
        <f t="shared" si="189"/>
        <v>0</v>
      </c>
      <c r="AA222" s="152">
        <f t="shared" si="189"/>
        <v>0</v>
      </c>
      <c r="AB222" s="151">
        <f t="shared" si="189"/>
        <v>0</v>
      </c>
      <c r="AC222" s="144">
        <f t="shared" si="189"/>
        <v>0</v>
      </c>
      <c r="AD222" s="152">
        <f t="shared" si="189"/>
        <v>0</v>
      </c>
      <c r="AE222" s="151">
        <f t="shared" si="189"/>
        <v>0</v>
      </c>
      <c r="AF222" s="144">
        <f t="shared" si="189"/>
        <v>0</v>
      </c>
      <c r="AG222" s="152">
        <f t="shared" si="189"/>
        <v>0</v>
      </c>
      <c r="AH222" s="151">
        <f t="shared" si="189"/>
        <v>0</v>
      </c>
      <c r="AI222" s="144">
        <f t="shared" si="189"/>
        <v>0</v>
      </c>
      <c r="AJ222" s="153">
        <f t="shared" si="189"/>
        <v>0</v>
      </c>
      <c r="AK222" s="10"/>
      <c r="AL222" s="151">
        <f>SUM(AL223:AL225)</f>
        <v>0</v>
      </c>
      <c r="AM222" s="153">
        <f>SUM(AM223:AM225)</f>
        <v>0</v>
      </c>
      <c r="AN222" s="10"/>
    </row>
    <row r="223" spans="1:40" s="467" customFormat="1" x14ac:dyDescent="0.2">
      <c r="A223" s="623"/>
      <c r="B223" s="554"/>
      <c r="N223" s="10"/>
      <c r="P223" s="10"/>
      <c r="Q223" s="10"/>
      <c r="R223" s="10"/>
      <c r="S223" s="155">
        <f>+IF(OCTUBRE!S223=0,"",OCTUBRE!S223)</f>
        <v>7001100</v>
      </c>
      <c r="T223" s="159" t="str">
        <f>+IF(OCTUBRE!T223=0,"",OCTUBRE!T223)</f>
        <v>Amortización deuda Pública Interna</v>
      </c>
      <c r="U223" s="29">
        <f>+ENERO!U223</f>
        <v>0</v>
      </c>
      <c r="V223" s="17">
        <f>OCTUBRE!V223+NOVIEMBRE!AL223</f>
        <v>0</v>
      </c>
      <c r="W223" s="17">
        <f>OCTUBRE!W223+NOVIEMBRE!AM223</f>
        <v>0</v>
      </c>
      <c r="X223" s="20">
        <f>SUM(U223:W223)</f>
        <v>0</v>
      </c>
      <c r="Y223" s="21">
        <f>OCTUBRE!AA223</f>
        <v>0</v>
      </c>
      <c r="Z223" s="457">
        <v>0</v>
      </c>
      <c r="AA223" s="20">
        <f>SUM(Y223:Z223)</f>
        <v>0</v>
      </c>
      <c r="AB223" s="21">
        <f>OCTUBRE!AD223</f>
        <v>0</v>
      </c>
      <c r="AC223" s="457">
        <v>0</v>
      </c>
      <c r="AD223" s="20">
        <f>SUM(AB223:AC223)</f>
        <v>0</v>
      </c>
      <c r="AE223" s="21">
        <f>OCTUBRE!AG223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+IF(OCTUBRE!S224=0,"",OCTUBRE!S224)</f>
        <v>7001200</v>
      </c>
      <c r="T224" s="159" t="str">
        <f>+IF(OCTUBRE!T224=0,"",OCTUBRE!T224)</f>
        <v>Intereses Comisiones y gastos de la Deuda Pública</v>
      </c>
      <c r="U224" s="29">
        <f>+ENERO!U224</f>
        <v>0</v>
      </c>
      <c r="V224" s="17">
        <f>OCTUBRE!V224+NOVIEMBRE!AL224</f>
        <v>0</v>
      </c>
      <c r="W224" s="17">
        <f>OCTUBRE!W224+NOVIEMBRE!AM224</f>
        <v>0</v>
      </c>
      <c r="X224" s="20">
        <f>SUM(U224:W224)</f>
        <v>0</v>
      </c>
      <c r="Y224" s="21">
        <f>OCTUBRE!AA224</f>
        <v>0</v>
      </c>
      <c r="Z224" s="457">
        <v>0</v>
      </c>
      <c r="AA224" s="20">
        <f>SUM(Y224:Z224)</f>
        <v>0</v>
      </c>
      <c r="AB224" s="21">
        <f>OCTUBRE!AD224</f>
        <v>0</v>
      </c>
      <c r="AC224" s="457">
        <v>0</v>
      </c>
      <c r="AD224" s="20">
        <f>SUM(AB224:AC224)</f>
        <v>0</v>
      </c>
      <c r="AE224" s="21">
        <f>OCTUBRE!AG224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+IF(OCTUBRE!S225=0,"",OCTUBRE!S225)</f>
        <v>7001999</v>
      </c>
      <c r="T225" s="159" t="str">
        <f>+IF(OCTUBRE!T225=0,"",OCTUBRE!T225)</f>
        <v>Vigencias Anteriores</v>
      </c>
      <c r="U225" s="29">
        <f>+ENERO!U225</f>
        <v>0</v>
      </c>
      <c r="V225" s="17">
        <f>OCTUBRE!V225+NOVIEMBRE!AL225</f>
        <v>0</v>
      </c>
      <c r="W225" s="17">
        <f>OCTUBRE!W225+NOVIEMBRE!AM225</f>
        <v>0</v>
      </c>
      <c r="X225" s="20">
        <f>SUM(U225:W225)</f>
        <v>0</v>
      </c>
      <c r="Y225" s="21">
        <f>OCTUBRE!AA225</f>
        <v>0</v>
      </c>
      <c r="Z225" s="457">
        <v>0</v>
      </c>
      <c r="AA225" s="20">
        <f>SUM(Y225:Z225)</f>
        <v>0</v>
      </c>
      <c r="AB225" s="21">
        <f>OCTUBRE!AD225</f>
        <v>0</v>
      </c>
      <c r="AC225" s="457">
        <v>0</v>
      </c>
      <c r="AD225" s="20">
        <f>SUM(AB225:AC225)</f>
        <v>0</v>
      </c>
      <c r="AE225" s="21">
        <f>OCTUBRE!AG225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+IF(OCTUBRE!S226=0,"",OCTUBRE!S226)</f>
        <v/>
      </c>
      <c r="T226" s="649" t="str">
        <f>+IF(OCTUBRE!T226=0,"",OCTUBRE!T226)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+IF(OCTUBRE!S227=0,"",OCTUBRE!S227)</f>
        <v>7002001</v>
      </c>
      <c r="T227" s="158" t="str">
        <f>+IF(OCTUBRE!T227=0,"",OCTUBRE!T227)</f>
        <v>SERVICIO DE LA DEUDA EXTERNA</v>
      </c>
      <c r="U227" s="157">
        <f t="shared" ref="U227:AJ227" si="190">SUM(U228:U230)</f>
        <v>0</v>
      </c>
      <c r="V227" s="144">
        <f t="shared" si="190"/>
        <v>0</v>
      </c>
      <c r="W227" s="144">
        <f t="shared" si="190"/>
        <v>0</v>
      </c>
      <c r="X227" s="152">
        <f t="shared" si="190"/>
        <v>0</v>
      </c>
      <c r="Y227" s="151">
        <f t="shared" si="190"/>
        <v>0</v>
      </c>
      <c r="Z227" s="144">
        <f t="shared" si="190"/>
        <v>0</v>
      </c>
      <c r="AA227" s="152">
        <f t="shared" si="190"/>
        <v>0</v>
      </c>
      <c r="AB227" s="151">
        <f t="shared" si="190"/>
        <v>0</v>
      </c>
      <c r="AC227" s="144">
        <f t="shared" si="190"/>
        <v>0</v>
      </c>
      <c r="AD227" s="152">
        <f t="shared" si="190"/>
        <v>0</v>
      </c>
      <c r="AE227" s="151">
        <f t="shared" si="190"/>
        <v>0</v>
      </c>
      <c r="AF227" s="144">
        <f t="shared" si="190"/>
        <v>0</v>
      </c>
      <c r="AG227" s="152">
        <f t="shared" si="190"/>
        <v>0</v>
      </c>
      <c r="AH227" s="151">
        <f t="shared" si="190"/>
        <v>0</v>
      </c>
      <c r="AI227" s="144">
        <f t="shared" si="190"/>
        <v>0</v>
      </c>
      <c r="AJ227" s="153">
        <f t="shared" si="190"/>
        <v>0</v>
      </c>
      <c r="AK227" s="12"/>
      <c r="AL227" s="151">
        <f>SUM(AL228:AL230)</f>
        <v>0</v>
      </c>
      <c r="AM227" s="153">
        <f>SUM(AM228:AM230)</f>
        <v>0</v>
      </c>
      <c r="AN227" s="10"/>
    </row>
    <row r="228" spans="1:64" s="467" customFormat="1" x14ac:dyDescent="0.2">
      <c r="A228" s="623"/>
      <c r="B228" s="554"/>
      <c r="N228" s="10"/>
      <c r="P228" s="10"/>
      <c r="Q228" s="10"/>
      <c r="R228" s="10"/>
      <c r="S228" s="155">
        <f>+IF(OCTUBRE!S228=0,"",OCTUBRE!S228)</f>
        <v>7002100</v>
      </c>
      <c r="T228" s="159" t="str">
        <f>+IF(OCTUBRE!T228=0,"",OCTUBRE!T228)</f>
        <v>Amortización deuda Pública Externa</v>
      </c>
      <c r="U228" s="29">
        <f>+ENERO!U228</f>
        <v>0</v>
      </c>
      <c r="V228" s="17">
        <f>OCTUBRE!V228+NOVIEMBRE!AL228</f>
        <v>0</v>
      </c>
      <c r="W228" s="17">
        <f>OCTUBRE!W228+NOVIEMBRE!AM228</f>
        <v>0</v>
      </c>
      <c r="X228" s="20">
        <f>SUM(U228:W228)</f>
        <v>0</v>
      </c>
      <c r="Y228" s="21">
        <f>OCTUBRE!AA228</f>
        <v>0</v>
      </c>
      <c r="Z228" s="457">
        <v>0</v>
      </c>
      <c r="AA228" s="20">
        <f>SUM(Y228:Z228)</f>
        <v>0</v>
      </c>
      <c r="AB228" s="21">
        <f>OCTUBRE!AD228</f>
        <v>0</v>
      </c>
      <c r="AC228" s="457">
        <v>0</v>
      </c>
      <c r="AD228" s="20">
        <f>SUM(AB228:AC228)</f>
        <v>0</v>
      </c>
      <c r="AE228" s="21">
        <f>OCTUBRE!AG228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+IF(OCTUBRE!S229=0,"",OCTUBRE!S229)</f>
        <v>7002200</v>
      </c>
      <c r="T229" s="159" t="str">
        <f>+IF(OCTUBRE!T229=0,"",OCTUBRE!T229)</f>
        <v>Intereses Comisiones y gastos de la Deuda Pública</v>
      </c>
      <c r="U229" s="29">
        <f>+ENERO!U229</f>
        <v>0</v>
      </c>
      <c r="V229" s="17">
        <f>OCTUBRE!V229+NOVIEMBRE!AL229</f>
        <v>0</v>
      </c>
      <c r="W229" s="17">
        <f>OCTUBRE!W229+NOVIEMBRE!AM229</f>
        <v>0</v>
      </c>
      <c r="X229" s="20">
        <f>SUM(U229:W229)</f>
        <v>0</v>
      </c>
      <c r="Y229" s="21">
        <f>OCTUBRE!AA229</f>
        <v>0</v>
      </c>
      <c r="Z229" s="457">
        <v>0</v>
      </c>
      <c r="AA229" s="20">
        <f>SUM(Y229:Z229)</f>
        <v>0</v>
      </c>
      <c r="AB229" s="21">
        <f>OCTUBRE!AD229</f>
        <v>0</v>
      </c>
      <c r="AC229" s="457">
        <v>0</v>
      </c>
      <c r="AD229" s="20">
        <f>SUM(AB229:AC229)</f>
        <v>0</v>
      </c>
      <c r="AE229" s="21">
        <f>OCTUBRE!AG229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+IF(OCTUBRE!S230=0,"",OCTUBRE!S230)</f>
        <v>7002999</v>
      </c>
      <c r="T230" s="625" t="str">
        <f>+IF(OCTUBRE!T230=0,"",OCTUBRE!T230)</f>
        <v>Vigencias Anteriores</v>
      </c>
      <c r="U230" s="160">
        <f>+ENERO!U230</f>
        <v>0</v>
      </c>
      <c r="V230" s="143">
        <f>OCTUBRE!V230+NOVIEMBRE!AL230</f>
        <v>0</v>
      </c>
      <c r="W230" s="143">
        <f>OCTUBRE!W230+NOVIEMBRE!AM230</f>
        <v>0</v>
      </c>
      <c r="X230" s="149">
        <f>SUM(U230:W230)</f>
        <v>0</v>
      </c>
      <c r="Y230" s="147">
        <f>OCTUBRE!AA230</f>
        <v>0</v>
      </c>
      <c r="Z230" s="475">
        <v>0</v>
      </c>
      <c r="AA230" s="149">
        <f>SUM(Y230:Z230)</f>
        <v>0</v>
      </c>
      <c r="AB230" s="147">
        <f>OCTUBRE!AD230</f>
        <v>0</v>
      </c>
      <c r="AC230" s="475">
        <v>0</v>
      </c>
      <c r="AD230" s="149">
        <f>SUM(AB230:AC230)</f>
        <v>0</v>
      </c>
      <c r="AE230" s="147">
        <f>OCTUBRE!AG230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+IF(OCTUBRE!S231=0,"",OCTUBRE!S231)</f>
        <v/>
      </c>
      <c r="T231" s="628" t="str">
        <f>+IF(OCTUBRE!T231=0,"",OCTUBRE!T231)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+IF(OCTUBRE!S232=0,"",OCTUBRE!S232)</f>
        <v>D</v>
      </c>
      <c r="T232" s="655" t="str">
        <f>+IF(OCTUBRE!T232=0,"",OCTUBRE!T232)</f>
        <v>INVERSION</v>
      </c>
      <c r="U232" s="589">
        <f t="shared" ref="U232:AJ232" si="191">U234</f>
        <v>121563100</v>
      </c>
      <c r="V232" s="590">
        <f t="shared" si="191"/>
        <v>-1563100</v>
      </c>
      <c r="W232" s="590">
        <f t="shared" si="191"/>
        <v>135410140</v>
      </c>
      <c r="X232" s="591">
        <f t="shared" si="191"/>
        <v>255410140</v>
      </c>
      <c r="Y232" s="464">
        <f t="shared" si="191"/>
        <v>182141088</v>
      </c>
      <c r="Z232" s="590">
        <f t="shared" si="191"/>
        <v>20182482</v>
      </c>
      <c r="AA232" s="591">
        <f t="shared" si="191"/>
        <v>202323570</v>
      </c>
      <c r="AB232" s="464">
        <f t="shared" si="191"/>
        <v>182139859</v>
      </c>
      <c r="AC232" s="590">
        <f t="shared" si="191"/>
        <v>20182482</v>
      </c>
      <c r="AD232" s="591">
        <f t="shared" si="191"/>
        <v>202322341</v>
      </c>
      <c r="AE232" s="464">
        <f t="shared" si="191"/>
        <v>176365620</v>
      </c>
      <c r="AF232" s="590">
        <f t="shared" si="191"/>
        <v>3958238</v>
      </c>
      <c r="AG232" s="591">
        <f t="shared" si="191"/>
        <v>180323858</v>
      </c>
      <c r="AH232" s="464">
        <f t="shared" si="191"/>
        <v>53086570</v>
      </c>
      <c r="AI232" s="590">
        <f t="shared" si="191"/>
        <v>53087799</v>
      </c>
      <c r="AJ232" s="465">
        <f t="shared" si="191"/>
        <v>75086282</v>
      </c>
      <c r="AK232" s="648"/>
      <c r="AL232" s="464">
        <f>AL234</f>
        <v>0</v>
      </c>
      <c r="AM232" s="465">
        <f>AM234</f>
        <v>0</v>
      </c>
      <c r="AN232" s="10"/>
    </row>
    <row r="233" spans="1:64" s="467" customFormat="1" ht="15.75" x14ac:dyDescent="0.2">
      <c r="A233" s="623"/>
      <c r="B233" s="554"/>
      <c r="N233" s="10"/>
      <c r="P233" s="10"/>
      <c r="Q233" s="10"/>
      <c r="R233" s="10"/>
      <c r="S233" s="448" t="str">
        <f>+IF(OCTUBRE!S233=0,"",OCTUBRE!S233)</f>
        <v/>
      </c>
      <c r="T233" s="649" t="str">
        <f>+IF(OCTUBRE!T233=0,"",OCTUBRE!T233)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+IF(OCTUBRE!S234=0,"",OCTUBRE!S234)</f>
        <v>8000000</v>
      </c>
      <c r="T234" s="158" t="str">
        <f>+IF(OCTUBRE!T234=0,"",OCTUBRE!T234)</f>
        <v>Programas de Inversión</v>
      </c>
      <c r="U234" s="157">
        <f t="shared" ref="U234:AJ234" si="192">U235+U243</f>
        <v>121563100</v>
      </c>
      <c r="V234" s="144">
        <f t="shared" si="192"/>
        <v>-1563100</v>
      </c>
      <c r="W234" s="144">
        <f t="shared" si="192"/>
        <v>135410140</v>
      </c>
      <c r="X234" s="152">
        <f t="shared" si="192"/>
        <v>255410140</v>
      </c>
      <c r="Y234" s="151">
        <f t="shared" si="192"/>
        <v>182141088</v>
      </c>
      <c r="Z234" s="144">
        <f t="shared" si="192"/>
        <v>20182482</v>
      </c>
      <c r="AA234" s="152">
        <f t="shared" si="192"/>
        <v>202323570</v>
      </c>
      <c r="AB234" s="151">
        <f t="shared" si="192"/>
        <v>182139859</v>
      </c>
      <c r="AC234" s="144">
        <f t="shared" si="192"/>
        <v>20182482</v>
      </c>
      <c r="AD234" s="152">
        <f t="shared" si="192"/>
        <v>202322341</v>
      </c>
      <c r="AE234" s="151">
        <f t="shared" si="192"/>
        <v>176365620</v>
      </c>
      <c r="AF234" s="144">
        <f t="shared" si="192"/>
        <v>3958238</v>
      </c>
      <c r="AG234" s="152">
        <f t="shared" si="192"/>
        <v>180323858</v>
      </c>
      <c r="AH234" s="151">
        <f t="shared" si="192"/>
        <v>53086570</v>
      </c>
      <c r="AI234" s="144">
        <f t="shared" si="192"/>
        <v>53087799</v>
      </c>
      <c r="AJ234" s="153">
        <f t="shared" si="192"/>
        <v>75086282</v>
      </c>
      <c r="AK234" s="10"/>
      <c r="AL234" s="151">
        <f>AL235+AL243</f>
        <v>0</v>
      </c>
      <c r="AM234" s="153">
        <f>AM235+AM243</f>
        <v>0</v>
      </c>
      <c r="AN234" s="10"/>
    </row>
    <row r="235" spans="1:64" s="467" customFormat="1" x14ac:dyDescent="0.2">
      <c r="A235" s="623"/>
      <c r="B235" s="554"/>
      <c r="N235" s="10"/>
      <c r="P235" s="10"/>
      <c r="Q235" s="10"/>
      <c r="R235" s="10"/>
      <c r="S235" s="155">
        <f>+IF(OCTUBRE!S235=0,"",OCTUBRE!S235)</f>
        <v>8001000</v>
      </c>
      <c r="T235" s="159" t="str">
        <f>+IF(OCTUBRE!T235=0,"",OCTUBRE!T235)</f>
        <v>Formación Bruta del Capital</v>
      </c>
      <c r="U235" s="29">
        <f t="shared" ref="U235:AJ235" si="193">SUM(U236:U241)</f>
        <v>0</v>
      </c>
      <c r="V235" s="17">
        <f t="shared" si="193"/>
        <v>0</v>
      </c>
      <c r="W235" s="17">
        <f t="shared" si="193"/>
        <v>85410140</v>
      </c>
      <c r="X235" s="20">
        <f t="shared" si="193"/>
        <v>85410140</v>
      </c>
      <c r="Y235" s="21">
        <f t="shared" si="193"/>
        <v>85410140</v>
      </c>
      <c r="Z235" s="169">
        <f t="shared" si="193"/>
        <v>0</v>
      </c>
      <c r="AA235" s="20">
        <f t="shared" si="193"/>
        <v>85410140</v>
      </c>
      <c r="AB235" s="21">
        <f t="shared" si="193"/>
        <v>85408911</v>
      </c>
      <c r="AC235" s="169">
        <f t="shared" si="193"/>
        <v>0</v>
      </c>
      <c r="AD235" s="20">
        <f t="shared" si="193"/>
        <v>85408911</v>
      </c>
      <c r="AE235" s="21">
        <f t="shared" si="193"/>
        <v>81450673</v>
      </c>
      <c r="AF235" s="169">
        <f t="shared" si="193"/>
        <v>3958238</v>
      </c>
      <c r="AG235" s="20">
        <f t="shared" si="193"/>
        <v>85408911</v>
      </c>
      <c r="AH235" s="21">
        <f t="shared" si="193"/>
        <v>0</v>
      </c>
      <c r="AI235" s="17">
        <f t="shared" si="193"/>
        <v>1229</v>
      </c>
      <c r="AJ235" s="18">
        <f t="shared" si="193"/>
        <v>1229</v>
      </c>
      <c r="AK235" s="10"/>
      <c r="AL235" s="31">
        <f>SUM(AL236:AL241)</f>
        <v>0</v>
      </c>
      <c r="AM235" s="28">
        <f>SUM(AM236:AM241)</f>
        <v>0</v>
      </c>
      <c r="AN235" s="10"/>
    </row>
    <row r="236" spans="1:64" s="467" customFormat="1" x14ac:dyDescent="0.2">
      <c r="A236" s="623"/>
      <c r="B236" s="554"/>
      <c r="N236" s="10"/>
      <c r="P236" s="10"/>
      <c r="Q236" s="10"/>
      <c r="R236" s="10"/>
      <c r="S236" s="156" t="str">
        <f>+IF(OCTUBRE!S236=0,"",OCTUBRE!S236)</f>
        <v>8001000-1</v>
      </c>
      <c r="T236" s="55" t="str">
        <f>+IF(OCTUBRE!T236=0,"",OCTUBRE!T236)</f>
        <v>Subprogr.Construc. Remodelac. Adecuación y Apliac.1</v>
      </c>
      <c r="U236" s="29">
        <f>+ENERO!U236</f>
        <v>0</v>
      </c>
      <c r="V236" s="17">
        <f>OCTUBRE!V236+NOVIEMBRE!AL236</f>
        <v>0</v>
      </c>
      <c r="W236" s="17">
        <f>OCTUBRE!W236+NOVIEMBRE!AM236</f>
        <v>85410140</v>
      </c>
      <c r="X236" s="20">
        <f t="shared" ref="X236:X241" si="194">SUM(U236:W236)</f>
        <v>85410140</v>
      </c>
      <c r="Y236" s="21">
        <f>OCTUBRE!AA236</f>
        <v>85410140</v>
      </c>
      <c r="Z236" s="457">
        <v>0</v>
      </c>
      <c r="AA236" s="20">
        <f t="shared" ref="AA236:AA241" si="195">SUM(Y236:Z236)</f>
        <v>85410140</v>
      </c>
      <c r="AB236" s="21">
        <f>OCTUBRE!AD236</f>
        <v>85408911</v>
      </c>
      <c r="AC236" s="457">
        <v>0</v>
      </c>
      <c r="AD236" s="20">
        <f t="shared" ref="AD236:AD241" si="196">SUM(AB236:AC236)</f>
        <v>85408911</v>
      </c>
      <c r="AE236" s="21">
        <f>OCTUBRE!AG236</f>
        <v>81450673</v>
      </c>
      <c r="AF236" s="457">
        <v>3958238</v>
      </c>
      <c r="AG236" s="854">
        <f t="shared" ref="AG236:AG241" si="197">SUM(AE236:AF236)</f>
        <v>85408911</v>
      </c>
      <c r="AH236" s="21">
        <f t="shared" ref="AH236:AH241" si="198">X236-AA236</f>
        <v>0</v>
      </c>
      <c r="AI236" s="17">
        <f t="shared" ref="AI236:AI241" si="199">X236-AD236</f>
        <v>1229</v>
      </c>
      <c r="AJ236" s="18">
        <f t="shared" ref="AJ236:AJ241" si="200">X236-AG236</f>
        <v>1229</v>
      </c>
      <c r="AK236" s="10"/>
      <c r="AL236" s="455">
        <v>0</v>
      </c>
      <c r="AM236" s="458">
        <v>0</v>
      </c>
      <c r="AN236" s="10"/>
    </row>
    <row r="237" spans="1:64" s="467" customFormat="1" x14ac:dyDescent="0.2">
      <c r="A237" s="623"/>
      <c r="B237" s="554"/>
      <c r="N237" s="10"/>
      <c r="P237" s="10"/>
      <c r="Q237" s="10"/>
      <c r="R237" s="10"/>
      <c r="S237" s="156" t="str">
        <f>+IF(OCTUBRE!S237=0,"",OCTUBRE!S237)</f>
        <v>8001000-2</v>
      </c>
      <c r="T237" s="55" t="str">
        <f>+IF(OCTUBRE!T237=0,"",OCTUBRE!T237)</f>
        <v>Subprogr.Construc. Remodelac. Adecuación y Apliac.2</v>
      </c>
      <c r="U237" s="29">
        <f>+ENERO!U237</f>
        <v>0</v>
      </c>
      <c r="V237" s="17">
        <f>OCTUBRE!V237+NOVIEMBRE!AL237</f>
        <v>0</v>
      </c>
      <c r="W237" s="17">
        <f>OCTUBRE!W237+NOVIEMBRE!AM237</f>
        <v>0</v>
      </c>
      <c r="X237" s="20">
        <f t="shared" si="194"/>
        <v>0</v>
      </c>
      <c r="Y237" s="21">
        <f>OCTUBRE!AA237</f>
        <v>0</v>
      </c>
      <c r="Z237" s="457">
        <v>0</v>
      </c>
      <c r="AA237" s="20">
        <f t="shared" si="195"/>
        <v>0</v>
      </c>
      <c r="AB237" s="21">
        <f>OCTUBRE!AD237</f>
        <v>0</v>
      </c>
      <c r="AC237" s="457">
        <v>0</v>
      </c>
      <c r="AD237" s="20">
        <f t="shared" si="196"/>
        <v>0</v>
      </c>
      <c r="AE237" s="21">
        <f>OCTUBRE!AG237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x14ac:dyDescent="0.2">
      <c r="A238" s="623"/>
      <c r="B238" s="554"/>
      <c r="N238" s="10"/>
      <c r="P238" s="10"/>
      <c r="Q238" s="10"/>
      <c r="R238" s="10"/>
      <c r="S238" s="156" t="str">
        <f>+IF(OCTUBRE!S238=0,"",OCTUBRE!S238)</f>
        <v>8001000-3</v>
      </c>
      <c r="T238" s="55" t="str">
        <f>+IF(OCTUBRE!T238=0,"",OCTUBRE!T238)</f>
        <v>Subprogr.Construc. Remodelac. Adecuación y Apliac.3</v>
      </c>
      <c r="U238" s="29">
        <f>+ENERO!U238</f>
        <v>0</v>
      </c>
      <c r="V238" s="17">
        <f>OCTUBRE!V238+NOVIEMBRE!AL238</f>
        <v>0</v>
      </c>
      <c r="W238" s="17">
        <f>OCTUBRE!W238+NOVIEMBRE!AM238</f>
        <v>0</v>
      </c>
      <c r="X238" s="20">
        <f t="shared" si="194"/>
        <v>0</v>
      </c>
      <c r="Y238" s="21">
        <f>OCTUBRE!AA238</f>
        <v>0</v>
      </c>
      <c r="Z238" s="457">
        <v>0</v>
      </c>
      <c r="AA238" s="20">
        <f t="shared" si="195"/>
        <v>0</v>
      </c>
      <c r="AB238" s="21">
        <f>OCTUBRE!AD238</f>
        <v>0</v>
      </c>
      <c r="AC238" s="457">
        <v>0</v>
      </c>
      <c r="AD238" s="20">
        <f t="shared" si="196"/>
        <v>0</v>
      </c>
      <c r="AE238" s="21">
        <f>OCTUBRE!AG238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x14ac:dyDescent="0.2">
      <c r="A239" s="623"/>
      <c r="B239" s="554"/>
      <c r="N239" s="10"/>
      <c r="P239" s="10"/>
      <c r="Q239" s="10"/>
      <c r="S239" s="156" t="str">
        <f>+IF(OCTUBRE!S239=0,"",OCTUBRE!S239)</f>
        <v>8001000-4</v>
      </c>
      <c r="T239" s="55" t="str">
        <f>+IF(OCTUBRE!T239=0,"",OCTUBRE!T239)</f>
        <v>Subprogr.Construc. Remodelac. Adecuación y Apliac.4</v>
      </c>
      <c r="U239" s="29">
        <f>+ENERO!U239</f>
        <v>0</v>
      </c>
      <c r="V239" s="17">
        <f>OCTUBRE!V239+NOVIEMBRE!AL239</f>
        <v>0</v>
      </c>
      <c r="W239" s="17">
        <f>OCTUBRE!W239+NOVIEMBRE!AM239</f>
        <v>0</v>
      </c>
      <c r="X239" s="20">
        <f t="shared" si="194"/>
        <v>0</v>
      </c>
      <c r="Y239" s="21">
        <f>OCTUBRE!AA239</f>
        <v>0</v>
      </c>
      <c r="Z239" s="457">
        <v>0</v>
      </c>
      <c r="AA239" s="20">
        <f t="shared" si="195"/>
        <v>0</v>
      </c>
      <c r="AB239" s="21">
        <f>OCTUBRE!AD239</f>
        <v>0</v>
      </c>
      <c r="AC239" s="457">
        <v>0</v>
      </c>
      <c r="AD239" s="20">
        <f t="shared" si="196"/>
        <v>0</v>
      </c>
      <c r="AE239" s="21">
        <f>OCTUBRE!AG239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x14ac:dyDescent="0.2">
      <c r="A240" s="623"/>
      <c r="B240" s="554"/>
      <c r="N240" s="10"/>
      <c r="P240" s="10"/>
      <c r="Q240" s="10"/>
      <c r="S240" s="156" t="str">
        <f>+IF(OCTUBRE!S240=0,"",OCTUBRE!S240)</f>
        <v>8001000-7</v>
      </c>
      <c r="T240" s="55" t="str">
        <f>+IF(OCTUBRE!T240=0,"",OCTUBRE!T240)</f>
        <v>Subprogr.Construc. Remodelac. Adecuación y Apliac.5</v>
      </c>
      <c r="U240" s="29">
        <f>+ENERO!U240</f>
        <v>0</v>
      </c>
      <c r="V240" s="17">
        <f>OCTUBRE!V240+NOVIEMBRE!AL240</f>
        <v>0</v>
      </c>
      <c r="W240" s="17">
        <f>OCTUBRE!W240+NOVIEMBRE!AM240</f>
        <v>0</v>
      </c>
      <c r="X240" s="20">
        <f t="shared" si="194"/>
        <v>0</v>
      </c>
      <c r="Y240" s="21">
        <f>OCTUBRE!AA240</f>
        <v>0</v>
      </c>
      <c r="Z240" s="457">
        <v>0</v>
      </c>
      <c r="AA240" s="20">
        <f t="shared" si="195"/>
        <v>0</v>
      </c>
      <c r="AB240" s="21">
        <f>OCTUBRE!AD240</f>
        <v>0</v>
      </c>
      <c r="AC240" s="457">
        <v>0</v>
      </c>
      <c r="AD240" s="20">
        <f t="shared" si="196"/>
        <v>0</v>
      </c>
      <c r="AE240" s="21">
        <f>OCTUBRE!AG240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+IF(OCTUBRE!S241=0,"",OCTUBRE!S241)</f>
        <v>8001999</v>
      </c>
      <c r="T241" s="55" t="str">
        <f>+IF(OCTUBRE!T241=0,"",OCTUBRE!T241)</f>
        <v>Vigencias Anteriores</v>
      </c>
      <c r="U241" s="29">
        <f>+ENERO!U241</f>
        <v>0</v>
      </c>
      <c r="V241" s="17">
        <f>OCTUBRE!V241+NOVIEMBRE!AL241</f>
        <v>0</v>
      </c>
      <c r="W241" s="17">
        <f>OCTUBRE!W241+NOVIEMBRE!AM241</f>
        <v>0</v>
      </c>
      <c r="X241" s="20">
        <f t="shared" si="194"/>
        <v>0</v>
      </c>
      <c r="Y241" s="21">
        <f>OCTUBRE!AA241</f>
        <v>0</v>
      </c>
      <c r="Z241" s="457">
        <v>0</v>
      </c>
      <c r="AA241" s="20">
        <f t="shared" si="195"/>
        <v>0</v>
      </c>
      <c r="AB241" s="21">
        <f>OCTUBRE!AD241</f>
        <v>0</v>
      </c>
      <c r="AC241" s="457">
        <v>0</v>
      </c>
      <c r="AD241" s="20">
        <f t="shared" si="196"/>
        <v>0</v>
      </c>
      <c r="AE241" s="21">
        <f>OCTUBRE!AG241</f>
        <v>0</v>
      </c>
      <c r="AF241" s="457">
        <v>0</v>
      </c>
      <c r="AG241" s="20">
        <f t="shared" si="197"/>
        <v>0</v>
      </c>
      <c r="AH241" s="21">
        <f t="shared" si="198"/>
        <v>0</v>
      </c>
      <c r="AI241" s="17">
        <f t="shared" si="199"/>
        <v>0</v>
      </c>
      <c r="AJ241" s="18">
        <f t="shared" si="200"/>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+IF(OCTUBRE!S242=0,"",OCTUBRE!S242)</f>
        <v/>
      </c>
      <c r="T242" s="649" t="str">
        <f>+IF(OCTUBRE!T242=0,"",OCTUBRE!T242)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+IF(OCTUBRE!S243=0,"",OCTUBRE!S243)</f>
        <v>8002001</v>
      </c>
      <c r="T243" s="159" t="str">
        <f>+IF(OCTUBRE!T243=0,"",OCTUBRE!T243)</f>
        <v>Gastos Operativos de Inversion   (Programas Especiales)</v>
      </c>
      <c r="U243" s="29">
        <f t="shared" ref="U243:AJ243" si="201">SUM(U244:U256)</f>
        <v>121563100</v>
      </c>
      <c r="V243" s="17">
        <f t="shared" si="201"/>
        <v>-1563100</v>
      </c>
      <c r="W243" s="17">
        <f t="shared" si="201"/>
        <v>50000000</v>
      </c>
      <c r="X243" s="20">
        <f t="shared" si="201"/>
        <v>170000000</v>
      </c>
      <c r="Y243" s="21">
        <f t="shared" si="201"/>
        <v>96730948</v>
      </c>
      <c r="Z243" s="169">
        <f t="shared" si="201"/>
        <v>20182482</v>
      </c>
      <c r="AA243" s="20">
        <f t="shared" si="201"/>
        <v>116913430</v>
      </c>
      <c r="AB243" s="21">
        <f t="shared" si="201"/>
        <v>96730948</v>
      </c>
      <c r="AC243" s="169">
        <f t="shared" si="201"/>
        <v>20182482</v>
      </c>
      <c r="AD243" s="20">
        <f t="shared" si="201"/>
        <v>116913430</v>
      </c>
      <c r="AE243" s="21">
        <f t="shared" si="201"/>
        <v>94914947</v>
      </c>
      <c r="AF243" s="169">
        <f t="shared" si="201"/>
        <v>0</v>
      </c>
      <c r="AG243" s="20">
        <f t="shared" si="201"/>
        <v>94914947</v>
      </c>
      <c r="AH243" s="21">
        <f t="shared" si="201"/>
        <v>53086570</v>
      </c>
      <c r="AI243" s="17">
        <f t="shared" si="201"/>
        <v>53086570</v>
      </c>
      <c r="AJ243" s="18">
        <f t="shared" si="201"/>
        <v>75085053</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+IF(OCTUBRE!S244=0,"",OCTUBRE!S244)</f>
        <v>8002100-1</v>
      </c>
      <c r="T244" s="55" t="str">
        <f>+IF(OCTUBRE!T244=0,"",OCTUBRE!T244)</f>
        <v>Salud Pública</v>
      </c>
      <c r="U244" s="29">
        <f>+ENERO!U244</f>
        <v>120000000</v>
      </c>
      <c r="V244" s="17">
        <f>OCTUBRE!V244+NOVIEMBRE!AL244</f>
        <v>0</v>
      </c>
      <c r="W244" s="17">
        <f>OCTUBRE!W244+NOVIEMBRE!AM244</f>
        <v>50000000</v>
      </c>
      <c r="X244" s="20">
        <f t="shared" ref="X244:X256" si="202">SUM(U244:W244)</f>
        <v>170000000</v>
      </c>
      <c r="Y244" s="21">
        <f>OCTUBRE!AA244</f>
        <v>96730948</v>
      </c>
      <c r="Z244" s="457">
        <v>20182482</v>
      </c>
      <c r="AA244" s="20">
        <f t="shared" ref="AA244:AA256" si="203">SUM(Y244:Z244)</f>
        <v>116913430</v>
      </c>
      <c r="AB244" s="21">
        <f>OCTUBRE!AD244</f>
        <v>96730948</v>
      </c>
      <c r="AC244" s="457">
        <v>20182482</v>
      </c>
      <c r="AD244" s="20">
        <f t="shared" ref="AD244:AD256" si="204">SUM(AB244:AC244)</f>
        <v>116913430</v>
      </c>
      <c r="AE244" s="21">
        <f>OCTUBRE!AG244</f>
        <v>94914947</v>
      </c>
      <c r="AF244" s="457">
        <v>0</v>
      </c>
      <c r="AG244" s="20">
        <f t="shared" ref="AG244:AG256" si="205">SUM(AE244:AF244)</f>
        <v>94914947</v>
      </c>
      <c r="AH244" s="21">
        <f t="shared" ref="AH244:AH256" si="206">X244-AA244</f>
        <v>53086570</v>
      </c>
      <c r="AI244" s="17">
        <f t="shared" ref="AI244:AI256" si="207">X244-AD244</f>
        <v>53086570</v>
      </c>
      <c r="AJ244" s="18">
        <f t="shared" ref="AJ244:AJ256" si="208">X244-AG244</f>
        <v>75085053</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+IF(OCTUBRE!S245=0,"",OCTUBRE!S245)</f>
        <v>8002100-2</v>
      </c>
      <c r="T245" s="55" t="str">
        <f>+IF(OCTUBRE!T245=0,"",OCTUBRE!T245)</f>
        <v>Programas Especial 01</v>
      </c>
      <c r="U245" s="29">
        <f>+ENERO!U245</f>
        <v>0</v>
      </c>
      <c r="V245" s="17">
        <f>OCTUBRE!V245+NOVIEMBRE!AL245</f>
        <v>0</v>
      </c>
      <c r="W245" s="17">
        <f>OCTUBRE!W245+NOVIEMBRE!AM245</f>
        <v>0</v>
      </c>
      <c r="X245" s="20">
        <f t="shared" si="202"/>
        <v>0</v>
      </c>
      <c r="Y245" s="21">
        <f>OCTUBRE!AA245</f>
        <v>0</v>
      </c>
      <c r="Z245" s="457">
        <v>0</v>
      </c>
      <c r="AA245" s="20">
        <f t="shared" si="203"/>
        <v>0</v>
      </c>
      <c r="AB245" s="21">
        <f>OCTUBRE!AD245</f>
        <v>0</v>
      </c>
      <c r="AC245" s="457">
        <v>0</v>
      </c>
      <c r="AD245" s="20">
        <f t="shared" si="204"/>
        <v>0</v>
      </c>
      <c r="AE245" s="21">
        <f>OCTUBRE!AG245</f>
        <v>0</v>
      </c>
      <c r="AF245" s="457">
        <v>0</v>
      </c>
      <c r="AG245" s="20">
        <f t="shared" si="205"/>
        <v>0</v>
      </c>
      <c r="AH245" s="21">
        <f t="shared" si="206"/>
        <v>0</v>
      </c>
      <c r="AI245" s="17">
        <f t="shared" si="207"/>
        <v>0</v>
      </c>
      <c r="AJ245" s="18">
        <f t="shared" si="208"/>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+IF(OCTUBRE!S246=0,"",OCTUBRE!S246)</f>
        <v>8002100-3</v>
      </c>
      <c r="T246" s="55" t="str">
        <f>+IF(OCTUBRE!T246=0,"",OCTUBRE!T246)</f>
        <v>Programas Especial 02</v>
      </c>
      <c r="U246" s="29">
        <f>+ENERO!U246</f>
        <v>0</v>
      </c>
      <c r="V246" s="17">
        <f>OCTUBRE!V246+NOVIEMBRE!AL246</f>
        <v>0</v>
      </c>
      <c r="W246" s="17">
        <f>OCTUBRE!W246+NOVIEMBRE!AM246</f>
        <v>0</v>
      </c>
      <c r="X246" s="20">
        <f t="shared" si="202"/>
        <v>0</v>
      </c>
      <c r="Y246" s="21">
        <f>OCTUBRE!AA246</f>
        <v>0</v>
      </c>
      <c r="Z246" s="457">
        <v>0</v>
      </c>
      <c r="AA246" s="20">
        <f t="shared" si="203"/>
        <v>0</v>
      </c>
      <c r="AB246" s="21">
        <f>OCTUBRE!AD246</f>
        <v>0</v>
      </c>
      <c r="AC246" s="457">
        <v>0</v>
      </c>
      <c r="AD246" s="20">
        <f t="shared" si="204"/>
        <v>0</v>
      </c>
      <c r="AE246" s="21">
        <f>OCTUBRE!AG246</f>
        <v>0</v>
      </c>
      <c r="AF246" s="457">
        <v>0</v>
      </c>
      <c r="AG246" s="20">
        <f t="shared" si="205"/>
        <v>0</v>
      </c>
      <c r="AH246" s="21">
        <f t="shared" si="206"/>
        <v>0</v>
      </c>
      <c r="AI246" s="17">
        <f t="shared" si="207"/>
        <v>0</v>
      </c>
      <c r="AJ246" s="18">
        <f t="shared" si="208"/>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+IF(OCTUBRE!S247=0,"",OCTUBRE!S247)</f>
        <v>8002100-4</v>
      </c>
      <c r="T247" s="55" t="str">
        <f>+IF(OCTUBRE!T247=0,"",OCTUBRE!T247)</f>
        <v>Programas Especial 03</v>
      </c>
      <c r="U247" s="29">
        <f>+ENERO!U247</f>
        <v>0</v>
      </c>
      <c r="V247" s="17">
        <f>OCTUBRE!V247+NOVIEMBRE!AL247</f>
        <v>0</v>
      </c>
      <c r="W247" s="17">
        <f>OCTUBRE!W247+NOVIEMBRE!AM247</f>
        <v>0</v>
      </c>
      <c r="X247" s="20">
        <f t="shared" si="202"/>
        <v>0</v>
      </c>
      <c r="Y247" s="21">
        <f>OCTUBRE!AA247</f>
        <v>0</v>
      </c>
      <c r="Z247" s="457">
        <v>0</v>
      </c>
      <c r="AA247" s="20">
        <f t="shared" si="203"/>
        <v>0</v>
      </c>
      <c r="AB247" s="21">
        <f>OCTUBRE!AD247</f>
        <v>0</v>
      </c>
      <c r="AC247" s="457">
        <v>0</v>
      </c>
      <c r="AD247" s="20">
        <f t="shared" si="204"/>
        <v>0</v>
      </c>
      <c r="AE247" s="21">
        <f>OCTUBRE!AG247</f>
        <v>0</v>
      </c>
      <c r="AF247" s="457">
        <v>0</v>
      </c>
      <c r="AG247" s="20">
        <f t="shared" si="205"/>
        <v>0</v>
      </c>
      <c r="AH247" s="21">
        <f t="shared" si="206"/>
        <v>0</v>
      </c>
      <c r="AI247" s="17">
        <f t="shared" si="207"/>
        <v>0</v>
      </c>
      <c r="AJ247" s="18">
        <f t="shared" si="208"/>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+IF(OCTUBRE!S248=0,"",OCTUBRE!S248)</f>
        <v>8002100-5</v>
      </c>
      <c r="T248" s="55" t="str">
        <f>+IF(OCTUBRE!T248=0,"",OCTUBRE!T248)</f>
        <v>Programas Especial 04</v>
      </c>
      <c r="U248" s="29">
        <f>+ENERO!U248</f>
        <v>0</v>
      </c>
      <c r="V248" s="17">
        <f>OCTUBRE!V248+NOVIEMBRE!AL248</f>
        <v>0</v>
      </c>
      <c r="W248" s="17">
        <f>OCTUBRE!W248+NOVIEMBRE!AM248</f>
        <v>0</v>
      </c>
      <c r="X248" s="20">
        <f t="shared" si="202"/>
        <v>0</v>
      </c>
      <c r="Y248" s="21">
        <f>OCTUBRE!AA248</f>
        <v>0</v>
      </c>
      <c r="Z248" s="457">
        <v>0</v>
      </c>
      <c r="AA248" s="20">
        <f t="shared" si="203"/>
        <v>0</v>
      </c>
      <c r="AB248" s="21">
        <f>OCTUBRE!AD248</f>
        <v>0</v>
      </c>
      <c r="AC248" s="457">
        <v>0</v>
      </c>
      <c r="AD248" s="20">
        <f t="shared" si="204"/>
        <v>0</v>
      </c>
      <c r="AE248" s="21">
        <f>OCTUBRE!AG248</f>
        <v>0</v>
      </c>
      <c r="AF248" s="457">
        <v>0</v>
      </c>
      <c r="AG248" s="20">
        <f t="shared" si="205"/>
        <v>0</v>
      </c>
      <c r="AH248" s="21">
        <f t="shared" si="206"/>
        <v>0</v>
      </c>
      <c r="AI248" s="17">
        <f t="shared" si="207"/>
        <v>0</v>
      </c>
      <c r="AJ248" s="18">
        <f t="shared" si="208"/>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+IF(OCTUBRE!S249=0,"",OCTUBRE!S249)</f>
        <v>8002100-6</v>
      </c>
      <c r="T249" s="55" t="str">
        <f>+IF(OCTUBRE!T249=0,"",OCTUBRE!T249)</f>
        <v>Programas Especial 05</v>
      </c>
      <c r="U249" s="29">
        <f>+ENERO!U249</f>
        <v>0</v>
      </c>
      <c r="V249" s="17">
        <f>OCTUBRE!V249+NOVIEMBRE!AL249</f>
        <v>0</v>
      </c>
      <c r="W249" s="17">
        <f>OCTUBRE!W249+NOVIEMBRE!AM249</f>
        <v>0</v>
      </c>
      <c r="X249" s="20">
        <f t="shared" si="202"/>
        <v>0</v>
      </c>
      <c r="Y249" s="21">
        <f>OCTUBRE!AA249</f>
        <v>0</v>
      </c>
      <c r="Z249" s="457">
        <v>0</v>
      </c>
      <c r="AA249" s="20">
        <f t="shared" si="203"/>
        <v>0</v>
      </c>
      <c r="AB249" s="21">
        <f>OCTUBRE!AD249</f>
        <v>0</v>
      </c>
      <c r="AC249" s="457">
        <v>0</v>
      </c>
      <c r="AD249" s="20">
        <f t="shared" si="204"/>
        <v>0</v>
      </c>
      <c r="AE249" s="21">
        <f>OCTUBRE!AG249</f>
        <v>0</v>
      </c>
      <c r="AF249" s="457">
        <v>0</v>
      </c>
      <c r="AG249" s="20">
        <f t="shared" si="205"/>
        <v>0</v>
      </c>
      <c r="AH249" s="21">
        <f t="shared" si="206"/>
        <v>0</v>
      </c>
      <c r="AI249" s="17">
        <f t="shared" si="207"/>
        <v>0</v>
      </c>
      <c r="AJ249" s="18">
        <f t="shared" si="208"/>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+IF(OCTUBRE!S250=0,"",OCTUBRE!S250)</f>
        <v>8002100-7</v>
      </c>
      <c r="T250" s="55" t="str">
        <f>+IF(OCTUBRE!T250=0,"",OCTUBRE!T250)</f>
        <v>Programas Especial 06</v>
      </c>
      <c r="U250" s="29">
        <f>+ENERO!U250</f>
        <v>0</v>
      </c>
      <c r="V250" s="17">
        <f>OCTUBRE!V250+NOVIEMBRE!AL250</f>
        <v>0</v>
      </c>
      <c r="W250" s="17">
        <f>OCTUBRE!W250+NOVIEMBRE!AM250</f>
        <v>0</v>
      </c>
      <c r="X250" s="20">
        <f>SUM(U250:W250)</f>
        <v>0</v>
      </c>
      <c r="Y250" s="21">
        <f>OCTUBRE!AA250</f>
        <v>0</v>
      </c>
      <c r="Z250" s="457">
        <v>0</v>
      </c>
      <c r="AA250" s="20">
        <f>SUM(Y250:Z250)</f>
        <v>0</v>
      </c>
      <c r="AB250" s="21">
        <f>OCTUBRE!AD250</f>
        <v>0</v>
      </c>
      <c r="AC250" s="457">
        <v>0</v>
      </c>
      <c r="AD250" s="20">
        <f>SUM(AB250:AC250)</f>
        <v>0</v>
      </c>
      <c r="AE250" s="21">
        <f>OCTUBRE!AG250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+IF(OCTUBRE!S251=0,"",OCTUBRE!S251)</f>
        <v>8002100-8</v>
      </c>
      <c r="T251" s="55" t="str">
        <f>+IF(OCTUBRE!T251=0,"",OCTUBRE!T251)</f>
        <v>Programas Especial 07</v>
      </c>
      <c r="U251" s="29">
        <f>+ENERO!U251</f>
        <v>0</v>
      </c>
      <c r="V251" s="17">
        <f>OCTUBRE!V251+NOVIEMBRE!AL251</f>
        <v>0</v>
      </c>
      <c r="W251" s="17">
        <f>OCTUBRE!W251+NOVIEMBRE!AM251</f>
        <v>0</v>
      </c>
      <c r="X251" s="20">
        <f>SUM(U251:W251)</f>
        <v>0</v>
      </c>
      <c r="Y251" s="21">
        <f>OCTUBRE!AA251</f>
        <v>0</v>
      </c>
      <c r="Z251" s="457">
        <v>0</v>
      </c>
      <c r="AA251" s="20">
        <f>SUM(Y251:Z251)</f>
        <v>0</v>
      </c>
      <c r="AB251" s="21">
        <f>OCTUBRE!AD251</f>
        <v>0</v>
      </c>
      <c r="AC251" s="457">
        <v>0</v>
      </c>
      <c r="AD251" s="20">
        <f>SUM(AB251:AC251)</f>
        <v>0</v>
      </c>
      <c r="AE251" s="21">
        <f>OCTUBRE!AG251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+IF(OCTUBRE!S252=0,"",OCTUBRE!S252)</f>
        <v>8002100-9</v>
      </c>
      <c r="T252" s="55" t="str">
        <f>+IF(OCTUBRE!T252=0,"",OCTUBRE!T252)</f>
        <v>Programas Especial 08</v>
      </c>
      <c r="U252" s="29">
        <f>+ENERO!U252</f>
        <v>0</v>
      </c>
      <c r="V252" s="17">
        <f>OCTUBRE!V252+NOVIEMBRE!AL252</f>
        <v>0</v>
      </c>
      <c r="W252" s="17">
        <f>OCTUBRE!W252+NOVIEMBRE!AM252</f>
        <v>0</v>
      </c>
      <c r="X252" s="20">
        <f>SUM(U252:W252)</f>
        <v>0</v>
      </c>
      <c r="Y252" s="21">
        <f>OCTUBRE!AA252</f>
        <v>0</v>
      </c>
      <c r="Z252" s="457">
        <v>0</v>
      </c>
      <c r="AA252" s="20">
        <f>SUM(Y252:Z252)</f>
        <v>0</v>
      </c>
      <c r="AB252" s="21">
        <f>OCTUBRE!AD252</f>
        <v>0</v>
      </c>
      <c r="AC252" s="457">
        <v>0</v>
      </c>
      <c r="AD252" s="20">
        <f>SUM(AB252:AC252)</f>
        <v>0</v>
      </c>
      <c r="AE252" s="21">
        <f>OCTUBRE!AG252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+IF(OCTUBRE!S253=0,"",OCTUBRE!S253)</f>
        <v>8002100-10</v>
      </c>
      <c r="T253" s="55" t="str">
        <f>+IF(OCTUBRE!T253=0,"",OCTUBRE!T253)</f>
        <v>Programas Especial 09</v>
      </c>
      <c r="U253" s="29">
        <f>+ENERO!U253</f>
        <v>0</v>
      </c>
      <c r="V253" s="17">
        <f>OCTUBRE!V253+NOVIEMBRE!AL253</f>
        <v>0</v>
      </c>
      <c r="W253" s="17">
        <f>OCTUBRE!W253+NOVIEMBRE!AM253</f>
        <v>0</v>
      </c>
      <c r="X253" s="20">
        <f>SUM(U253:W253)</f>
        <v>0</v>
      </c>
      <c r="Y253" s="21">
        <f>OCTUBRE!AA253</f>
        <v>0</v>
      </c>
      <c r="Z253" s="457">
        <v>0</v>
      </c>
      <c r="AA253" s="20">
        <f>SUM(Y253:Z253)</f>
        <v>0</v>
      </c>
      <c r="AB253" s="21">
        <f>OCTUBRE!AD253</f>
        <v>0</v>
      </c>
      <c r="AC253" s="457">
        <v>0</v>
      </c>
      <c r="AD253" s="20">
        <f>SUM(AB253:AC253)</f>
        <v>0</v>
      </c>
      <c r="AE253" s="21">
        <f>OCTUBRE!AG253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+IF(OCTUBRE!S254=0,"",OCTUBRE!S254)</f>
        <v>8002100-11</v>
      </c>
      <c r="T254" s="55" t="str">
        <f>+IF(OCTUBRE!T254=0,"",OCTUBRE!T254)</f>
        <v>Programas Especial 10</v>
      </c>
      <c r="U254" s="29">
        <f>+ENERO!U254</f>
        <v>0</v>
      </c>
      <c r="V254" s="17">
        <f>OCTUBRE!V254+NOVIEMBRE!AL254</f>
        <v>0</v>
      </c>
      <c r="W254" s="17">
        <f>OCTUBRE!W254+NOVIEMBRE!AM254</f>
        <v>0</v>
      </c>
      <c r="X254" s="20">
        <f>SUM(U254:W254)</f>
        <v>0</v>
      </c>
      <c r="Y254" s="21">
        <f>OCTUBRE!AA254</f>
        <v>0</v>
      </c>
      <c r="Z254" s="457">
        <v>0</v>
      </c>
      <c r="AA254" s="20">
        <f>SUM(Y254:Z254)</f>
        <v>0</v>
      </c>
      <c r="AB254" s="21">
        <f>OCTUBRE!AD254</f>
        <v>0</v>
      </c>
      <c r="AC254" s="457">
        <v>0</v>
      </c>
      <c r="AD254" s="20">
        <f>SUM(AB254:AC254)</f>
        <v>0</v>
      </c>
      <c r="AE254" s="21">
        <f>OCTUBRE!AG254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+IF(OCTUBRE!S255=0,"",OCTUBRE!S255)</f>
        <v>8002100-12</v>
      </c>
      <c r="T255" s="55" t="str">
        <f>+IF(OCTUBRE!T255=0,"",OCTUBRE!T255)</f>
        <v>Programas Especial 11</v>
      </c>
      <c r="U255" s="29">
        <f>+ENERO!U255</f>
        <v>0</v>
      </c>
      <c r="V255" s="17">
        <f>OCTUBRE!V255+NOVIEMBRE!AL255</f>
        <v>0</v>
      </c>
      <c r="W255" s="17">
        <f>OCTUBRE!W255+NOVIEMBRE!AM255</f>
        <v>0</v>
      </c>
      <c r="X255" s="20">
        <f t="shared" si="202"/>
        <v>0</v>
      </c>
      <c r="Y255" s="21">
        <f>OCTUBRE!AA255</f>
        <v>0</v>
      </c>
      <c r="Z255" s="457">
        <v>0</v>
      </c>
      <c r="AA255" s="20">
        <f t="shared" si="203"/>
        <v>0</v>
      </c>
      <c r="AB255" s="21">
        <f>OCTUBRE!AD255</f>
        <v>0</v>
      </c>
      <c r="AC255" s="457">
        <v>0</v>
      </c>
      <c r="AD255" s="20">
        <f t="shared" si="204"/>
        <v>0</v>
      </c>
      <c r="AE255" s="21">
        <f>OCTUBRE!AG255</f>
        <v>0</v>
      </c>
      <c r="AF255" s="457">
        <v>0</v>
      </c>
      <c r="AG255" s="20">
        <f t="shared" si="205"/>
        <v>0</v>
      </c>
      <c r="AH255" s="21">
        <f t="shared" si="206"/>
        <v>0</v>
      </c>
      <c r="AI255" s="17">
        <f t="shared" si="207"/>
        <v>0</v>
      </c>
      <c r="AJ255" s="18">
        <f t="shared" si="208"/>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+IF(OCTUBRE!S256=0,"",OCTUBRE!S256)</f>
        <v>8002999</v>
      </c>
      <c r="T256" s="658" t="str">
        <f>+IF(OCTUBRE!T256=0,"",OCTUBRE!T256)</f>
        <v>Vigencias Anteriores</v>
      </c>
      <c r="U256" s="160">
        <f>+ENERO!U256</f>
        <v>1563100</v>
      </c>
      <c r="V256" s="143">
        <f>OCTUBRE!V256+NOVIEMBRE!AL256</f>
        <v>-1563100</v>
      </c>
      <c r="W256" s="143">
        <f>OCTUBRE!W256+NOVIEMBRE!AM256</f>
        <v>0</v>
      </c>
      <c r="X256" s="149">
        <f t="shared" si="202"/>
        <v>0</v>
      </c>
      <c r="Y256" s="147">
        <f>OCTUBRE!AA256</f>
        <v>0</v>
      </c>
      <c r="Z256" s="475">
        <v>0</v>
      </c>
      <c r="AA256" s="149">
        <f t="shared" si="203"/>
        <v>0</v>
      </c>
      <c r="AB256" s="147">
        <f>OCTUBRE!AD256</f>
        <v>0</v>
      </c>
      <c r="AC256" s="475">
        <v>0</v>
      </c>
      <c r="AD256" s="149">
        <f t="shared" si="204"/>
        <v>0</v>
      </c>
      <c r="AE256" s="147">
        <f>OCTUBRE!AG256</f>
        <v>0</v>
      </c>
      <c r="AF256" s="475">
        <v>0</v>
      </c>
      <c r="AG256" s="149">
        <f t="shared" si="205"/>
        <v>0</v>
      </c>
      <c r="AH256" s="147">
        <f t="shared" si="206"/>
        <v>0</v>
      </c>
      <c r="AI256" s="143">
        <f t="shared" si="207"/>
        <v>0</v>
      </c>
      <c r="AJ256" s="148">
        <f t="shared" si="208"/>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+IF(OCTUBRE!S257=0,"",OCTUBRE!S257)</f>
        <v/>
      </c>
      <c r="T257" s="357" t="str">
        <f>+IF(OCTUBRE!T257=0,"",OCTUBRE!T257)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+IF(OCTUBRE!S258=0,"",OCTUBRE!S258)</f>
        <v>E</v>
      </c>
      <c r="T258" s="664" t="str">
        <f>+IF(OCTUBRE!T258=0,"",OCTUBRE!T258)</f>
        <v>DISPONIBILIDAD FINAL</v>
      </c>
      <c r="U258" s="415">
        <f>+(C10+C17+C108)-(U10+U207+U220+U232)</f>
        <v>0</v>
      </c>
      <c r="V258" s="415">
        <f t="shared" ref="V258:AI258" si="209">+(D10+D17+D108)-(V10+V207+V220+V232)</f>
        <v>0</v>
      </c>
      <c r="W258" s="415">
        <f t="shared" si="209"/>
        <v>0</v>
      </c>
      <c r="X258" s="415">
        <f t="shared" si="209"/>
        <v>0</v>
      </c>
      <c r="Y258" s="415">
        <f t="shared" si="209"/>
        <v>668576250</v>
      </c>
      <c r="Z258" s="415">
        <f t="shared" si="209"/>
        <v>-38890228</v>
      </c>
      <c r="AA258" s="415">
        <f t="shared" si="209"/>
        <v>629686022</v>
      </c>
      <c r="AB258" s="415">
        <f t="shared" si="209"/>
        <v>196447445</v>
      </c>
      <c r="AC258" s="415">
        <f t="shared" si="209"/>
        <v>-22957392</v>
      </c>
      <c r="AD258" s="415">
        <f t="shared" si="209"/>
        <v>173490053</v>
      </c>
      <c r="AE258" s="415">
        <f t="shared" si="209"/>
        <v>-2441371101</v>
      </c>
      <c r="AF258" s="415">
        <f t="shared" si="209"/>
        <v>434500741</v>
      </c>
      <c r="AG258" s="415">
        <f t="shared" si="209"/>
        <v>-2959858041</v>
      </c>
      <c r="AH258" s="415">
        <f t="shared" si="209"/>
        <v>-877088803</v>
      </c>
      <c r="AI258" s="415">
        <f t="shared" si="209"/>
        <v>-879074953</v>
      </c>
      <c r="AJ258" s="415">
        <f>+(R10+R17+R108)-(AJ10+AJ207+AJ220+AJ232)</f>
        <v>-1128976294</v>
      </c>
      <c r="AK258" s="10"/>
      <c r="AL258" s="415">
        <v>0</v>
      </c>
      <c r="AM258" s="416">
        <v>0</v>
      </c>
    </row>
    <row r="259" spans="1:39" ht="17.25" thickBot="1" x14ac:dyDescent="0.25">
      <c r="S259" s="982" t="str">
        <f>+IF(OCTUBRE!S259=0,"",OCTUBRE!S259)</f>
        <v>TOTAL VIGENCIAS ANTERIORES</v>
      </c>
      <c r="T259" s="983"/>
      <c r="U259" s="145">
        <f t="shared" ref="U259:AJ259" si="210">+SUMIF($T$8:$T$256,$T$33,U8:U256)</f>
        <v>91581965</v>
      </c>
      <c r="V259" s="133">
        <f t="shared" si="210"/>
        <v>20797411</v>
      </c>
      <c r="W259" s="133">
        <f t="shared" si="210"/>
        <v>33540115</v>
      </c>
      <c r="X259" s="146">
        <f t="shared" si="210"/>
        <v>145919491</v>
      </c>
      <c r="Y259" s="145">
        <f t="shared" si="210"/>
        <v>145453491</v>
      </c>
      <c r="Z259" s="133">
        <f t="shared" si="210"/>
        <v>0</v>
      </c>
      <c r="AA259" s="146">
        <f t="shared" si="210"/>
        <v>145453491</v>
      </c>
      <c r="AB259" s="145">
        <f t="shared" si="210"/>
        <v>145453491</v>
      </c>
      <c r="AC259" s="133">
        <f t="shared" si="210"/>
        <v>0</v>
      </c>
      <c r="AD259" s="146">
        <f t="shared" si="210"/>
        <v>145453491</v>
      </c>
      <c r="AE259" s="145">
        <f t="shared" si="210"/>
        <v>144524291</v>
      </c>
      <c r="AF259" s="133">
        <f t="shared" si="210"/>
        <v>0</v>
      </c>
      <c r="AG259" s="146">
        <f t="shared" si="210"/>
        <v>144524291</v>
      </c>
      <c r="AH259" s="145">
        <f t="shared" si="210"/>
        <v>466000</v>
      </c>
      <c r="AI259" s="133">
        <f t="shared" si="210"/>
        <v>466000</v>
      </c>
      <c r="AJ259" s="134">
        <f t="shared" si="210"/>
        <v>1395200</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1"/>
  <sheetViews>
    <sheetView showGridLines="0" tabSelected="1" topLeftCell="C1" zoomScaleNormal="100" workbookViewId="0">
      <selection activeCell="F8" sqref="F8"/>
    </sheetView>
  </sheetViews>
  <sheetFormatPr baseColWidth="10" defaultColWidth="0" defaultRowHeight="12.75" zeroHeight="1" x14ac:dyDescent="0.2"/>
  <cols>
    <col min="1" max="1" width="11.7109375" style="659" customWidth="1"/>
    <col min="2" max="2" width="58"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0.28515625" style="339" customWidth="1"/>
    <col min="65" max="65" width="76" style="339" customWidth="1"/>
    <col min="66" max="66" width="18.42578125" style="339" customWidth="1"/>
    <col min="67" max="67" width="17" style="339" customWidth="1"/>
    <col min="68" max="68" width="16.140625" style="339" customWidth="1"/>
    <col min="69" max="69" width="22.85546875" style="696" customWidth="1"/>
    <col min="70" max="70" width="50.42578125" style="339" customWidth="1"/>
    <col min="71" max="71" width="2.28515625" style="339" customWidth="1"/>
    <col min="72" max="16384" width="11" style="339" hidden="1"/>
  </cols>
  <sheetData>
    <row r="1" spans="1:70" ht="39.75" customHeight="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70" ht="15" customHeight="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7</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12</v>
      </c>
      <c r="AP2" s="349" t="s">
        <v>8</v>
      </c>
      <c r="AQ2" s="350"/>
      <c r="AR2" s="4"/>
      <c r="AS2" s="4"/>
      <c r="AT2" s="4"/>
      <c r="AU2" s="4"/>
      <c r="AV2" s="4"/>
      <c r="AW2" s="4"/>
      <c r="AX2" s="4"/>
      <c r="AY2" s="4"/>
      <c r="AZ2" s="5"/>
      <c r="BB2" s="952" t="s">
        <v>423</v>
      </c>
      <c r="BC2" s="969"/>
      <c r="BD2" s="69" t="s">
        <v>409</v>
      </c>
      <c r="BE2" s="347" t="str">
        <f>+L3</f>
        <v>DICIEMBRE</v>
      </c>
      <c r="BF2" s="340"/>
      <c r="BG2" s="952" t="s">
        <v>424</v>
      </c>
      <c r="BH2" s="969"/>
      <c r="BI2" s="969"/>
      <c r="BJ2" s="69" t="s">
        <v>409</v>
      </c>
      <c r="BK2" s="347" t="str">
        <f>+BE2</f>
        <v>DICIEMBRE</v>
      </c>
      <c r="BM2" s="952" t="s">
        <v>424</v>
      </c>
      <c r="BN2" s="969"/>
      <c r="BO2" s="969"/>
      <c r="BP2" s="69" t="s">
        <v>409</v>
      </c>
      <c r="BQ2" s="697" t="str">
        <f>+BK2</f>
        <v>DICIEMBRE</v>
      </c>
    </row>
    <row r="3" spans="1:70" ht="15" customHeight="1"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396</v>
      </c>
      <c r="M3" s="985"/>
      <c r="N3" s="965">
        <f>+INSTRUCCIONES!F3</f>
        <v>2014</v>
      </c>
      <c r="P3" s="1014" t="s">
        <v>583</v>
      </c>
      <c r="Q3" s="1013" t="s">
        <v>584</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DICIEMBRE</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243">
        <f>+BK3</f>
        <v>2014</v>
      </c>
    </row>
    <row r="4" spans="1:70" ht="15" customHeight="1"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698"/>
    </row>
    <row r="5" spans="1:70" ht="31.5" customHeight="1" thickTop="1"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99"/>
      <c r="BF5" s="1007" t="s">
        <v>386</v>
      </c>
      <c r="BG5" s="689" t="s">
        <v>34</v>
      </c>
      <c r="BH5" s="977" t="str">
        <f>+CONCATENATE("ACUMULADO ",N3)</f>
        <v>ACUMULADO 2014</v>
      </c>
      <c r="BI5" s="978"/>
      <c r="BJ5" s="978"/>
      <c r="BK5" s="1004"/>
      <c r="BL5" s="1005" t="s">
        <v>387</v>
      </c>
      <c r="BM5" s="975" t="s">
        <v>34</v>
      </c>
      <c r="BN5" s="379" t="str">
        <f>+CONCATENATE("ACUMULADO ",BQ3)</f>
        <v>ACUMULADO 2014</v>
      </c>
      <c r="BO5" s="380"/>
      <c r="BP5" s="381"/>
      <c r="BQ5" s="700"/>
      <c r="BR5" s="1011" t="str">
        <f>+CONCATENATE("PAGOS TOTALES DEL AÑO ",BQ3)</f>
        <v>PAGOS TOTALES DEL AÑO 2014</v>
      </c>
    </row>
    <row r="6" spans="1:70" ht="16.5" customHeight="1"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DICIEMBRE</v>
      </c>
      <c r="AS6" s="387" t="str">
        <f>AR6</f>
        <v>DICIEMBRE</v>
      </c>
      <c r="AT6" s="387" t="str">
        <f>AR6</f>
        <v>DICIEMBRE</v>
      </c>
      <c r="AU6" s="387" t="s">
        <v>16</v>
      </c>
      <c r="AV6" s="387" t="s">
        <v>31</v>
      </c>
      <c r="AW6" s="387"/>
      <c r="AX6" s="387"/>
      <c r="AY6" s="387" t="s">
        <v>16</v>
      </c>
      <c r="AZ6" s="388" t="s">
        <v>31</v>
      </c>
      <c r="BB6" s="389"/>
      <c r="BC6" s="390" t="s">
        <v>47</v>
      </c>
      <c r="BD6" s="391" t="s">
        <v>48</v>
      </c>
      <c r="BE6" s="392" t="s">
        <v>49</v>
      </c>
      <c r="BF6" s="1008"/>
      <c r="BG6" s="691"/>
      <c r="BH6" s="692" t="s">
        <v>47</v>
      </c>
      <c r="BI6" s="692" t="s">
        <v>50</v>
      </c>
      <c r="BJ6" s="692" t="s">
        <v>51</v>
      </c>
      <c r="BK6" s="693" t="s">
        <v>52</v>
      </c>
      <c r="BL6" s="1006"/>
      <c r="BM6" s="976"/>
      <c r="BN6" s="396" t="s">
        <v>47</v>
      </c>
      <c r="BO6" s="394" t="s">
        <v>50</v>
      </c>
      <c r="BP6" s="394" t="s">
        <v>51</v>
      </c>
      <c r="BQ6" s="701" t="s">
        <v>52</v>
      </c>
      <c r="BR6" s="1012"/>
    </row>
    <row r="7" spans="1:70"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370819515</v>
      </c>
      <c r="AS7" s="401">
        <f>L22</f>
        <v>225919493</v>
      </c>
      <c r="AT7" s="15"/>
      <c r="AU7" s="402">
        <f t="shared" ref="AU7:AU17" si="0">IF(AQ7=0," ",AR7/AQ7)</f>
        <v>1.5750179543871792</v>
      </c>
      <c r="AV7" s="402">
        <f t="shared" ref="AV7:AV17" si="1">IF(AQ7=0," ",AS7/AQ7)</f>
        <v>0.95956993450317374</v>
      </c>
      <c r="AW7" s="401">
        <f>I23/AO$2*12+I24</f>
        <v>370819515</v>
      </c>
      <c r="AX7" s="401">
        <f>L23/AO$2*12+L24</f>
        <v>225919493</v>
      </c>
      <c r="AY7" s="401">
        <f t="shared" ref="AY7:AY16" si="2">AW7-AQ7</f>
        <v>135381237</v>
      </c>
      <c r="AZ7" s="403">
        <f t="shared" ref="AZ7:AZ16" si="3">AX7-AQ7</f>
        <v>-9518785</v>
      </c>
      <c r="BB7" s="404" t="s">
        <v>55</v>
      </c>
      <c r="BC7" s="72">
        <f>F10</f>
        <v>133074115</v>
      </c>
      <c r="BD7" s="73">
        <f>I10</f>
        <v>133074115</v>
      </c>
      <c r="BE7" s="74">
        <f>K10</f>
        <v>0</v>
      </c>
      <c r="BF7" s="71">
        <f>+BE7+NOVIEMBRE!BE7+OCTUBRE!BE7+SEPTIEMBRE!BF7</f>
        <v>133074115</v>
      </c>
      <c r="BG7" s="109" t="s">
        <v>56</v>
      </c>
      <c r="BH7" s="135">
        <f>+SUM(BH8:BH11)</f>
        <v>3326828778</v>
      </c>
      <c r="BI7" s="135">
        <f>+SUM(BI8:BI11)</f>
        <v>3024848318</v>
      </c>
      <c r="BJ7" s="135">
        <f>+SUM(BJ8:BJ11)</f>
        <v>3024848318</v>
      </c>
      <c r="BK7" s="135">
        <f>+SUM(BK8:BK11)</f>
        <v>378139313</v>
      </c>
      <c r="BL7" s="44">
        <f>+BK7+NOVIEMBRE!BK7+OCTUBRE!BK7+SEPTIEMBRE!BL7</f>
        <v>2815713295</v>
      </c>
      <c r="BM7" s="79" t="s">
        <v>56</v>
      </c>
      <c r="BN7" s="80">
        <f>BN8+BN15+BN22</f>
        <v>3326828778</v>
      </c>
      <c r="BO7" s="81">
        <f>BO8+BO15+BO22</f>
        <v>3024848318</v>
      </c>
      <c r="BP7" s="81">
        <f>BP8+BP15+BP22</f>
        <v>3024848318</v>
      </c>
      <c r="BQ7" s="244">
        <f>BQ8+BQ15+BQ22</f>
        <v>378139313</v>
      </c>
      <c r="BR7" s="136">
        <f>+BQ7+NOVIEMBRE!BQ7+OCTUBRE!BQ7+SEPTIEMBRE!BQ7+AGOSTO!BQ7+JULIO!BQ7+JUNIO!BQ7+MAYO!BQ7+ABRIL!BQ7+MARZO!BQ7+FEBRERO!BQ7+ENERO!BQ7</f>
        <v>2815713295</v>
      </c>
    </row>
    <row r="8" spans="1:70" s="10" customFormat="1" ht="24" thickBot="1" x14ac:dyDescent="0.3">
      <c r="A8" s="405">
        <f>+IF(NOVIEMBRE!A8=0,"",NOVIEMBRE!A8)</f>
        <v>1</v>
      </c>
      <c r="B8" s="670" t="str">
        <f>+IF(NOVIEMBRE!B8=0,"",NOVIEMBRE!B8)</f>
        <v>INGRESOS</v>
      </c>
      <c r="C8" s="407">
        <f>C10+C17+C108</f>
        <v>3631501012</v>
      </c>
      <c r="D8" s="407">
        <f t="shared" ref="D8:N8" si="4">D10+D17+D108</f>
        <v>0</v>
      </c>
      <c r="E8" s="407">
        <f t="shared" si="4"/>
        <v>457333323</v>
      </c>
      <c r="F8" s="407">
        <f t="shared" si="4"/>
        <v>4088834335</v>
      </c>
      <c r="G8" s="407">
        <f t="shared" si="4"/>
        <v>3841431554</v>
      </c>
      <c r="H8" s="407">
        <f t="shared" si="4"/>
        <v>560908629</v>
      </c>
      <c r="I8" s="407">
        <f t="shared" si="4"/>
        <v>4402340183</v>
      </c>
      <c r="J8" s="407">
        <f t="shared" si="4"/>
        <v>3383249435</v>
      </c>
      <c r="K8" s="407">
        <f t="shared" si="4"/>
        <v>506292669</v>
      </c>
      <c r="L8" s="407">
        <f t="shared" si="4"/>
        <v>3889542104</v>
      </c>
      <c r="M8" s="407">
        <f t="shared" si="4"/>
        <v>-313505848</v>
      </c>
      <c r="N8" s="408">
        <f t="shared" si="4"/>
        <v>199292231</v>
      </c>
      <c r="O8" s="409"/>
      <c r="P8" s="410">
        <f>P10+P17+P108</f>
        <v>0</v>
      </c>
      <c r="Q8" s="408">
        <f>Q10+Q17+Q108</f>
        <v>0</v>
      </c>
      <c r="S8" s="206" t="str">
        <f>+IF(NOVIEMBRE!S8=0,"",NOVIEMBRE!S8)</f>
        <v/>
      </c>
      <c r="T8" s="411" t="str">
        <f>+IF(NOVIEMBRE!T8=0,"",NOVIEMBRE!T8)</f>
        <v>GASTOS</v>
      </c>
      <c r="U8" s="412">
        <f t="shared" ref="U8:AM8" si="5">U10+U207+U220+U232</f>
        <v>3631501012</v>
      </c>
      <c r="V8" s="413">
        <f t="shared" si="5"/>
        <v>0</v>
      </c>
      <c r="W8" s="413">
        <f t="shared" si="5"/>
        <v>457333323</v>
      </c>
      <c r="X8" s="414">
        <f t="shared" si="5"/>
        <v>4088834335</v>
      </c>
      <c r="Y8" s="415">
        <f t="shared" si="5"/>
        <v>3211745532</v>
      </c>
      <c r="Z8" s="413">
        <f t="shared" si="5"/>
        <v>478787117</v>
      </c>
      <c r="AA8" s="414">
        <f t="shared" si="5"/>
        <v>3690532649</v>
      </c>
      <c r="AB8" s="415">
        <f t="shared" si="5"/>
        <v>3209759382</v>
      </c>
      <c r="AC8" s="413">
        <f t="shared" si="5"/>
        <v>480773266</v>
      </c>
      <c r="AD8" s="414">
        <f t="shared" si="5"/>
        <v>3690532648</v>
      </c>
      <c r="AE8" s="415">
        <f t="shared" si="5"/>
        <v>2959858041</v>
      </c>
      <c r="AF8" s="413">
        <f t="shared" si="5"/>
        <v>453785760</v>
      </c>
      <c r="AG8" s="414">
        <f t="shared" si="5"/>
        <v>3413643801</v>
      </c>
      <c r="AH8" s="415">
        <f t="shared" si="5"/>
        <v>398301686</v>
      </c>
      <c r="AI8" s="413">
        <f t="shared" si="5"/>
        <v>398301687</v>
      </c>
      <c r="AJ8" s="416">
        <f t="shared" si="5"/>
        <v>675190534</v>
      </c>
      <c r="AL8" s="417">
        <f t="shared" si="5"/>
        <v>0</v>
      </c>
      <c r="AM8" s="418">
        <f t="shared" si="5"/>
        <v>0</v>
      </c>
      <c r="AO8" s="23"/>
      <c r="AP8" s="13" t="s">
        <v>58</v>
      </c>
      <c r="AQ8" s="14">
        <f>F25</f>
        <v>2707198704</v>
      </c>
      <c r="AR8" s="14">
        <f>I25</f>
        <v>2736092276</v>
      </c>
      <c r="AS8" s="14">
        <f>L25</f>
        <v>2428882247</v>
      </c>
      <c r="AT8" s="15"/>
      <c r="AU8" s="419">
        <f t="shared" si="0"/>
        <v>1.0106728671069871</v>
      </c>
      <c r="AV8" s="419">
        <f t="shared" si="1"/>
        <v>0.89719393091139721</v>
      </c>
      <c r="AW8" s="14">
        <f>I26/AO$2*12+I27</f>
        <v>2736092276</v>
      </c>
      <c r="AX8" s="14">
        <f>L26/AO$2*12+L27</f>
        <v>2428882247</v>
      </c>
      <c r="AY8" s="14">
        <f t="shared" si="2"/>
        <v>28893572</v>
      </c>
      <c r="AZ8" s="420">
        <f t="shared" si="3"/>
        <v>-278316457</v>
      </c>
      <c r="BB8" s="167" t="s">
        <v>59</v>
      </c>
      <c r="BC8" s="83">
        <f>BC9+BC19</f>
        <v>3486627588</v>
      </c>
      <c r="BD8" s="84">
        <f>BD9+BD19</f>
        <v>3740247748</v>
      </c>
      <c r="BE8" s="85">
        <f>BE9+BE19</f>
        <v>505642768</v>
      </c>
      <c r="BF8" s="71">
        <f>+BE8+NOVIEMBRE!BE8+OCTUBRE!BE8+SEPTIEMBRE!BF8</f>
        <v>3227449666</v>
      </c>
      <c r="BG8" s="86" t="s">
        <v>60</v>
      </c>
      <c r="BH8" s="87">
        <f>BN9+BN13</f>
        <v>2172482035</v>
      </c>
      <c r="BI8" s="87">
        <f>BO9+BO13</f>
        <v>2093138278</v>
      </c>
      <c r="BJ8" s="87">
        <f>BP9+BP13</f>
        <v>2093138278</v>
      </c>
      <c r="BK8" s="87">
        <f>BQ9+BQ13</f>
        <v>294804136</v>
      </c>
      <c r="BL8" s="44">
        <f>+BK8+NOVIEMBRE!BK8+OCTUBRE!BK8+SEPTIEMBRE!BL8</f>
        <v>2005887244</v>
      </c>
      <c r="BM8" s="89" t="s">
        <v>61</v>
      </c>
      <c r="BN8" s="90">
        <f>BN9+BN14+BN13</f>
        <v>2396916990</v>
      </c>
      <c r="BO8" s="87">
        <f>BO9+BO14+BO13</f>
        <v>2237338094</v>
      </c>
      <c r="BP8" s="87">
        <f>BP9+BP14+BP13</f>
        <v>2237338094</v>
      </c>
      <c r="BQ8" s="245">
        <f>BQ9+BQ14+BQ13</f>
        <v>309412905</v>
      </c>
      <c r="BR8" s="137">
        <f>BR9+BR14+BR13</f>
        <v>2115231427</v>
      </c>
    </row>
    <row r="9" spans="1:70" s="10" customFormat="1" ht="19.5" customHeight="1"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32800000</v>
      </c>
      <c r="AR9" s="14">
        <f>I28+I75</f>
        <v>32860005</v>
      </c>
      <c r="AS9" s="14">
        <f>L28+L75</f>
        <v>32880625</v>
      </c>
      <c r="AT9" s="15"/>
      <c r="AU9" s="429">
        <f t="shared" si="0"/>
        <v>1.0018294207317073</v>
      </c>
      <c r="AV9" s="429">
        <f t="shared" si="1"/>
        <v>1.0024580792682927</v>
      </c>
      <c r="AW9" s="430">
        <f>(I30+I33+I36+I76)/AO$2*12+I31+I34+I37+I38+I39+I40+I77</f>
        <v>32860005</v>
      </c>
      <c r="AX9" s="430">
        <f>(L30+L33+L36+L76)/AO$2*12+L31+L34+L37+L38+L39+L40+L77</f>
        <v>32880625</v>
      </c>
      <c r="AY9" s="430">
        <f t="shared" si="2"/>
        <v>60005</v>
      </c>
      <c r="AZ9" s="431">
        <f t="shared" si="3"/>
        <v>80625</v>
      </c>
      <c r="BB9" s="432" t="s">
        <v>456</v>
      </c>
      <c r="BC9" s="91">
        <f>BC10+BC18</f>
        <v>3357448559</v>
      </c>
      <c r="BD9" s="92">
        <f>BD10+BD18</f>
        <v>3407175273</v>
      </c>
      <c r="BE9" s="93">
        <f>BE10+BE18</f>
        <v>300755082</v>
      </c>
      <c r="BF9" s="71">
        <f>+BE9+NOVIEMBRE!BE9+OCTUBRE!BE9+SEPTIEMBRE!BF9</f>
        <v>2894377191</v>
      </c>
      <c r="BG9" s="95" t="s">
        <v>64</v>
      </c>
      <c r="BH9" s="96">
        <f t="shared" ref="BH9:BK10" si="6">BN14</f>
        <v>224434955</v>
      </c>
      <c r="BI9" s="96">
        <f t="shared" si="6"/>
        <v>144199816</v>
      </c>
      <c r="BJ9" s="96">
        <f t="shared" si="6"/>
        <v>144199816</v>
      </c>
      <c r="BK9" s="96">
        <f t="shared" si="6"/>
        <v>14608769</v>
      </c>
      <c r="BL9" s="44">
        <f>+BK9+NOVIEMBRE!BK9+OCTUBRE!BK9+SEPTIEMBRE!BL9</f>
        <v>109344183</v>
      </c>
      <c r="BM9" s="164" t="s">
        <v>65</v>
      </c>
      <c r="BN9" s="98">
        <f>SUM(BN10:BN12)</f>
        <v>1605742067</v>
      </c>
      <c r="BO9" s="233">
        <f>SUM(BO10:BO12)</f>
        <v>1548033063</v>
      </c>
      <c r="BP9" s="96">
        <f>SUM(BP10:BP12)</f>
        <v>1548033063</v>
      </c>
      <c r="BQ9" s="242">
        <f>SUM(BQ10:BQ12)</f>
        <v>214051333</v>
      </c>
      <c r="BR9" s="137">
        <f>SUM(BR10:BR12)</f>
        <v>1494521362</v>
      </c>
    </row>
    <row r="10" spans="1:70" s="10" customFormat="1" ht="20.25" customHeight="1" x14ac:dyDescent="0.25">
      <c r="A10" s="433">
        <f>+IF(NOVIEMBRE!A10=0,"",NOVIEMBRE!A10)</f>
        <v>10</v>
      </c>
      <c r="B10" s="434" t="str">
        <f>+IF(NOVIEMBRE!B10=0,"",NOVIEMBRE!B10)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+IF(NOVIEMBRE!S10=0,"",NOVIEMBRE!S10)</f>
        <v>A</v>
      </c>
      <c r="T10" s="439" t="str">
        <f>+IF(NOVIEMBRE!T10=0,"",NOVIEMBRE!T10)</f>
        <v>GASTOS DE FUNCIONAMIENTO</v>
      </c>
      <c r="U10" s="440">
        <f t="shared" ref="U10:AJ10" si="8">U12+U110+U170+U193</f>
        <v>3509937912</v>
      </c>
      <c r="V10" s="441">
        <f t="shared" si="8"/>
        <v>1563100</v>
      </c>
      <c r="W10" s="441">
        <f t="shared" si="8"/>
        <v>321923183</v>
      </c>
      <c r="X10" s="444">
        <f t="shared" si="8"/>
        <v>3833424195</v>
      </c>
      <c r="Y10" s="443">
        <f t="shared" si="8"/>
        <v>3009421962</v>
      </c>
      <c r="Z10" s="441">
        <f t="shared" si="8"/>
        <v>452440479</v>
      </c>
      <c r="AA10" s="444">
        <f t="shared" si="8"/>
        <v>3461862441</v>
      </c>
      <c r="AB10" s="443">
        <f t="shared" si="8"/>
        <v>3007437041</v>
      </c>
      <c r="AC10" s="441">
        <f t="shared" si="8"/>
        <v>454425399</v>
      </c>
      <c r="AD10" s="444">
        <f t="shared" si="8"/>
        <v>3461862440</v>
      </c>
      <c r="AE10" s="443">
        <f t="shared" si="8"/>
        <v>2779534183</v>
      </c>
      <c r="AF10" s="441">
        <f t="shared" si="8"/>
        <v>418861877</v>
      </c>
      <c r="AG10" s="444">
        <f t="shared" si="8"/>
        <v>3198396060</v>
      </c>
      <c r="AH10" s="443">
        <f t="shared" si="8"/>
        <v>371561754</v>
      </c>
      <c r="AI10" s="441">
        <f t="shared" si="8"/>
        <v>371561755</v>
      </c>
      <c r="AJ10" s="442">
        <f t="shared" si="8"/>
        <v>635028135</v>
      </c>
      <c r="AL10" s="445">
        <f>AL12+AL110+AL170+AL193</f>
        <v>0</v>
      </c>
      <c r="AM10" s="446">
        <f>AM12+AM110+AM170+AM193</f>
        <v>0</v>
      </c>
      <c r="AO10" s="428"/>
      <c r="AP10" s="13" t="s">
        <v>67</v>
      </c>
      <c r="AQ10" s="14">
        <f>F42</f>
        <v>175397398</v>
      </c>
      <c r="AR10" s="14">
        <f>I42</f>
        <v>166140678</v>
      </c>
      <c r="AS10" s="14">
        <f>L42</f>
        <v>137140676</v>
      </c>
      <c r="AT10" s="15"/>
      <c r="AU10" s="429">
        <f t="shared" si="0"/>
        <v>0.94722430260909574</v>
      </c>
      <c r="AV10" s="429">
        <f t="shared" si="1"/>
        <v>0.78188546445825835</v>
      </c>
      <c r="AW10" s="430">
        <f>I43/AO$2*12+I44</f>
        <v>166140678</v>
      </c>
      <c r="AX10" s="430">
        <f>L43/AO$2*12+L44</f>
        <v>137140676</v>
      </c>
      <c r="AY10" s="430">
        <f t="shared" si="2"/>
        <v>-9256720</v>
      </c>
      <c r="AZ10" s="431">
        <f t="shared" si="3"/>
        <v>-38256722</v>
      </c>
      <c r="BB10" s="447" t="s">
        <v>457</v>
      </c>
      <c r="BC10" s="91">
        <f>BC11+BC12+BC13+BC14+BC16+BC17+BC15</f>
        <v>3104923118</v>
      </c>
      <c r="BD10" s="92">
        <f>BD11+BD12+BD13+BD14+BD16+BD17+BD15</f>
        <v>3154649832</v>
      </c>
      <c r="BE10" s="93">
        <f>BE11+BE12+BE13+BE14+BE16+BE17+BE15</f>
        <v>279711296</v>
      </c>
      <c r="BF10" s="71">
        <f>+BE10+NOVIEMBRE!BE10+OCTUBRE!BE10+SEPTIEMBRE!BF10</f>
        <v>2641851750</v>
      </c>
      <c r="BG10" s="86" t="s">
        <v>68</v>
      </c>
      <c r="BH10" s="99">
        <f t="shared" si="6"/>
        <v>731144299</v>
      </c>
      <c r="BI10" s="99">
        <f t="shared" si="6"/>
        <v>642039767</v>
      </c>
      <c r="BJ10" s="99">
        <f t="shared" si="6"/>
        <v>642039767</v>
      </c>
      <c r="BK10" s="99">
        <f t="shared" si="6"/>
        <v>53351550</v>
      </c>
      <c r="BL10" s="44">
        <f>+BK10+NOVIEMBRE!BK10+OCTUBRE!BK10+SEPTIEMBRE!BL10</f>
        <v>575274912</v>
      </c>
      <c r="BM10" s="161" t="s">
        <v>470</v>
      </c>
      <c r="BN10" s="101">
        <f>X17+X66</f>
        <v>1269481968</v>
      </c>
      <c r="BO10" s="234">
        <f>AA17+AA66</f>
        <v>1234173253</v>
      </c>
      <c r="BP10" s="99">
        <f>AD17+AD66</f>
        <v>1234173253</v>
      </c>
      <c r="BQ10" s="246">
        <f>AF17+AF66</f>
        <v>83257665</v>
      </c>
      <c r="BR10" s="137">
        <f>+BQ10+NOVIEMBRE!BQ10+OCTUBRE!BQ10+SEPTIEMBRE!BQ10+AGOSTO!BQ10+JULIO!BQ10+JUNIO!BQ10+MAYO!BQ10+ABRIL!BQ10+MARZO!BQ10+FEBRERO!BQ10+ENERO!BQ10</f>
        <v>1212725236</v>
      </c>
    </row>
    <row r="11" spans="1:70"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1</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2515916129</v>
      </c>
      <c r="BE11" s="93">
        <f>K26</f>
        <v>194922184</v>
      </c>
      <c r="BF11" s="71">
        <f>+BE11+NOVIEMBRE!BE11+OCTUBRE!BE11+SEPTIEMBRE!BF11</f>
        <v>2208706100</v>
      </c>
      <c r="BG11" s="86" t="s">
        <v>69</v>
      </c>
      <c r="BH11" s="102">
        <f>BN22</f>
        <v>198767489</v>
      </c>
      <c r="BI11" s="102">
        <f>BO22</f>
        <v>145470457</v>
      </c>
      <c r="BJ11" s="102">
        <f>BP22</f>
        <v>145470457</v>
      </c>
      <c r="BK11" s="102">
        <f>BQ22</f>
        <v>15374858</v>
      </c>
      <c r="BL11" s="44">
        <f>+BK11+NOVIEMBRE!BK11+OCTUBRE!BK11+SEPTIEMBRE!BL11</f>
        <v>125206956</v>
      </c>
      <c r="BM11" s="162" t="s">
        <v>471</v>
      </c>
      <c r="BN11" s="104">
        <f>X18+X67</f>
        <v>136976782</v>
      </c>
      <c r="BO11" s="235">
        <f>AA18+AA67</f>
        <v>127859432</v>
      </c>
      <c r="BP11" s="102">
        <f>AD18+AD67</f>
        <v>127859432</v>
      </c>
      <c r="BQ11" s="247">
        <f>AF18+AF67</f>
        <v>29231500</v>
      </c>
      <c r="BR11" s="137">
        <f>+BQ11+NOVIEMBRE!BQ11+OCTUBRE!BQ11+SEPTIEMBRE!BQ11+AGOSTO!BQ11+JULIO!BQ11+JUNIO!BQ11+MAYO!BQ11+ABRIL!BQ11+MARZO!BQ11+FEBRERO!BQ11+ENERO!BQ11</f>
        <v>123140896</v>
      </c>
    </row>
    <row r="12" spans="1:70" s="10" customFormat="1" ht="25.5" x14ac:dyDescent="0.25">
      <c r="A12" s="203">
        <f>+IF(NOVIEMBRE!A12=0,"",NOVIEMBRE!A12)</f>
        <v>1001</v>
      </c>
      <c r="B12" s="251" t="str">
        <f>+IF(NOVIEMBRE!B12=0,"",NOVIEMBRE!B12)</f>
        <v>Bienestar Social (Caja, Bancos, Inversiones Tempor.) a Dic-31-2013</v>
      </c>
      <c r="C12" s="283">
        <f>+ENERO!C12</f>
        <v>0</v>
      </c>
      <c r="D12" s="456">
        <f>NOVIEMBRE!D12+DICIEMBRE!P12</f>
        <v>0</v>
      </c>
      <c r="E12" s="456">
        <f>NOVIEMBRE!E12+DICIEMBRE!Q12</f>
        <v>0</v>
      </c>
      <c r="F12" s="170">
        <f>SUM(C12:E12)</f>
        <v>0</v>
      </c>
      <c r="G12" s="283">
        <f>NOVIEMBRE!I12</f>
        <v>0</v>
      </c>
      <c r="H12" s="154">
        <v>0</v>
      </c>
      <c r="I12" s="170">
        <f>SUM(G12:H12)</f>
        <v>0</v>
      </c>
      <c r="J12" s="283">
        <f>NOVIEMBRE!L12</f>
        <v>0</v>
      </c>
      <c r="K12" s="154">
        <v>0</v>
      </c>
      <c r="L12" s="170">
        <f>SUM(J12:K12)</f>
        <v>0</v>
      </c>
      <c r="M12" s="283">
        <f>F12-I12</f>
        <v>0</v>
      </c>
      <c r="N12" s="170">
        <f>F12-L12</f>
        <v>0</v>
      </c>
      <c r="O12" s="365"/>
      <c r="P12" s="455">
        <v>0</v>
      </c>
      <c r="Q12" s="458">
        <v>0</v>
      </c>
      <c r="S12" s="459">
        <f>+IF(NOVIEMBRE!S12=0,"",NOVIEMBRE!S12)</f>
        <v>1000000</v>
      </c>
      <c r="T12" s="460" t="str">
        <f>+IF(NOVIEMBRE!T12=0,"",NOVIEMBRE!T12)</f>
        <v>GASTOS DE PERSONAL</v>
      </c>
      <c r="U12" s="461">
        <f t="shared" ref="U12:AJ12" si="9">U14+U63</f>
        <v>2360005696</v>
      </c>
      <c r="V12" s="462">
        <f t="shared" si="9"/>
        <v>0</v>
      </c>
      <c r="W12" s="462">
        <f t="shared" si="9"/>
        <v>77989110</v>
      </c>
      <c r="X12" s="463">
        <f t="shared" si="9"/>
        <v>2437994806</v>
      </c>
      <c r="Y12" s="445">
        <f t="shared" si="9"/>
        <v>1941458837</v>
      </c>
      <c r="Z12" s="462">
        <f t="shared" si="9"/>
        <v>336492073</v>
      </c>
      <c r="AA12" s="463">
        <f t="shared" si="9"/>
        <v>2277950910</v>
      </c>
      <c r="AB12" s="445">
        <f t="shared" si="9"/>
        <v>1939776233</v>
      </c>
      <c r="AC12" s="462">
        <f t="shared" si="9"/>
        <v>338174677</v>
      </c>
      <c r="AD12" s="463">
        <f t="shared" si="9"/>
        <v>2277950910</v>
      </c>
      <c r="AE12" s="445">
        <f t="shared" si="9"/>
        <v>1846384038</v>
      </c>
      <c r="AF12" s="462">
        <f t="shared" si="9"/>
        <v>309412905</v>
      </c>
      <c r="AG12" s="463">
        <f t="shared" si="9"/>
        <v>2155796943</v>
      </c>
      <c r="AH12" s="445">
        <f t="shared" si="9"/>
        <v>160043896</v>
      </c>
      <c r="AI12" s="462">
        <f t="shared" si="9"/>
        <v>160043896</v>
      </c>
      <c r="AJ12" s="446">
        <f t="shared" si="9"/>
        <v>282197863</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273884210</v>
      </c>
      <c r="BE12" s="93">
        <f>K23</f>
        <v>21103884</v>
      </c>
      <c r="BF12" s="71">
        <f>+BE12+NOVIEMBRE!BE12+OCTUBRE!BE12+SEPTIEMBRE!BF12</f>
        <v>128984188</v>
      </c>
      <c r="BG12" s="466" t="s">
        <v>412</v>
      </c>
      <c r="BH12" s="102">
        <f>BN25</f>
        <v>360675926</v>
      </c>
      <c r="BI12" s="102">
        <f>BO25</f>
        <v>291560632</v>
      </c>
      <c r="BJ12" s="102">
        <f>BP25</f>
        <v>291560631</v>
      </c>
      <c r="BK12" s="102">
        <f>BQ25</f>
        <v>40722564</v>
      </c>
      <c r="BL12" s="44">
        <f>+BK12+NOVIEMBRE!BK12+OCTUBRE!BK12+SEPTIEMBRE!BL12</f>
        <v>238158474</v>
      </c>
      <c r="BM12" s="163" t="s">
        <v>472</v>
      </c>
      <c r="BN12" s="104">
        <f>X16+X65-X81-X33-BN10-BN11</f>
        <v>199283317</v>
      </c>
      <c r="BO12" s="235">
        <f>AA16+AA65-AA81-AA33-BO10-BO11</f>
        <v>186000378</v>
      </c>
      <c r="BP12" s="102">
        <f>AD16+AD65-AD81-AD33-BP10-BP11</f>
        <v>186000378</v>
      </c>
      <c r="BQ12" s="247">
        <f>AF16+AF65-AF81-AF33-BQ10-BQ11</f>
        <v>101562168</v>
      </c>
      <c r="BR12" s="137">
        <f>+BQ12+NOVIEMBRE!BQ12+OCTUBRE!BQ12+SEPTIEMBRE!BQ12+AGOSTO!BQ12+JULIO!BQ12+JUNIO!BQ12+MAYO!BQ12+ABRIL!BQ12+MARZO!BQ12+FEBRERO!BQ12+ENERO!BQ12</f>
        <v>158655230</v>
      </c>
    </row>
    <row r="13" spans="1:70" s="10" customFormat="1" ht="25.5" x14ac:dyDescent="0.25">
      <c r="A13" s="203">
        <f>+IF(NOVIEMBRE!A13=0,"",NOVIEMBRE!A13)</f>
        <v>1002</v>
      </c>
      <c r="B13" s="251" t="str">
        <f>+IF(NOVIEMBRE!B13=0,"",NOVIEMBRE!B13)</f>
        <v>Fondo Vivienda (Caja, Bancos, Inversiones Tempor.) a Dic-31-2013</v>
      </c>
      <c r="C13" s="283">
        <f>+ENERO!C13</f>
        <v>0</v>
      </c>
      <c r="D13" s="456">
        <f>NOVIEMBRE!D13+DICIEMBRE!P13</f>
        <v>0</v>
      </c>
      <c r="E13" s="456">
        <f>NOVIEMBRE!E13+DICIEMBRE!Q13</f>
        <v>0</v>
      </c>
      <c r="F13" s="170">
        <f>SUM(C13:E13)</f>
        <v>0</v>
      </c>
      <c r="G13" s="283">
        <f>NOVIEMBRE!I13</f>
        <v>0</v>
      </c>
      <c r="H13" s="154">
        <v>0</v>
      </c>
      <c r="I13" s="170">
        <f>SUM(G13:H13)</f>
        <v>0</v>
      </c>
      <c r="J13" s="283">
        <f>NOVIEMBRE!L13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91">
        <f>+F30+F33+F36+F38+F39+F40</f>
        <v>0</v>
      </c>
      <c r="BD13" s="92">
        <f>+I30+I33+I36+I38+I39+I40</f>
        <v>0</v>
      </c>
      <c r="BE13" s="93">
        <f>+K30+K33+K36+K38+K39+K40</f>
        <v>0</v>
      </c>
      <c r="BF13" s="71">
        <f>+BE13+NOVIEMBRE!BE13+OCTUBRE!BE13+SEPTIEMBRE!BF13</f>
        <v>0</v>
      </c>
      <c r="BG13" s="109" t="s">
        <v>72</v>
      </c>
      <c r="BH13" s="102">
        <f t="shared" ref="BH13:BK15" si="10">BN29</f>
        <v>255410140</v>
      </c>
      <c r="BI13" s="102">
        <f t="shared" si="10"/>
        <v>228670208</v>
      </c>
      <c r="BJ13" s="102">
        <f t="shared" si="10"/>
        <v>228670208</v>
      </c>
      <c r="BK13" s="102">
        <f t="shared" si="10"/>
        <v>34923883</v>
      </c>
      <c r="BL13" s="44">
        <f>+BK13+NOVIEMBRE!BK13+OCTUBRE!BK13+SEPTIEMBRE!BL13</f>
        <v>215247741</v>
      </c>
      <c r="BM13" s="166" t="s">
        <v>473</v>
      </c>
      <c r="BN13" s="101">
        <f>X43-X55+X57-X61+X90-X102+X104-X108</f>
        <v>566739968</v>
      </c>
      <c r="BO13" s="234">
        <f>AA43-AA55+AA57-AA61+AA90-AA102+AA104-AA108</f>
        <v>545105215</v>
      </c>
      <c r="BP13" s="99">
        <f>AD43-AD55+AD57-AD61+AD90-AD102+AD104-AD108</f>
        <v>545105215</v>
      </c>
      <c r="BQ13" s="246">
        <f>AF43-AF55+AF57-AF61+AF90-AF102+AF104-AF108</f>
        <v>80752803</v>
      </c>
      <c r="BR13" s="137">
        <f>+BQ13+NOVIEMBRE!BQ13+OCTUBRE!BQ13+SEPTIEMBRE!BQ13+AGOSTO!BQ13+JULIO!BQ13+JUNIO!BQ13+MAYO!BQ13+ABRIL!BQ13+MARZO!BQ13+FEBRERO!BQ13+ENERO!BQ13</f>
        <v>511365882</v>
      </c>
    </row>
    <row r="14" spans="1:70" s="10" customFormat="1" ht="18" customHeight="1" x14ac:dyDescent="0.25">
      <c r="A14" s="203">
        <f>+IF(NOVIEMBRE!A14=0,"",NOVIEMBRE!A14)</f>
        <v>1003</v>
      </c>
      <c r="B14" s="251" t="str">
        <f>+IF(NOVIEMBRE!B14=0,"",NOVIEMBRE!B14)</f>
        <v>Fondos Comunes y Especiales (Caja, Bancos, Invers. Tempor.) a Dic-31-2013</v>
      </c>
      <c r="C14" s="283">
        <f>+ENERO!C14</f>
        <v>80000000</v>
      </c>
      <c r="D14" s="456">
        <f>NOVIEMBRE!D14+DICIEMBRE!P14</f>
        <v>0</v>
      </c>
      <c r="E14" s="456">
        <f>NOVIEMBRE!E14+DICIEMBRE!Q14</f>
        <v>33074115</v>
      </c>
      <c r="F14" s="170">
        <f>SUM(C14:E14)</f>
        <v>113074115</v>
      </c>
      <c r="G14" s="283">
        <f>NOVIEMBRE!I14</f>
        <v>113074115</v>
      </c>
      <c r="H14" s="154">
        <v>0</v>
      </c>
      <c r="I14" s="170">
        <f>SUM(G14:H14)</f>
        <v>113074115</v>
      </c>
      <c r="J14" s="283">
        <f>NOVIEMBRE!L14</f>
        <v>113074115</v>
      </c>
      <c r="K14" s="154">
        <v>0</v>
      </c>
      <c r="L14" s="170">
        <f>SUM(J14:K14)</f>
        <v>113074115</v>
      </c>
      <c r="M14" s="283">
        <f>F14-I14</f>
        <v>0</v>
      </c>
      <c r="N14" s="170">
        <f>F14-L14</f>
        <v>0</v>
      </c>
      <c r="O14" s="467"/>
      <c r="P14" s="455">
        <v>0</v>
      </c>
      <c r="Q14" s="458">
        <v>0</v>
      </c>
      <c r="S14" s="469">
        <f>+IF(NOVIEMBRE!S14=0,"",NOVIEMBRE!S14)</f>
        <v>1010000</v>
      </c>
      <c r="T14" s="470" t="str">
        <f>+IF(NOVIEMBRE!T14=0,"",NOVIEMBRE!T14)</f>
        <v>Gastos de Administración</v>
      </c>
      <c r="U14" s="157">
        <f t="shared" ref="U14:AJ14" si="11">U16+U35+U43+U57</f>
        <v>703883287</v>
      </c>
      <c r="V14" s="144">
        <f t="shared" si="11"/>
        <v>-5657703</v>
      </c>
      <c r="W14" s="144">
        <f t="shared" si="11"/>
        <v>29200000</v>
      </c>
      <c r="X14" s="152">
        <f t="shared" si="11"/>
        <v>727425584</v>
      </c>
      <c r="Y14" s="151">
        <f t="shared" si="11"/>
        <v>542598287</v>
      </c>
      <c r="Z14" s="144">
        <f t="shared" si="11"/>
        <v>120071245</v>
      </c>
      <c r="AA14" s="152">
        <f t="shared" si="11"/>
        <v>662669532</v>
      </c>
      <c r="AB14" s="151">
        <f t="shared" si="11"/>
        <v>540915683</v>
      </c>
      <c r="AC14" s="144">
        <f t="shared" si="11"/>
        <v>121753849</v>
      </c>
      <c r="AD14" s="152">
        <f t="shared" si="11"/>
        <v>662669532</v>
      </c>
      <c r="AE14" s="151">
        <f t="shared" si="11"/>
        <v>519632737</v>
      </c>
      <c r="AF14" s="144">
        <f t="shared" si="11"/>
        <v>118230230</v>
      </c>
      <c r="AG14" s="152">
        <f t="shared" si="11"/>
        <v>637862967</v>
      </c>
      <c r="AH14" s="151">
        <f t="shared" si="11"/>
        <v>64756052</v>
      </c>
      <c r="AI14" s="144">
        <f t="shared" si="11"/>
        <v>64756052</v>
      </c>
      <c r="AJ14" s="153">
        <f t="shared" si="11"/>
        <v>89562617</v>
      </c>
      <c r="AK14" s="12"/>
      <c r="AL14" s="151">
        <f>AL16+AL35+AL43+AL57</f>
        <v>0</v>
      </c>
      <c r="AM14" s="153">
        <f>AM16+AM35+AM43+AM57</f>
        <v>0</v>
      </c>
      <c r="AO14" s="23"/>
      <c r="AP14" s="13" t="s">
        <v>75</v>
      </c>
      <c r="AQ14" s="14">
        <f>F19-AQ7-AQ8-AQ9-AQ10-AQ11-AQ12-AQ13</f>
        <v>401837872</v>
      </c>
      <c r="AR14" s="14">
        <f>I19-AR7-AR8-AR9-AR10-AR11-AR12-AR13</f>
        <v>563706794</v>
      </c>
      <c r="AS14" s="14">
        <f>L19-AS7-AS8-AS9-AS10-AS11-AS12-AS13</f>
        <v>531998148</v>
      </c>
      <c r="AT14" s="467"/>
      <c r="AU14" s="429">
        <f t="shared" si="0"/>
        <v>1.4028214692516587</v>
      </c>
      <c r="AV14" s="429">
        <f t="shared" si="1"/>
        <v>1.3239124160999938</v>
      </c>
      <c r="AW14" s="430">
        <f>(I41+I46+I49+I52+I55+I58+I61+I64+I67+I70+I73+I78+I81+I82+I83+I86+I87+I93)/AO$2*12+I47+I50+I53+I56+I59+I62+I65+I68+I71+I74</f>
        <v>563706794</v>
      </c>
      <c r="AX14" s="430">
        <f>(L41+L46+L49+L52+L55+L58+L61+L64+L67+L70+L73+L78+L81+L82+L83+L86+L87+L93)/AO$2*12+L47+L50+L53+L56+L59+L62+L65+L68+L71+L74</f>
        <v>531998148</v>
      </c>
      <c r="AY14" s="430">
        <f t="shared" si="2"/>
        <v>161868922</v>
      </c>
      <c r="AZ14" s="431">
        <f t="shared" si="3"/>
        <v>130160276</v>
      </c>
      <c r="BB14" s="468" t="s">
        <v>461</v>
      </c>
      <c r="BC14" s="110">
        <f>+F64</f>
        <v>40103182</v>
      </c>
      <c r="BD14" s="111">
        <f>+I64</f>
        <v>41658487</v>
      </c>
      <c r="BE14" s="112">
        <f>K64</f>
        <v>2568163</v>
      </c>
      <c r="BF14" s="71">
        <f>+BE14+NOVIEMBRE!BE14+OCTUBRE!BE14+SEPTIEMBRE!BF14</f>
        <v>30144524</v>
      </c>
      <c r="BG14" s="109" t="s">
        <v>76</v>
      </c>
      <c r="BH14" s="99">
        <f t="shared" si="10"/>
        <v>0</v>
      </c>
      <c r="BI14" s="99">
        <f t="shared" si="10"/>
        <v>0</v>
      </c>
      <c r="BJ14" s="99">
        <f t="shared" si="10"/>
        <v>0</v>
      </c>
      <c r="BK14" s="99">
        <f t="shared" si="10"/>
        <v>0</v>
      </c>
      <c r="BL14" s="44">
        <f>+BK14+NOVIEMBRE!BK14+OCTUBRE!BK14+SEPTIEMBRE!BL14</f>
        <v>0</v>
      </c>
      <c r="BM14" s="165" t="s">
        <v>469</v>
      </c>
      <c r="BN14" s="104">
        <f>X35-X41+X83-X88</f>
        <v>224434955</v>
      </c>
      <c r="BO14" s="102">
        <f>AA35-AA41+AA83-AA88</f>
        <v>144199816</v>
      </c>
      <c r="BP14" s="102">
        <f>AD35-AD41+AD83-AD88</f>
        <v>144199816</v>
      </c>
      <c r="BQ14" s="247">
        <f>AF35-AF41+AF83-AF88</f>
        <v>14608769</v>
      </c>
      <c r="BR14" s="137">
        <f>+BQ14+NOVIEMBRE!BQ14+OCTUBRE!BQ14+SEPTIEMBRE!BQ14+AGOSTO!BQ14+JULIO!BQ14+JUNIO!BQ14+MAYO!BQ14+ABRIL!BQ14+MARZO!BQ14+FEBRERO!BQ14+ENERO!BQ14</f>
        <v>109344183</v>
      </c>
    </row>
    <row r="15" spans="1:70" s="10" customFormat="1" ht="18" customHeight="1" thickBot="1" x14ac:dyDescent="0.3">
      <c r="A15" s="204">
        <f>+IF(NOVIEMBRE!A15=0,"",NOVIEMBRE!A15)</f>
        <v>1004</v>
      </c>
      <c r="B15" s="677" t="str">
        <f>+IF(NOVIEMBRE!B15=0,"",NOVIEMBRE!B15)</f>
        <v>Cesantias Ley 50/1990 a Dic-31-2013</v>
      </c>
      <c r="C15" s="474">
        <f>+ENERO!C15</f>
        <v>20000000</v>
      </c>
      <c r="D15" s="472">
        <f>NOVIEMBRE!D15+DICIEMBRE!P15</f>
        <v>0</v>
      </c>
      <c r="E15" s="472">
        <f>NOVIEMBRE!E15+DICIEMBRE!Q15</f>
        <v>0</v>
      </c>
      <c r="F15" s="473">
        <f>SUM(C15:E15)</f>
        <v>20000000</v>
      </c>
      <c r="G15" s="474">
        <f>NOVIEMBRE!I15</f>
        <v>20000000</v>
      </c>
      <c r="H15" s="197">
        <v>0</v>
      </c>
      <c r="I15" s="473">
        <f>SUM(G15:H15)</f>
        <v>20000000</v>
      </c>
      <c r="J15" s="474">
        <f>NOVIEMBRE!L15</f>
        <v>20000000</v>
      </c>
      <c r="K15" s="197">
        <v>0</v>
      </c>
      <c r="L15" s="473">
        <f>SUM(J15:K15)</f>
        <v>20000000</v>
      </c>
      <c r="M15" s="474">
        <f>F15-I15</f>
        <v>0</v>
      </c>
      <c r="N15" s="473">
        <f>F15-L15</f>
        <v>0</v>
      </c>
      <c r="O15" s="467"/>
      <c r="P15" s="471">
        <v>0</v>
      </c>
      <c r="Q15" s="476">
        <v>0</v>
      </c>
      <c r="S15" s="448" t="str">
        <f>+IF(NOVIEMBRE!S15=0,"",NOVIEMBRE!S15)</f>
        <v/>
      </c>
      <c r="T15" s="649" t="str">
        <f>+IF(NOVIEMBRE!T15=0,"",NOVIEMBRE!T15)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150562527</v>
      </c>
      <c r="AR15" s="14">
        <f>I108</f>
        <v>147121359</v>
      </c>
      <c r="AS15" s="14">
        <f>L108</f>
        <v>147121359</v>
      </c>
      <c r="AT15" s="15"/>
      <c r="AU15" s="419">
        <f t="shared" si="0"/>
        <v>0.97714459189436953</v>
      </c>
      <c r="AV15" s="429">
        <f t="shared" si="1"/>
        <v>0.97714459189436953</v>
      </c>
      <c r="AW15" s="14">
        <f>AQ15</f>
        <v>150562527</v>
      </c>
      <c r="AX15" s="14">
        <f>AR15</f>
        <v>147121359</v>
      </c>
      <c r="AY15" s="14">
        <f t="shared" si="2"/>
        <v>0</v>
      </c>
      <c r="AZ15" s="420">
        <f t="shared" si="3"/>
        <v>-3441168</v>
      </c>
      <c r="BA15" s="467"/>
      <c r="BB15" s="468" t="s">
        <v>79</v>
      </c>
      <c r="BC15" s="110">
        <f>F46+F49</f>
        <v>0</v>
      </c>
      <c r="BD15" s="111">
        <f>I46+I49</f>
        <v>0</v>
      </c>
      <c r="BE15" s="112">
        <f>K46+K49</f>
        <v>0</v>
      </c>
      <c r="BF15" s="71">
        <f>+BE15+NOVIEMBRE!BE15+OCTUBRE!BE15+SEPTIEMBRE!BF15</f>
        <v>0</v>
      </c>
      <c r="BG15" s="109" t="s">
        <v>80</v>
      </c>
      <c r="BH15" s="99">
        <f t="shared" si="10"/>
        <v>145919491</v>
      </c>
      <c r="BI15" s="99">
        <f t="shared" si="10"/>
        <v>145453491</v>
      </c>
      <c r="BJ15" s="99">
        <f t="shared" si="10"/>
        <v>145453491</v>
      </c>
      <c r="BK15" s="99">
        <f t="shared" si="10"/>
        <v>0</v>
      </c>
      <c r="BL15" s="44">
        <f>+BK15+NOVIEMBRE!BK15+OCTUBRE!BK15+SEPTIEMBRE!BL15</f>
        <v>144524291</v>
      </c>
      <c r="BM15" s="89" t="s">
        <v>68</v>
      </c>
      <c r="BN15" s="101">
        <f>SUM(BN16:BN21)</f>
        <v>731144299</v>
      </c>
      <c r="BO15" s="99">
        <f>SUM(BO16:BO21)</f>
        <v>642039767</v>
      </c>
      <c r="BP15" s="99">
        <f>SUM(BP16:BP21)</f>
        <v>642039767</v>
      </c>
      <c r="BQ15" s="246">
        <f>SUM(BQ16:BQ21)</f>
        <v>53351550</v>
      </c>
      <c r="BR15" s="137">
        <f>SUM(BR16:BR21)</f>
        <v>575274912</v>
      </c>
    </row>
    <row r="16" spans="1:70" s="10" customFormat="1" ht="15.75" thickBot="1" x14ac:dyDescent="0.3">
      <c r="A16" s="198" t="str">
        <f>+IF(NOVIEMBRE!A16=0,"",NOVIEMBRE!A16)</f>
        <v/>
      </c>
      <c r="B16" s="477" t="str">
        <f>+IF(NOVIEMBRE!B16=0,"",NOVIEMBRE!B16)</f>
        <v/>
      </c>
      <c r="C16" s="478"/>
      <c r="D16" s="478"/>
      <c r="E16" s="478"/>
      <c r="F16" s="478"/>
      <c r="G16" s="478"/>
      <c r="H16" s="478"/>
      <c r="I16" s="478"/>
      <c r="J16" s="478"/>
      <c r="K16" s="478"/>
      <c r="L16" s="478"/>
      <c r="M16" s="478"/>
      <c r="N16" s="479"/>
      <c r="O16" s="467"/>
      <c r="P16" s="480"/>
      <c r="Q16" s="481"/>
      <c r="S16" s="34">
        <f>+IF(NOVIEMBRE!S16=0,"",NOVIEMBRE!S16)</f>
        <v>1010100</v>
      </c>
      <c r="T16" s="158" t="str">
        <f>+IF(NOVIEMBRE!T16=0,"",NOVIEMBRE!T16)</f>
        <v>Servicios Personales Asociados a Nómina</v>
      </c>
      <c r="U16" s="157">
        <f t="shared" ref="U16:AJ16" si="12">SUM(U17:U20)+U33</f>
        <v>451022301</v>
      </c>
      <c r="V16" s="144">
        <f t="shared" si="12"/>
        <v>-3476851</v>
      </c>
      <c r="W16" s="144">
        <f t="shared" si="12"/>
        <v>5000000</v>
      </c>
      <c r="X16" s="152">
        <f t="shared" si="12"/>
        <v>452545450</v>
      </c>
      <c r="Y16" s="151">
        <f t="shared" si="12"/>
        <v>346900280</v>
      </c>
      <c r="Z16" s="144">
        <f t="shared" si="12"/>
        <v>90567997</v>
      </c>
      <c r="AA16" s="152">
        <f t="shared" si="12"/>
        <v>437468277</v>
      </c>
      <c r="AB16" s="151">
        <f t="shared" si="12"/>
        <v>346900280</v>
      </c>
      <c r="AC16" s="144">
        <f t="shared" si="12"/>
        <v>90567997</v>
      </c>
      <c r="AD16" s="152">
        <f t="shared" si="12"/>
        <v>437468277</v>
      </c>
      <c r="AE16" s="151">
        <f t="shared" si="12"/>
        <v>341950712</v>
      </c>
      <c r="AF16" s="144">
        <f t="shared" si="12"/>
        <v>91396852</v>
      </c>
      <c r="AG16" s="152">
        <f t="shared" si="12"/>
        <v>433347564</v>
      </c>
      <c r="AH16" s="151">
        <f t="shared" si="12"/>
        <v>15077173</v>
      </c>
      <c r="AI16" s="144">
        <f t="shared" si="12"/>
        <v>15077173</v>
      </c>
      <c r="AJ16" s="153">
        <f t="shared" si="12"/>
        <v>19197886</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175397398</v>
      </c>
      <c r="BD16" s="92">
        <f>I43</f>
        <v>166140678</v>
      </c>
      <c r="BE16" s="93">
        <f>K43</f>
        <v>53163833</v>
      </c>
      <c r="BF16" s="71">
        <f>+BE16+NOVIEMBRE!BE16+OCTUBRE!BE16+SEPTIEMBRE!BF16</f>
        <v>137140676</v>
      </c>
      <c r="BG16" s="109" t="s">
        <v>84</v>
      </c>
      <c r="BH16" s="114">
        <f>BH7+BH12+BH13+BH14+BH15</f>
        <v>4088834335</v>
      </c>
      <c r="BI16" s="114">
        <f>BI7+BI12+BI13+BI14+BI15</f>
        <v>3690532649</v>
      </c>
      <c r="BJ16" s="114">
        <f>BJ7+BJ12+BJ13+BJ14+BJ15</f>
        <v>3690532648</v>
      </c>
      <c r="BK16" s="114">
        <f>BK7+BK12+BK13+BK14+BK15</f>
        <v>453785760</v>
      </c>
      <c r="BL16" s="44">
        <f>+BK16+NOVIEMBRE!BK16+OCTUBRE!BK16+SEPTIEMBRE!BL16</f>
        <v>3413643801</v>
      </c>
      <c r="BM16" s="164" t="s">
        <v>85</v>
      </c>
      <c r="BN16" s="101">
        <f>X114-X121+X147-X148-X153</f>
        <v>202592049</v>
      </c>
      <c r="BO16" s="99">
        <f>AA114-AA121+AA147-AA148-AA153</f>
        <v>197520668</v>
      </c>
      <c r="BP16" s="99">
        <f>AD114-AD121+AD147-AD148-AD153</f>
        <v>197520668</v>
      </c>
      <c r="BQ16" s="100">
        <f>AF114-AF121+AF147-AF148-AF153</f>
        <v>23431044</v>
      </c>
      <c r="BR16" s="137">
        <f>+BQ16+NOVIEMBRE!BQ16+OCTUBRE!BQ16+SEPTIEMBRE!BQ16+AGOSTO!BQ16+JULIO!BQ16+JUNIO!BQ16+MAYO!BQ16+ABRIL!BQ16+MARZO!BQ16+FEBRERO!BQ16+ENERO!BQ16</f>
        <v>182910869</v>
      </c>
    </row>
    <row r="17" spans="1:249" s="467" customFormat="1" ht="17.25" thickBot="1" x14ac:dyDescent="0.3">
      <c r="A17" s="433">
        <f>+IF(NOVIEMBRE!A17=0,"",NOVIEMBRE!A17)</f>
        <v>11</v>
      </c>
      <c r="B17" s="439" t="str">
        <f>+IF(NOVIEMBRE!B17=0,"",NOVIEMBRE!B17)</f>
        <v>INGRESOS  CORRIENTES</v>
      </c>
      <c r="C17" s="435">
        <f>C19+C99</f>
        <v>3530048625</v>
      </c>
      <c r="D17" s="435">
        <f t="shared" ref="D17:N17" si="13">D19+D99</f>
        <v>0</v>
      </c>
      <c r="E17" s="435">
        <f t="shared" si="13"/>
        <v>275149068</v>
      </c>
      <c r="F17" s="435">
        <f t="shared" si="13"/>
        <v>3805197693</v>
      </c>
      <c r="G17" s="435">
        <f t="shared" si="13"/>
        <v>3561885983</v>
      </c>
      <c r="H17" s="435">
        <f t="shared" si="13"/>
        <v>560258726</v>
      </c>
      <c r="I17" s="435">
        <f t="shared" si="13"/>
        <v>4122144709</v>
      </c>
      <c r="J17" s="435">
        <f t="shared" si="13"/>
        <v>3103703862</v>
      </c>
      <c r="K17" s="435">
        <f t="shared" si="13"/>
        <v>505642768</v>
      </c>
      <c r="L17" s="435">
        <f t="shared" si="13"/>
        <v>3609346630</v>
      </c>
      <c r="M17" s="435">
        <f t="shared" si="13"/>
        <v>-316947016</v>
      </c>
      <c r="N17" s="216">
        <f t="shared" si="13"/>
        <v>195851063</v>
      </c>
      <c r="P17" s="215">
        <f>P19+P99</f>
        <v>0</v>
      </c>
      <c r="Q17" s="216">
        <f>Q19+Q99</f>
        <v>0</v>
      </c>
      <c r="R17" s="10"/>
      <c r="S17" s="155">
        <f>+IF(NOVIEMBRE!S17=0,"",NOVIEMBRE!S17)</f>
        <v>1010101</v>
      </c>
      <c r="T17" s="159" t="str">
        <f>+IF(NOVIEMBRE!T17=0,"",NOVIEMBRE!T17)</f>
        <v>Sueldos del Personal de nómina</v>
      </c>
      <c r="U17" s="29">
        <f>+ENERO!U17</f>
        <v>368370792</v>
      </c>
      <c r="V17" s="17">
        <f>NOVIEMBRE!V17+DICIEMBRE!AL17</f>
        <v>0</v>
      </c>
      <c r="W17" s="17">
        <f>NOVIEMBRE!W17+DICIEMBRE!AM17</f>
        <v>0</v>
      </c>
      <c r="X17" s="20">
        <f>SUM(U17:W17)</f>
        <v>368370792</v>
      </c>
      <c r="Y17" s="21">
        <f>NOVIEMBRE!AA17</f>
        <v>315007182</v>
      </c>
      <c r="Z17" s="457">
        <v>53363605</v>
      </c>
      <c r="AA17" s="20">
        <f>SUM(Y17:Z17)</f>
        <v>368370787</v>
      </c>
      <c r="AB17" s="21">
        <f>NOVIEMBRE!AD17</f>
        <v>315007182</v>
      </c>
      <c r="AC17" s="457">
        <v>53363605</v>
      </c>
      <c r="AD17" s="20">
        <f>SUM(AB17:AC17)</f>
        <v>368370787</v>
      </c>
      <c r="AE17" s="21">
        <f>NOVIEMBRE!AG17</f>
        <v>310057614</v>
      </c>
      <c r="AF17" s="457">
        <v>56029335</v>
      </c>
      <c r="AG17" s="20">
        <f>SUM(AE17:AF17)</f>
        <v>366086949</v>
      </c>
      <c r="AH17" s="21">
        <f>X17-AA17</f>
        <v>5</v>
      </c>
      <c r="AI17" s="17">
        <f>X17-AD17</f>
        <v>5</v>
      </c>
      <c r="AJ17" s="18">
        <f>X17-AG17</f>
        <v>2283843</v>
      </c>
      <c r="AK17" s="10"/>
      <c r="AL17" s="455">
        <v>0</v>
      </c>
      <c r="AM17" s="458">
        <v>0</v>
      </c>
      <c r="AN17" s="10"/>
      <c r="AO17" s="428"/>
      <c r="AP17" s="488" t="s">
        <v>87</v>
      </c>
      <c r="AQ17" s="489">
        <f>SUM(AQ7:AQ16)</f>
        <v>3836308894</v>
      </c>
      <c r="AR17" s="490">
        <f>SUM(AR7:AR16)</f>
        <v>4149814742</v>
      </c>
      <c r="AS17" s="491">
        <f>SUM(AS7:AS16)</f>
        <v>3637016663</v>
      </c>
      <c r="AT17" s="492"/>
      <c r="AU17" s="490">
        <f t="shared" si="0"/>
        <v>1.0817206999390285</v>
      </c>
      <c r="AV17" s="490">
        <f t="shared" si="1"/>
        <v>0.94805104685086916</v>
      </c>
      <c r="AW17" s="493">
        <f>SUM(AX7:AX16)</f>
        <v>3637016663</v>
      </c>
      <c r="AX17" s="493">
        <f>SUM(AX7:AX16)</f>
        <v>3637016663</v>
      </c>
      <c r="AY17" s="493">
        <f>SUM(AY7:AY16)</f>
        <v>316947016</v>
      </c>
      <c r="AZ17" s="494">
        <f>SUM(AZ7:AZ16)</f>
        <v>-199292231</v>
      </c>
      <c r="BA17" s="10"/>
      <c r="BB17" s="468" t="s">
        <v>463</v>
      </c>
      <c r="BC17" s="91">
        <f>F41+F52+F55+F58+F61+F67+F70+F73+F76+F79+F82+F88+F89+F90+F91</f>
        <v>209189895</v>
      </c>
      <c r="BD17" s="92">
        <f>I41+I52+I55+I58+I61+I67+I70+I73+I76+I79+I82+I88+I89+I90+I91</f>
        <v>157050328</v>
      </c>
      <c r="BE17" s="93">
        <f>K41+K52+K55+K58+K61+K67+K70+K73+K76+K79+K82+K88+K89+K90+K91</f>
        <v>7953232</v>
      </c>
      <c r="BF17" s="71">
        <f>+BE17+NOVIEMBRE!BE17+OCTUBRE!BE17+SEPTIEMBRE!BF17</f>
        <v>136876262</v>
      </c>
      <c r="BG17" s="116" t="s">
        <v>88</v>
      </c>
      <c r="BH17" s="117">
        <f>BC23-BH16</f>
        <v>0</v>
      </c>
      <c r="BI17" s="117"/>
      <c r="BJ17" s="117"/>
      <c r="BK17" s="117"/>
      <c r="BL17" s="44">
        <f>+BK17+NOVIEMBRE!BK17+OCTUBRE!BK17+SEPTIEMBRE!BL17</f>
        <v>0</v>
      </c>
      <c r="BM17" s="164" t="s">
        <v>479</v>
      </c>
      <c r="BN17" s="101">
        <f>X123-X126-X139+X155-X156-X167-X168</f>
        <v>243336548</v>
      </c>
      <c r="BO17" s="99">
        <f>AA123-AA126-AA139+AA155-AA156-AA167-AA168</f>
        <v>191369730</v>
      </c>
      <c r="BP17" s="99">
        <f>AD123-AD126-AD139+AD155-AD156-AD167-AD168</f>
        <v>191369730</v>
      </c>
      <c r="BQ17" s="100">
        <f>AF123-AF126-AF139+AF155-AF156-AF167-AF168</f>
        <v>24264281</v>
      </c>
      <c r="BR17" s="137">
        <f>+BQ17+NOVIEMBRE!BQ17+OCTUBRE!BQ17+SEPTIEMBRE!BQ17+AGOSTO!BQ17+JULIO!BQ17+JUNIO!BQ17+MAYO!BQ17+ABRIL!BQ17+MARZO!BQ17+FEBRERO!BQ17+ENERO!BQ17</f>
        <v>174481055</v>
      </c>
    </row>
    <row r="18" spans="1:249" s="10" customFormat="1" ht="15.75" thickBot="1" x14ac:dyDescent="0.3">
      <c r="A18" s="202" t="str">
        <f>+IF(NOVIEMBRE!A18=0,"",NOVIEMBRE!A18)</f>
        <v/>
      </c>
      <c r="B18" s="201" t="str">
        <f>+IF(NOVIEMBRE!B18=0,"",NOVIEMBRE!B18)</f>
        <v/>
      </c>
      <c r="C18" s="495"/>
      <c r="D18" s="495"/>
      <c r="E18" s="495"/>
      <c r="F18" s="495"/>
      <c r="G18" s="495"/>
      <c r="H18" s="495"/>
      <c r="I18" s="495"/>
      <c r="J18" s="495"/>
      <c r="K18" s="495"/>
      <c r="L18" s="495"/>
      <c r="M18" s="495"/>
      <c r="N18" s="496"/>
      <c r="P18" s="497"/>
      <c r="Q18" s="496"/>
      <c r="S18" s="155">
        <f>+IF(NOVIEMBRE!S18=0,"",NOVIEMBRE!S18)</f>
        <v>1010102</v>
      </c>
      <c r="T18" s="159" t="str">
        <f>+IF(NOVIEMBRE!T18=0,"",NOVIEMBRE!T18)</f>
        <v>Horas Extras,Dominic.,Festivos y Rec. Nocturnos</v>
      </c>
      <c r="U18" s="29">
        <f>+ENERO!U18</f>
        <v>20119405</v>
      </c>
      <c r="V18" s="17">
        <f>NOVIEMBRE!V18+DICIEMBRE!AL18</f>
        <v>0</v>
      </c>
      <c r="W18" s="17">
        <f>NOVIEMBRE!W18+DICIEMBRE!AM18</f>
        <v>0</v>
      </c>
      <c r="X18" s="20">
        <f>SUM(U18:W18)</f>
        <v>20119405</v>
      </c>
      <c r="Y18" s="21">
        <f>NOVIEMBRE!AA18</f>
        <v>10308294</v>
      </c>
      <c r="Z18" s="457">
        <v>1082850</v>
      </c>
      <c r="AA18" s="20">
        <f>SUM(Y18:Z18)</f>
        <v>11391144</v>
      </c>
      <c r="AB18" s="21">
        <f>NOVIEMBRE!AD18</f>
        <v>10308294</v>
      </c>
      <c r="AC18" s="457">
        <v>1082850</v>
      </c>
      <c r="AD18" s="20">
        <f>SUM(AB18:AC18)</f>
        <v>11391144</v>
      </c>
      <c r="AE18" s="21">
        <f>NOVIEMBRE!AG18</f>
        <v>10308294</v>
      </c>
      <c r="AF18" s="457">
        <v>1082850</v>
      </c>
      <c r="AG18" s="20">
        <f>SUM(AE18:AF18)</f>
        <v>11391144</v>
      </c>
      <c r="AH18" s="21">
        <f>X18-AA18</f>
        <v>8728261</v>
      </c>
      <c r="AI18" s="17">
        <f>X18-AD18</f>
        <v>8728261</v>
      </c>
      <c r="AJ18" s="18">
        <f>X18-AG18</f>
        <v>8728261</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252525441</v>
      </c>
      <c r="BE18" s="93">
        <f>K100+K101+K102+K105</f>
        <v>21043786</v>
      </c>
      <c r="BF18" s="71">
        <f>+BE18+NOVIEMBRE!BE18+OCTUBRE!BE18+SEPTIEMBRE!BF18</f>
        <v>252525441</v>
      </c>
      <c r="BM18" s="164" t="s">
        <v>89</v>
      </c>
      <c r="BN18" s="101">
        <f>X148+X156</f>
        <v>222935242</v>
      </c>
      <c r="BO18" s="99">
        <f>AA148+AA156</f>
        <v>198745207</v>
      </c>
      <c r="BP18" s="99">
        <f>AD148+AD156</f>
        <v>198745207</v>
      </c>
      <c r="BQ18" s="100">
        <f>AF148+AF156</f>
        <v>2760656</v>
      </c>
      <c r="BR18" s="137">
        <f>+BQ18+NOVIEMBRE!BQ18+OCTUBRE!BQ18+SEPTIEMBRE!BQ18+AGOSTO!BQ18+JULIO!BQ18+JUNIO!BQ18+MAYO!BQ18+ABRIL!BQ18+MARZO!BQ18+FEBRERO!BQ18+ENERO!BQ18</f>
        <v>166106573</v>
      </c>
    </row>
    <row r="19" spans="1:249" s="10" customFormat="1" ht="15.75" x14ac:dyDescent="0.25">
      <c r="A19" s="498">
        <f>+IF(NOVIEMBRE!A19=0,"",NOVIEMBRE!A19)</f>
        <v>113</v>
      </c>
      <c r="B19" s="499" t="str">
        <f>+IF(NOVIEMBRE!B19=0,"",NOVIEMBRE!B19)</f>
        <v>VENTA DE SERVICIOS</v>
      </c>
      <c r="C19" s="53">
        <f t="shared" ref="C19:N19" si="14">C21+C85</f>
        <v>3530048625</v>
      </c>
      <c r="D19" s="53">
        <f t="shared" si="14"/>
        <v>-227076373</v>
      </c>
      <c r="E19" s="53">
        <f t="shared" si="14"/>
        <v>249700000</v>
      </c>
      <c r="F19" s="54">
        <f t="shared" si="14"/>
        <v>3552672252</v>
      </c>
      <c r="G19" s="52">
        <f t="shared" si="14"/>
        <v>3330404328</v>
      </c>
      <c r="H19" s="53">
        <f t="shared" si="14"/>
        <v>539214940</v>
      </c>
      <c r="I19" s="54">
        <f t="shared" si="14"/>
        <v>3869619268</v>
      </c>
      <c r="J19" s="52">
        <f t="shared" si="14"/>
        <v>2872222207</v>
      </c>
      <c r="K19" s="53">
        <f t="shared" si="14"/>
        <v>484598982</v>
      </c>
      <c r="L19" s="54">
        <f t="shared" si="14"/>
        <v>3356821189</v>
      </c>
      <c r="M19" s="52">
        <f t="shared" si="14"/>
        <v>-316947016</v>
      </c>
      <c r="N19" s="54">
        <f t="shared" si="14"/>
        <v>195851063</v>
      </c>
      <c r="O19" s="467"/>
      <c r="P19" s="52">
        <f>P21+P85</f>
        <v>0</v>
      </c>
      <c r="Q19" s="54">
        <f>Q21+Q85</f>
        <v>0</v>
      </c>
      <c r="S19" s="155">
        <f>+IF(NOVIEMBRE!S19=0,"",NOVIEMBRE!S19)</f>
        <v>1010103</v>
      </c>
      <c r="T19" s="159" t="str">
        <f>+IF(NOVIEMBRE!T19=0,"",NOVIEMBRE!T19)</f>
        <v>Prima Técnica</v>
      </c>
      <c r="U19" s="29">
        <f>+ENERO!U19</f>
        <v>0</v>
      </c>
      <c r="V19" s="17">
        <f>NOVIEMBRE!V19+DICIEMBRE!AL19</f>
        <v>0</v>
      </c>
      <c r="W19" s="17">
        <f>NOVIEMBRE!W19+DICIEMBRE!AM19</f>
        <v>0</v>
      </c>
      <c r="X19" s="20">
        <f>SUM(U19:W19)</f>
        <v>0</v>
      </c>
      <c r="Y19" s="21">
        <f>NOVIEMBRE!AA19</f>
        <v>0</v>
      </c>
      <c r="Z19" s="457">
        <v>0</v>
      </c>
      <c r="AA19" s="20">
        <f>SUM(Y19:Z19)</f>
        <v>0</v>
      </c>
      <c r="AB19" s="21">
        <f>NOVIEMBRE!AD19</f>
        <v>0</v>
      </c>
      <c r="AC19" s="457">
        <v>0</v>
      </c>
      <c r="AD19" s="20">
        <f>SUM(AB19:AC19)</f>
        <v>0</v>
      </c>
      <c r="AE19" s="21">
        <f>NOVIEMBRE!AG19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129179029</v>
      </c>
      <c r="BD19" s="111">
        <f>I86+I87+I93+I103+I104</f>
        <v>333072475</v>
      </c>
      <c r="BE19" s="112">
        <f>K86+K87+K93+K103+K104</f>
        <v>204887686</v>
      </c>
      <c r="BF19" s="71">
        <f>+BE19+NOVIEMBRE!BE19+OCTUBRE!BE19+SEPTIEMBRE!BF19</f>
        <v>333072475</v>
      </c>
      <c r="BG19" s="467"/>
      <c r="BH19" s="467">
        <f>BN33</f>
        <v>0</v>
      </c>
      <c r="BI19" s="467"/>
      <c r="BJ19" s="467"/>
      <c r="BK19" s="467"/>
      <c r="BM19" s="164" t="s">
        <v>96</v>
      </c>
      <c r="BN19" s="101">
        <f>X126+X167</f>
        <v>61280460</v>
      </c>
      <c r="BO19" s="99">
        <f>AA126+AA167</f>
        <v>54196562</v>
      </c>
      <c r="BP19" s="99">
        <f>AD126+AD167</f>
        <v>54196562</v>
      </c>
      <c r="BQ19" s="100">
        <f>AF126+AF167</f>
        <v>2895569</v>
      </c>
      <c r="BR19" s="137">
        <f>+BQ19+NOVIEMBRE!BQ19+OCTUBRE!BQ19+SEPTIEMBRE!BQ19+AGOSTO!BQ19+JULIO!BQ19+JUNIO!BQ19+MAYO!BQ19+ABRIL!BQ19+MARZO!BQ19+FEBRERO!BQ19+ENERO!BQ19</f>
        <v>51568815</v>
      </c>
    </row>
    <row r="20" spans="1:249" s="514" customFormat="1" ht="15" x14ac:dyDescent="0.25">
      <c r="A20" s="202" t="str">
        <f>+IF(NOVIEMBRE!A20=0,"",NOVIEMBRE!A20)</f>
        <v/>
      </c>
      <c r="B20" s="201" t="str">
        <f>+IF(NOVIEMBRE!B20=0,"",NOVIEMBRE!B20)</f>
        <v/>
      </c>
      <c r="C20" s="495"/>
      <c r="D20" s="495"/>
      <c r="E20" s="495"/>
      <c r="F20" s="495"/>
      <c r="G20" s="495"/>
      <c r="H20" s="495"/>
      <c r="I20" s="495"/>
      <c r="J20" s="495"/>
      <c r="K20" s="495"/>
      <c r="L20" s="495"/>
      <c r="M20" s="495"/>
      <c r="N20" s="496"/>
      <c r="O20" s="10"/>
      <c r="P20" s="497"/>
      <c r="Q20" s="496"/>
      <c r="R20" s="10"/>
      <c r="S20" s="155">
        <f>+IF(NOVIEMBRE!S20=0,"",NOVIEMBRE!S20)</f>
        <v>1010104</v>
      </c>
      <c r="T20" s="159" t="str">
        <f>+IF(NOVIEMBRE!T20=0,"",NOVIEMBRE!T20)</f>
        <v>Otros</v>
      </c>
      <c r="U20" s="29">
        <f t="shared" ref="U20:AJ20" si="15">SUM(U21:U32)</f>
        <v>58502253</v>
      </c>
      <c r="V20" s="17">
        <f t="shared" si="15"/>
        <v>0</v>
      </c>
      <c r="W20" s="17">
        <f t="shared" si="15"/>
        <v>5000000</v>
      </c>
      <c r="X20" s="20">
        <f t="shared" si="15"/>
        <v>63502253</v>
      </c>
      <c r="Y20" s="21">
        <f t="shared" si="15"/>
        <v>21031804</v>
      </c>
      <c r="Z20" s="169">
        <f t="shared" si="15"/>
        <v>36121542</v>
      </c>
      <c r="AA20" s="20">
        <f t="shared" si="15"/>
        <v>57153346</v>
      </c>
      <c r="AB20" s="21">
        <f t="shared" si="15"/>
        <v>21031804</v>
      </c>
      <c r="AC20" s="169">
        <f t="shared" si="15"/>
        <v>36121542</v>
      </c>
      <c r="AD20" s="20">
        <f t="shared" si="15"/>
        <v>57153346</v>
      </c>
      <c r="AE20" s="21">
        <f t="shared" si="15"/>
        <v>21031804</v>
      </c>
      <c r="AF20" s="169">
        <f t="shared" si="15"/>
        <v>34284667</v>
      </c>
      <c r="AG20" s="20">
        <f t="shared" si="15"/>
        <v>55316471</v>
      </c>
      <c r="AH20" s="21">
        <f t="shared" si="15"/>
        <v>6348907</v>
      </c>
      <c r="AI20" s="17">
        <f t="shared" si="15"/>
        <v>6348907</v>
      </c>
      <c r="AJ20" s="18">
        <f t="shared" si="15"/>
        <v>8185782</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932296</v>
      </c>
      <c r="BE20" s="85">
        <f>+K109+K111+K113+K114+K115</f>
        <v>195558</v>
      </c>
      <c r="BF20" s="71">
        <f>+BE20+NOVIEMBRE!BE20+OCTUBRE!BE20+SEPTIEMBRE!BF20</f>
        <v>932296</v>
      </c>
      <c r="BG20" s="467"/>
      <c r="BH20" s="467">
        <f>BH19-BH16</f>
        <v>-4088834335</v>
      </c>
      <c r="BI20" s="467"/>
      <c r="BJ20" s="467"/>
      <c r="BK20" s="467"/>
      <c r="BL20" s="467"/>
      <c r="BM20" s="166" t="s">
        <v>474</v>
      </c>
      <c r="BN20" s="101">
        <f>+X141-X143</f>
        <v>1000000</v>
      </c>
      <c r="BO20" s="99">
        <f>+AA141-AA143</f>
        <v>207600</v>
      </c>
      <c r="BP20" s="99">
        <f>+AD141-AD143</f>
        <v>207600</v>
      </c>
      <c r="BQ20" s="100">
        <f>+AF141-AF143</f>
        <v>0</v>
      </c>
      <c r="BR20" s="137">
        <f>+BQ20+NOVIEMBRE!BQ20+OCTUBRE!BQ20+SEPTIEMBRE!BQ20+AGOSTO!BQ20+JULIO!BQ20+JUNIO!BQ20+MAYO!BQ20+ABRIL!BQ20+MARZO!BQ20+FEBRERO!BQ20+ENERO!BQ20</f>
        <v>207600</v>
      </c>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c r="CY20" s="467"/>
      <c r="CZ20" s="467"/>
      <c r="DA20" s="467"/>
      <c r="DB20" s="467"/>
      <c r="DC20" s="467"/>
      <c r="DD20" s="467"/>
      <c r="DE20" s="467"/>
      <c r="DF20" s="467"/>
      <c r="DG20" s="467"/>
      <c r="DH20" s="467"/>
      <c r="DI20" s="467"/>
      <c r="DJ20" s="467"/>
      <c r="DK20" s="467"/>
      <c r="DL20" s="467"/>
      <c r="DM20" s="467"/>
      <c r="DN20" s="467"/>
      <c r="DO20" s="467"/>
      <c r="DP20" s="467"/>
      <c r="DQ20" s="467"/>
      <c r="DR20" s="467"/>
      <c r="DS20" s="467"/>
      <c r="DT20" s="467"/>
      <c r="DU20" s="467"/>
      <c r="DV20" s="467"/>
      <c r="DW20" s="467"/>
      <c r="DX20" s="467"/>
      <c r="DY20" s="467"/>
      <c r="DZ20" s="467"/>
      <c r="EA20" s="467"/>
      <c r="EB20" s="467"/>
      <c r="EC20" s="467"/>
      <c r="ED20" s="467"/>
      <c r="EE20" s="467"/>
      <c r="EF20" s="467"/>
      <c r="EG20" s="467"/>
      <c r="EH20" s="467"/>
      <c r="EI20" s="467"/>
      <c r="EJ20" s="467"/>
      <c r="EK20" s="467"/>
      <c r="EL20" s="467"/>
      <c r="EM20" s="467"/>
      <c r="EN20" s="467"/>
      <c r="EO20" s="467"/>
      <c r="EP20" s="467"/>
      <c r="EQ20" s="467"/>
      <c r="ER20" s="467"/>
      <c r="ES20" s="467"/>
      <c r="ET20" s="467"/>
      <c r="EU20" s="467"/>
      <c r="EV20" s="467"/>
      <c r="EW20" s="467"/>
      <c r="EX20" s="467"/>
      <c r="EY20" s="467"/>
      <c r="EZ20" s="467"/>
      <c r="FA20" s="467"/>
      <c r="FB20" s="467"/>
      <c r="FC20" s="467"/>
      <c r="FD20" s="467"/>
      <c r="FE20" s="467"/>
      <c r="FF20" s="467"/>
      <c r="FG20" s="467"/>
      <c r="FH20" s="467"/>
      <c r="FI20" s="467"/>
      <c r="FJ20" s="467"/>
      <c r="FK20" s="467"/>
      <c r="FL20" s="467"/>
      <c r="FM20" s="467"/>
      <c r="FN20" s="467"/>
      <c r="FO20" s="467"/>
      <c r="FP20" s="467"/>
      <c r="FQ20" s="467"/>
      <c r="FR20" s="467"/>
      <c r="FS20" s="467"/>
      <c r="FT20" s="467"/>
      <c r="FU20" s="467"/>
      <c r="FV20" s="467"/>
      <c r="FW20" s="467"/>
      <c r="FX20" s="467"/>
      <c r="FY20" s="467"/>
      <c r="FZ20" s="467"/>
      <c r="GA20" s="467"/>
      <c r="GB20" s="467"/>
      <c r="GC20" s="467"/>
      <c r="GD20" s="467"/>
      <c r="GE20" s="467"/>
      <c r="GF20" s="467"/>
      <c r="GG20" s="467"/>
      <c r="GH20" s="467"/>
      <c r="GI20" s="467"/>
      <c r="GJ20" s="467"/>
      <c r="GK20" s="467"/>
      <c r="GL20" s="467"/>
      <c r="GM20" s="467"/>
      <c r="GN20" s="467"/>
      <c r="GO20" s="467"/>
      <c r="GP20" s="467"/>
      <c r="GQ20" s="467"/>
      <c r="GR20" s="467"/>
      <c r="GS20" s="467"/>
      <c r="GT20" s="467"/>
      <c r="GU20" s="467"/>
      <c r="GV20" s="467"/>
      <c r="GW20" s="467"/>
      <c r="GX20" s="467"/>
      <c r="GY20" s="467"/>
      <c r="GZ20" s="467"/>
      <c r="HA20" s="467"/>
      <c r="HB20" s="467"/>
      <c r="HC20" s="467"/>
      <c r="HD20" s="467"/>
      <c r="HE20" s="467"/>
      <c r="HF20" s="467"/>
      <c r="HG20" s="467"/>
      <c r="HH20" s="467"/>
      <c r="HI20" s="467"/>
      <c r="HJ20" s="467"/>
      <c r="HK20" s="467"/>
      <c r="HL20" s="467"/>
      <c r="HM20" s="467"/>
      <c r="HN20" s="467"/>
      <c r="HO20" s="467"/>
      <c r="HP20" s="467"/>
      <c r="HQ20" s="467"/>
      <c r="HR20" s="467"/>
      <c r="HS20" s="467"/>
      <c r="HT20" s="467"/>
      <c r="HU20" s="467"/>
      <c r="HV20" s="467"/>
      <c r="HW20" s="467"/>
      <c r="HX20" s="467"/>
      <c r="HY20" s="467"/>
      <c r="HZ20" s="467"/>
      <c r="IA20" s="467"/>
      <c r="IB20" s="467"/>
      <c r="IC20" s="467"/>
      <c r="ID20" s="467"/>
      <c r="IE20" s="467"/>
      <c r="IF20" s="467"/>
      <c r="IG20" s="467"/>
      <c r="IH20" s="467"/>
      <c r="II20" s="467"/>
      <c r="IJ20" s="467"/>
      <c r="IK20" s="467"/>
      <c r="IL20" s="467"/>
      <c r="IM20" s="467"/>
      <c r="IN20" s="467"/>
      <c r="IO20" s="467"/>
    </row>
    <row r="21" spans="1:249" s="514" customFormat="1" ht="16.5" thickBot="1" x14ac:dyDescent="0.3">
      <c r="A21" s="515">
        <f>+IF(NOVIEMBRE!A21=0,"",NOVIEMBRE!A21)</f>
        <v>11301</v>
      </c>
      <c r="B21" s="516" t="str">
        <f>+IF(NOVIEMBRE!B21=0,"",NOVIEMBRE!B21)</f>
        <v>Venta de Servicios de Salud</v>
      </c>
      <c r="C21" s="518">
        <f t="shared" ref="C21:N21" si="16">C22+C25+C28+C41+C42+C45+C48+C51+C54+C57+C60+C63+C66+C69+C72+C75+C78+C81</f>
        <v>3414869596</v>
      </c>
      <c r="D21" s="518">
        <f t="shared" si="16"/>
        <v>-227076373</v>
      </c>
      <c r="E21" s="518">
        <f t="shared" si="16"/>
        <v>235700000</v>
      </c>
      <c r="F21" s="519">
        <f t="shared" si="16"/>
        <v>3423493223</v>
      </c>
      <c r="G21" s="517">
        <f t="shared" si="16"/>
        <v>3202219539</v>
      </c>
      <c r="H21" s="518">
        <f t="shared" si="16"/>
        <v>334327254</v>
      </c>
      <c r="I21" s="519">
        <f t="shared" si="16"/>
        <v>3536546793</v>
      </c>
      <c r="J21" s="517">
        <f t="shared" si="16"/>
        <v>2744037418</v>
      </c>
      <c r="K21" s="518">
        <f t="shared" si="16"/>
        <v>279711296</v>
      </c>
      <c r="L21" s="519">
        <f t="shared" si="16"/>
        <v>3023748714</v>
      </c>
      <c r="M21" s="517">
        <f t="shared" si="16"/>
        <v>-113053570</v>
      </c>
      <c r="N21" s="519">
        <f t="shared" si="16"/>
        <v>399744509</v>
      </c>
      <c r="O21" s="467"/>
      <c r="P21" s="52">
        <f>P22+P25+P28+P41+P42+P45+P48+P51+P54+P57+P60+P63+P66+P69+P72+P75+P78+P81</f>
        <v>0</v>
      </c>
      <c r="Q21" s="54">
        <f>Q22+Q25+Q28+Q41+Q42+Q45+Q48+Q51+Q54+Q57+Q60+Q63+Q66+Q69+Q72+Q75+Q78+Q81</f>
        <v>0</v>
      </c>
      <c r="R21" s="10"/>
      <c r="S21" s="156" t="str">
        <f>+IF(NOVIEMBRE!S21=0,"",NOVIEMBRE!S21)</f>
        <v>1010104-1</v>
      </c>
      <c r="T21" s="55" t="str">
        <f>+IF(NOVIEMBRE!T21=0,"",NOVIEMBRE!T21)</f>
        <v xml:space="preserve">Prima de Navidad </v>
      </c>
      <c r="U21" s="29">
        <f>+ENERO!U21</f>
        <v>31976631</v>
      </c>
      <c r="V21" s="17">
        <f>NOVIEMBRE!V21+DICIEMBRE!AL21</f>
        <v>0</v>
      </c>
      <c r="W21" s="17">
        <f>NOVIEMBRE!W21+DICIEMBRE!AM21</f>
        <v>5000000</v>
      </c>
      <c r="X21" s="20">
        <f t="shared" ref="X21:X33" si="17">SUM(U21:W21)</f>
        <v>36976631</v>
      </c>
      <c r="Y21" s="21">
        <f>NOVIEMBRE!AA21</f>
        <v>262183</v>
      </c>
      <c r="Z21" s="457">
        <v>30574900</v>
      </c>
      <c r="AA21" s="20">
        <f t="shared" ref="AA21:AA33" si="18">SUM(Y21:Z21)</f>
        <v>30837083</v>
      </c>
      <c r="AB21" s="21">
        <f>NOVIEMBRE!AD21</f>
        <v>262183</v>
      </c>
      <c r="AC21" s="457">
        <v>30574900</v>
      </c>
      <c r="AD21" s="20">
        <f t="shared" ref="AD21:AD33" si="19">SUM(AB21:AC21)</f>
        <v>30837083</v>
      </c>
      <c r="AE21" s="21">
        <f>NOVIEMBRE!AG21</f>
        <v>262183</v>
      </c>
      <c r="AF21" s="457">
        <v>30574900</v>
      </c>
      <c r="AG21" s="20">
        <f t="shared" ref="AG21:AG33" si="20">SUM(AE21:AF21)</f>
        <v>30837083</v>
      </c>
      <c r="AH21" s="21">
        <f t="shared" ref="AH21:AH33" si="21">X21-AA21</f>
        <v>6139548</v>
      </c>
      <c r="AI21" s="17">
        <f t="shared" ref="AI21:AI33" si="22">X21-AD21</f>
        <v>6139548</v>
      </c>
      <c r="AJ21" s="18">
        <f t="shared" ref="AJ21:AJ33" si="23">X21-AG21</f>
        <v>6139548</v>
      </c>
      <c r="AK21" s="10"/>
      <c r="AL21" s="455">
        <v>0</v>
      </c>
      <c r="AM21" s="458">
        <v>0</v>
      </c>
      <c r="AN21" s="10"/>
      <c r="AO21" s="428"/>
      <c r="AP21" s="520"/>
      <c r="AQ21" s="521"/>
      <c r="AR21" s="522" t="str">
        <f>AR6</f>
        <v>DICIEMBRE</v>
      </c>
      <c r="AS21" s="523" t="str">
        <f>AR6</f>
        <v>DICIEMBRE</v>
      </c>
      <c r="AT21" s="522" t="str">
        <f>AR6</f>
        <v>DICIEMBRE</v>
      </c>
      <c r="AU21" s="522" t="s">
        <v>46</v>
      </c>
      <c r="AV21" s="522" t="s">
        <v>24</v>
      </c>
      <c r="AW21" s="524"/>
      <c r="AX21" s="524"/>
      <c r="AY21" s="522" t="s">
        <v>46</v>
      </c>
      <c r="AZ21" s="525" t="s">
        <v>24</v>
      </c>
      <c r="BA21" s="10"/>
      <c r="BB21" s="119" t="s">
        <v>466</v>
      </c>
      <c r="BC21" s="83">
        <f>+F117</f>
        <v>149110140</v>
      </c>
      <c r="BD21" s="84">
        <f>I117</f>
        <v>142400183</v>
      </c>
      <c r="BE21" s="85">
        <f>K117</f>
        <v>0</v>
      </c>
      <c r="BF21" s="71">
        <f>+BE21+NOVIEMBRE!BE21+OCTUBRE!BE21+SEPTIEMBRE!BF21</f>
        <v>142400183</v>
      </c>
      <c r="BG21" s="467"/>
      <c r="BH21" s="467"/>
      <c r="BI21" s="467"/>
      <c r="BJ21" s="467"/>
      <c r="BK21" s="467"/>
      <c r="BL21" s="467"/>
      <c r="BM21" s="164" t="s">
        <v>101</v>
      </c>
      <c r="BN21" s="101">
        <v>0</v>
      </c>
      <c r="BO21" s="99">
        <v>0</v>
      </c>
      <c r="BP21" s="99">
        <v>0</v>
      </c>
      <c r="BQ21" s="246">
        <v>0</v>
      </c>
      <c r="BR21" s="137">
        <f>+BQ21+NOVIEMBRE!BQ21+OCTUBRE!BQ21+SEPTIEMBRE!BQ21+AGOSTO!BQ21+JULIO!BQ21+JUNIO!BQ21+MAYO!BQ21+ABRIL!BQ21+MARZO!BQ21+FEBRERO!BQ21+ENERO!BQ21</f>
        <v>0</v>
      </c>
      <c r="BS21" s="467"/>
      <c r="BT21" s="467"/>
      <c r="BU21" s="467"/>
      <c r="BV21" s="467"/>
      <c r="BW21" s="467"/>
      <c r="BX21" s="467"/>
      <c r="BY21" s="467"/>
      <c r="BZ21" s="467"/>
      <c r="CA21" s="467"/>
      <c r="CB21" s="467"/>
      <c r="CC21" s="467"/>
      <c r="CD21" s="467"/>
      <c r="CE21" s="467"/>
      <c r="CF21" s="467"/>
      <c r="CG21" s="467"/>
      <c r="CH21" s="467"/>
      <c r="CI21" s="467"/>
      <c r="CJ21" s="467"/>
      <c r="CK21" s="467"/>
      <c r="CL21" s="467"/>
      <c r="CM21" s="467"/>
      <c r="CN21" s="467"/>
      <c r="CO21" s="467"/>
      <c r="CP21" s="467"/>
      <c r="CQ21" s="467"/>
      <c r="CR21" s="467"/>
      <c r="CS21" s="467"/>
      <c r="CT21" s="467"/>
      <c r="CU21" s="467"/>
      <c r="CV21" s="467"/>
      <c r="CW21" s="467"/>
      <c r="CX21" s="467"/>
      <c r="CY21" s="467"/>
      <c r="CZ21" s="467"/>
      <c r="DA21" s="467"/>
      <c r="DB21" s="467"/>
      <c r="DC21" s="467"/>
      <c r="DD21" s="467"/>
      <c r="DE21" s="467"/>
      <c r="DF21" s="467"/>
      <c r="DG21" s="467"/>
      <c r="DH21" s="467"/>
      <c r="DI21" s="467"/>
      <c r="DJ21" s="467"/>
      <c r="DK21" s="467"/>
      <c r="DL21" s="467"/>
      <c r="DM21" s="467"/>
      <c r="DN21" s="467"/>
      <c r="DO21" s="467"/>
      <c r="DP21" s="467"/>
      <c r="DQ21" s="467"/>
      <c r="DR21" s="467"/>
      <c r="DS21" s="467"/>
      <c r="DT21" s="467"/>
      <c r="DU21" s="467"/>
      <c r="DV21" s="467"/>
      <c r="DW21" s="467"/>
      <c r="DX21" s="467"/>
      <c r="DY21" s="467"/>
      <c r="DZ21" s="467"/>
      <c r="EA21" s="467"/>
      <c r="EB21" s="467"/>
      <c r="EC21" s="467"/>
      <c r="ED21" s="467"/>
      <c r="EE21" s="467"/>
      <c r="EF21" s="467"/>
      <c r="EG21" s="467"/>
      <c r="EH21" s="467"/>
      <c r="EI21" s="467"/>
      <c r="EJ21" s="467"/>
      <c r="EK21" s="467"/>
      <c r="EL21" s="467"/>
      <c r="EM21" s="467"/>
      <c r="EN21" s="467"/>
      <c r="EO21" s="467"/>
      <c r="EP21" s="467"/>
      <c r="EQ21" s="467"/>
      <c r="ER21" s="467"/>
      <c r="ES21" s="467"/>
      <c r="ET21" s="467"/>
      <c r="EU21" s="467"/>
      <c r="EV21" s="467"/>
      <c r="EW21" s="467"/>
      <c r="EX21" s="467"/>
      <c r="EY21" s="467"/>
      <c r="EZ21" s="467"/>
      <c r="FA21" s="467"/>
      <c r="FB21" s="467"/>
      <c r="FC21" s="467"/>
      <c r="FD21" s="467"/>
      <c r="FE21" s="467"/>
      <c r="FF21" s="467"/>
      <c r="FG21" s="467"/>
      <c r="FH21" s="467"/>
      <c r="FI21" s="467"/>
      <c r="FJ21" s="467"/>
      <c r="FK21" s="467"/>
      <c r="FL21" s="467"/>
      <c r="FM21" s="467"/>
      <c r="FN21" s="467"/>
      <c r="FO21" s="467"/>
      <c r="FP21" s="467"/>
      <c r="FQ21" s="467"/>
      <c r="FR21" s="467"/>
      <c r="FS21" s="467"/>
      <c r="FT21" s="467"/>
      <c r="FU21" s="467"/>
      <c r="FV21" s="467"/>
      <c r="FW21" s="467"/>
      <c r="FX21" s="467"/>
      <c r="FY21" s="467"/>
      <c r="FZ21" s="467"/>
      <c r="GA21" s="467"/>
      <c r="GB21" s="467"/>
      <c r="GC21" s="467"/>
      <c r="GD21" s="467"/>
      <c r="GE21" s="467"/>
      <c r="GF21" s="467"/>
      <c r="GG21" s="467"/>
      <c r="GH21" s="467"/>
      <c r="GI21" s="467"/>
      <c r="GJ21" s="467"/>
      <c r="GK21" s="467"/>
      <c r="GL21" s="467"/>
      <c r="GM21" s="467"/>
      <c r="GN21" s="467"/>
      <c r="GO21" s="467"/>
      <c r="GP21" s="467"/>
      <c r="GQ21" s="467"/>
      <c r="GR21" s="467"/>
      <c r="GS21" s="467"/>
      <c r="GT21" s="467"/>
      <c r="GU21" s="467"/>
      <c r="GV21" s="467"/>
      <c r="GW21" s="467"/>
      <c r="GX21" s="467"/>
      <c r="GY21" s="467"/>
      <c r="GZ21" s="467"/>
      <c r="HA21" s="467"/>
      <c r="HB21" s="467"/>
      <c r="HC21" s="467"/>
      <c r="HD21" s="467"/>
      <c r="HE21" s="467"/>
      <c r="HF21" s="467"/>
      <c r="HG21" s="467"/>
      <c r="HH21" s="467"/>
      <c r="HI21" s="467"/>
      <c r="HJ21" s="467"/>
      <c r="HK21" s="467"/>
      <c r="HL21" s="467"/>
      <c r="HM21" s="467"/>
      <c r="HN21" s="467"/>
      <c r="HO21" s="467"/>
      <c r="HP21" s="467"/>
      <c r="HQ21" s="467"/>
      <c r="HR21" s="467"/>
      <c r="HS21" s="467"/>
      <c r="HT21" s="467"/>
      <c r="HU21" s="467"/>
      <c r="HV21" s="467"/>
      <c r="HW21" s="467"/>
      <c r="HX21" s="467"/>
      <c r="HY21" s="467"/>
      <c r="HZ21" s="467"/>
      <c r="IA21" s="467"/>
      <c r="IB21" s="467"/>
      <c r="IC21" s="467"/>
      <c r="ID21" s="467"/>
      <c r="IE21" s="467"/>
      <c r="IF21" s="467"/>
      <c r="IG21" s="467"/>
      <c r="IH21" s="467"/>
      <c r="II21" s="467"/>
      <c r="IJ21" s="467"/>
      <c r="IK21" s="467"/>
      <c r="IL21" s="467"/>
      <c r="IM21" s="467"/>
      <c r="IN21" s="467"/>
      <c r="IO21" s="467"/>
    </row>
    <row r="22" spans="1:249" s="10" customFormat="1" ht="15" x14ac:dyDescent="0.25">
      <c r="A22" s="57">
        <f>+IF(NOVIEMBRE!A22=0,"",NOVIEMBRE!A22)</f>
        <v>1130101</v>
      </c>
      <c r="B22" s="45" t="str">
        <f>+IF(NOVIEMBRE!B22=0,"",NOVIEMBRE!B22)</f>
        <v>EPS - REGIMEN CONTRIBUTIVO</v>
      </c>
      <c r="C22" s="53">
        <f t="shared" ref="C22:N22" si="24">SUM(C23:C24)</f>
        <v>235438278</v>
      </c>
      <c r="D22" s="53">
        <f t="shared" si="24"/>
        <v>0</v>
      </c>
      <c r="E22" s="53">
        <f t="shared" si="24"/>
        <v>0</v>
      </c>
      <c r="F22" s="54">
        <f t="shared" si="24"/>
        <v>235438278</v>
      </c>
      <c r="G22" s="52">
        <f t="shared" si="24"/>
        <v>346218126</v>
      </c>
      <c r="H22" s="53">
        <f t="shared" si="24"/>
        <v>24601389</v>
      </c>
      <c r="I22" s="54">
        <f t="shared" si="24"/>
        <v>370819515</v>
      </c>
      <c r="J22" s="52">
        <f t="shared" si="24"/>
        <v>204815609</v>
      </c>
      <c r="K22" s="53">
        <f t="shared" si="24"/>
        <v>21103884</v>
      </c>
      <c r="L22" s="54">
        <f t="shared" si="24"/>
        <v>225919493</v>
      </c>
      <c r="M22" s="52">
        <f t="shared" si="24"/>
        <v>-135381237</v>
      </c>
      <c r="N22" s="54">
        <f t="shared" si="24"/>
        <v>9518785</v>
      </c>
      <c r="P22" s="52">
        <f>SUM(P23:P24)</f>
        <v>0</v>
      </c>
      <c r="Q22" s="54">
        <f>SUM(Q23:Q24)</f>
        <v>0</v>
      </c>
      <c r="S22" s="156" t="str">
        <f>+IF(NOVIEMBRE!S22=0,"",NOVIEMBRE!S22)</f>
        <v>1010104-2</v>
      </c>
      <c r="T22" s="55" t="str">
        <f>+IF(NOVIEMBRE!T22=0,"",NOVIEMBRE!T22)</f>
        <v>Prima Vida Cara</v>
      </c>
      <c r="U22" s="29">
        <f>+ENERO!U22</f>
        <v>0</v>
      </c>
      <c r="V22" s="17">
        <f>NOVIEMBRE!V22+DICIEMBRE!AL22</f>
        <v>0</v>
      </c>
      <c r="W22" s="17">
        <f>NOVIEMBRE!W22+DICIEMBRE!AM22</f>
        <v>0</v>
      </c>
      <c r="X22" s="20">
        <f t="shared" si="17"/>
        <v>0</v>
      </c>
      <c r="Y22" s="21">
        <f>NOVIEMBRE!AA22</f>
        <v>0</v>
      </c>
      <c r="Z22" s="457">
        <v>0</v>
      </c>
      <c r="AA22" s="20">
        <f t="shared" si="18"/>
        <v>0</v>
      </c>
      <c r="AB22" s="21">
        <f>NOVIEMBRE!AD22</f>
        <v>0</v>
      </c>
      <c r="AC22" s="457">
        <v>0</v>
      </c>
      <c r="AD22" s="20">
        <f t="shared" si="19"/>
        <v>0</v>
      </c>
      <c r="AE22" s="21">
        <f>NOVIEMBRE!AG22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1234173253</v>
      </c>
      <c r="AS22" s="527">
        <f>AG17+AG66</f>
        <v>1212725236</v>
      </c>
      <c r="AT22" s="528"/>
      <c r="AU22" s="529">
        <f t="shared" ref="AU22:AU32" si="25">IF(AQ22=0," ",AR22/AQ22)</f>
        <v>0.9721865171069527</v>
      </c>
      <c r="AV22" s="529">
        <f t="shared" ref="AV22:AV32" si="26">IF(AQ22=0," ",AS22/AQ22)</f>
        <v>0.95529142324926664</v>
      </c>
      <c r="AW22" s="530">
        <f>AR22/$AO$2*12</f>
        <v>1234173253</v>
      </c>
      <c r="AX22" s="530">
        <f>AS22/$AO$2*12</f>
        <v>1212725236</v>
      </c>
      <c r="AY22" s="530">
        <f t="shared" ref="AY22:AY31" si="27">AW22-AQ22</f>
        <v>-35308715</v>
      </c>
      <c r="AZ22" s="531">
        <f t="shared" ref="AZ22:AZ31" si="28">AQ22-AX22</f>
        <v>56756732</v>
      </c>
      <c r="BA22" s="467"/>
      <c r="BB22" s="119" t="s">
        <v>467</v>
      </c>
      <c r="BC22" s="83">
        <f>SUMIF($B8:B117,$B24,F8:F117)+F116</f>
        <v>319717175</v>
      </c>
      <c r="BD22" s="84">
        <f>SUMIF($B8:B117,$B24,I8:I117)+I116</f>
        <v>385685841</v>
      </c>
      <c r="BE22" s="85">
        <f>SUMIF($B8:B117,$B24,K8:K117)+K116</f>
        <v>454343</v>
      </c>
      <c r="BF22" s="71">
        <f>+BE22+NOVIEMBRE!BE22+OCTUBRE!BE22+SEPTIEMBRE!BF22</f>
        <v>385685844</v>
      </c>
      <c r="BG22" s="467"/>
      <c r="BH22" s="467"/>
      <c r="BI22" s="467"/>
      <c r="BJ22" s="467"/>
      <c r="BK22" s="467"/>
      <c r="BM22" s="89" t="s">
        <v>69</v>
      </c>
      <c r="BN22" s="101">
        <f>BN23+BN24</f>
        <v>198767489</v>
      </c>
      <c r="BO22" s="99">
        <f>BO23+BO24</f>
        <v>145470457</v>
      </c>
      <c r="BP22" s="99">
        <f>BP23+BP24</f>
        <v>145470457</v>
      </c>
      <c r="BQ22" s="246">
        <f>BQ23+BQ24</f>
        <v>15374858</v>
      </c>
      <c r="BR22" s="137">
        <f>BR23+BR24</f>
        <v>125206956</v>
      </c>
    </row>
    <row r="23" spans="1:249" s="514" customFormat="1" ht="15.75" thickBot="1" x14ac:dyDescent="0.3">
      <c r="A23" s="188" t="str">
        <f>+IF(NOVIEMBRE!A23=0,"",NOVIEMBRE!A23)</f>
        <v>1130101-1</v>
      </c>
      <c r="B23" s="189" t="str">
        <f>+CONCATENATE("Vigencia ",INSTRUCCIONES!$F$3)</f>
        <v>Vigencia 2014</v>
      </c>
      <c r="C23" s="456">
        <f>+ENERO!C23</f>
        <v>190033939</v>
      </c>
      <c r="D23" s="456">
        <f>NOVIEMBRE!D23+DICIEMBRE!P23</f>
        <v>0</v>
      </c>
      <c r="E23" s="456">
        <f>NOVIEMBRE!E23+DICIEMBRE!Q23</f>
        <v>0</v>
      </c>
      <c r="F23" s="170">
        <f>SUM(C23:E23)</f>
        <v>190033939</v>
      </c>
      <c r="G23" s="283">
        <f>NOVIEMBRE!I23</f>
        <v>249282821</v>
      </c>
      <c r="H23" s="457">
        <v>24601389</v>
      </c>
      <c r="I23" s="170">
        <f>SUM(G23:H23)</f>
        <v>273884210</v>
      </c>
      <c r="J23" s="283">
        <f>NOVIEMBRE!L23</f>
        <v>107880304</v>
      </c>
      <c r="K23" s="457">
        <v>21103884</v>
      </c>
      <c r="L23" s="170">
        <f>SUM(J23:K23)</f>
        <v>128984188</v>
      </c>
      <c r="M23" s="283">
        <f>F23-I23</f>
        <v>-83850271</v>
      </c>
      <c r="N23" s="170">
        <f>F23-L23</f>
        <v>61049751</v>
      </c>
      <c r="O23" s="10"/>
      <c r="P23" s="455">
        <v>0</v>
      </c>
      <c r="Q23" s="458">
        <v>0</v>
      </c>
      <c r="R23" s="10"/>
      <c r="S23" s="156" t="str">
        <f>+IF(NOVIEMBRE!S23=0,"",NOVIEMBRE!S23)</f>
        <v>1010104-3</v>
      </c>
      <c r="T23" s="55" t="str">
        <f>+IF(NOVIEMBRE!T23=0,"",NOVIEMBRE!T23)</f>
        <v>Prima de Vacaciones</v>
      </c>
      <c r="U23" s="29">
        <f>+ENERO!U23</f>
        <v>15348783</v>
      </c>
      <c r="V23" s="17">
        <f>NOVIEMBRE!V23+DICIEMBRE!AL23</f>
        <v>0</v>
      </c>
      <c r="W23" s="17">
        <f>NOVIEMBRE!W23+DICIEMBRE!AM23</f>
        <v>0</v>
      </c>
      <c r="X23" s="20">
        <f t="shared" si="17"/>
        <v>15348783</v>
      </c>
      <c r="Y23" s="21">
        <f>NOVIEMBRE!AA23</f>
        <v>10912374</v>
      </c>
      <c r="Z23" s="457">
        <v>4245248</v>
      </c>
      <c r="AA23" s="20">
        <f t="shared" si="18"/>
        <v>15157622</v>
      </c>
      <c r="AB23" s="21">
        <f>NOVIEMBRE!AD23</f>
        <v>10912374</v>
      </c>
      <c r="AC23" s="457">
        <v>4245248</v>
      </c>
      <c r="AD23" s="20">
        <f t="shared" si="19"/>
        <v>15157622</v>
      </c>
      <c r="AE23" s="21">
        <f>NOVIEMBRE!AG23</f>
        <v>10912374</v>
      </c>
      <c r="AF23" s="457">
        <v>2648373</v>
      </c>
      <c r="AG23" s="20">
        <f t="shared" si="20"/>
        <v>13560747</v>
      </c>
      <c r="AH23" s="21">
        <f t="shared" si="21"/>
        <v>191161</v>
      </c>
      <c r="AI23" s="17">
        <f t="shared" si="22"/>
        <v>191161</v>
      </c>
      <c r="AJ23" s="18">
        <f t="shared" si="23"/>
        <v>1788036</v>
      </c>
      <c r="AK23" s="10"/>
      <c r="AL23" s="455">
        <v>0</v>
      </c>
      <c r="AM23" s="458">
        <v>0</v>
      </c>
      <c r="AN23" s="10"/>
      <c r="AO23" s="453"/>
      <c r="AP23" s="532" t="s">
        <v>110</v>
      </c>
      <c r="AQ23" s="533">
        <f>X16+X65-AQ22</f>
        <v>359958128</v>
      </c>
      <c r="AR23" s="533">
        <f>AD16+AD65-AR22</f>
        <v>337092839</v>
      </c>
      <c r="AS23" s="533">
        <f>AG16+AG65-AS22</f>
        <v>305029155</v>
      </c>
      <c r="AT23" s="401"/>
      <c r="AU23" s="419">
        <f t="shared" si="25"/>
        <v>0.93647792000962959</v>
      </c>
      <c r="AV23" s="419">
        <f t="shared" si="26"/>
        <v>0.84740177057482646</v>
      </c>
      <c r="AW23" s="533">
        <f>(AR23-AD21-AD22-AD23-AD25-AD30-AD33-AD70-AD71-AD72-AD74-AD78-AD81)/$AO$2*12+AX22/12*2.5+AD30+AD33+AD78+AD81</f>
        <v>423529566.83333331</v>
      </c>
      <c r="AX23" s="533">
        <f>(AS23-AG21-AG22-AG23-AG25-AG30-AG33-AG70-AG71-AG72-AG74-AG78-AG81)/$AO$2*12+AX22/12*2.5+AG30+AG33+AG78+AG81</f>
        <v>417383102.83333331</v>
      </c>
      <c r="AY23" s="533">
        <f t="shared" si="27"/>
        <v>63571438.833333313</v>
      </c>
      <c r="AZ23" s="62">
        <f t="shared" si="28"/>
        <v>-57424974.833333313</v>
      </c>
      <c r="BA23" s="467"/>
      <c r="BB23" s="678" t="s">
        <v>111</v>
      </c>
      <c r="BC23" s="679">
        <f>BC7+BC8+BC20+BC21+BC22</f>
        <v>4088834335</v>
      </c>
      <c r="BD23" s="138">
        <f>BD7+BD8+BD20+BD21+BD22+BD92</f>
        <v>4402340183</v>
      </c>
      <c r="BE23" s="139">
        <f>BE7+BE8+BE20+BE21+BE22+BE92</f>
        <v>506292669</v>
      </c>
      <c r="BF23" s="467"/>
      <c r="BG23" s="467"/>
      <c r="BH23" s="467"/>
      <c r="BI23" s="467"/>
      <c r="BJ23" s="467"/>
      <c r="BK23" s="467"/>
      <c r="BL23" s="467"/>
      <c r="BM23" s="164" t="s">
        <v>107</v>
      </c>
      <c r="BN23" s="101">
        <f>X177</f>
        <v>104106866</v>
      </c>
      <c r="BO23" s="99">
        <f>AA177</f>
        <v>102955513</v>
      </c>
      <c r="BP23" s="99">
        <f>AD177</f>
        <v>102955513</v>
      </c>
      <c r="BQ23" s="246">
        <f>AF177</f>
        <v>14402426</v>
      </c>
      <c r="BR23" s="137">
        <f>+BQ23+NOVIEMBRE!BQ23+OCTUBRE!BQ23+SEPTIEMBRE!BQ23+AGOSTO!BQ23+JULIO!BQ23+JUNIO!BQ23+MAYO!BQ23+ABRIL!BQ23+MARZO!BQ23+FEBRERO!BQ23+ENERO!BQ23</f>
        <v>101824121</v>
      </c>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67"/>
      <c r="EG23" s="467"/>
      <c r="EH23" s="467"/>
      <c r="EI23" s="467"/>
      <c r="EJ23" s="467"/>
      <c r="EK23" s="467"/>
      <c r="EL23" s="467"/>
      <c r="EM23" s="467"/>
      <c r="EN23" s="467"/>
      <c r="EO23" s="467"/>
      <c r="EP23" s="467"/>
      <c r="EQ23" s="467"/>
      <c r="ER23" s="467"/>
      <c r="ES23" s="467"/>
      <c r="ET23" s="467"/>
      <c r="EU23" s="467"/>
      <c r="EV23" s="467"/>
      <c r="EW23" s="467"/>
      <c r="EX23" s="467"/>
      <c r="EY23" s="467"/>
      <c r="EZ23" s="467"/>
      <c r="FA23" s="467"/>
      <c r="FB23" s="467"/>
      <c r="FC23" s="467"/>
      <c r="FD23" s="467"/>
      <c r="FE23" s="467"/>
      <c r="FF23" s="467"/>
      <c r="FG23" s="467"/>
      <c r="FH23" s="467"/>
      <c r="FI23" s="467"/>
      <c r="FJ23" s="467"/>
      <c r="FK23" s="467"/>
      <c r="FL23" s="467"/>
      <c r="FM23" s="467"/>
      <c r="FN23" s="467"/>
      <c r="FO23" s="467"/>
      <c r="FP23" s="467"/>
      <c r="FQ23" s="467"/>
      <c r="FR23" s="467"/>
      <c r="FS23" s="467"/>
      <c r="FT23" s="467"/>
      <c r="FU23" s="467"/>
      <c r="FV23" s="467"/>
      <c r="FW23" s="467"/>
      <c r="FX23" s="467"/>
      <c r="FY23" s="467"/>
      <c r="FZ23" s="467"/>
      <c r="GA23" s="467"/>
      <c r="GB23" s="467"/>
      <c r="GC23" s="467"/>
      <c r="GD23" s="467"/>
      <c r="GE23" s="467"/>
      <c r="GF23" s="467"/>
      <c r="GG23" s="467"/>
      <c r="GH23" s="467"/>
      <c r="GI23" s="467"/>
      <c r="GJ23" s="467"/>
      <c r="GK23" s="467"/>
      <c r="GL23" s="467"/>
      <c r="GM23" s="467"/>
      <c r="GN23" s="467"/>
      <c r="GO23" s="467"/>
      <c r="GP23" s="467"/>
      <c r="GQ23" s="467"/>
      <c r="GR23" s="467"/>
      <c r="GS23" s="467"/>
      <c r="GT23" s="467"/>
      <c r="GU23" s="467"/>
      <c r="GV23" s="467"/>
      <c r="GW23" s="467"/>
      <c r="GX23" s="467"/>
      <c r="GY23" s="467"/>
      <c r="GZ23" s="467"/>
      <c r="HA23" s="467"/>
      <c r="HB23" s="467"/>
      <c r="HC23" s="467"/>
      <c r="HD23" s="467"/>
      <c r="HE23" s="467"/>
      <c r="HF23" s="467"/>
      <c r="HG23" s="467"/>
      <c r="HH23" s="467"/>
      <c r="HI23" s="467"/>
      <c r="HJ23" s="467"/>
      <c r="HK23" s="467"/>
      <c r="HL23" s="467"/>
      <c r="HM23" s="467"/>
      <c r="HN23" s="467"/>
      <c r="HO23" s="467"/>
      <c r="HP23" s="467"/>
      <c r="HQ23" s="467"/>
      <c r="HR23" s="467"/>
      <c r="HS23" s="467"/>
      <c r="HT23" s="467"/>
      <c r="HU23" s="467"/>
      <c r="HV23" s="467"/>
      <c r="HW23" s="467"/>
      <c r="HX23" s="467"/>
      <c r="HY23" s="467"/>
      <c r="HZ23" s="467"/>
      <c r="IA23" s="467"/>
      <c r="IB23" s="467"/>
      <c r="IC23" s="467"/>
      <c r="ID23" s="467"/>
      <c r="IE23" s="467"/>
      <c r="IF23" s="467"/>
      <c r="IG23" s="467"/>
      <c r="IH23" s="467"/>
      <c r="II23" s="467"/>
      <c r="IJ23" s="467"/>
      <c r="IK23" s="467"/>
      <c r="IL23" s="467"/>
      <c r="IM23" s="467"/>
      <c r="IN23" s="467"/>
      <c r="IO23" s="467"/>
    </row>
    <row r="24" spans="1:249" s="514" customFormat="1" ht="15" x14ac:dyDescent="0.25">
      <c r="A24" s="188" t="str">
        <f>+IF(NOVIEMBRE!A24=0,"",NOVIEMBRE!A24)</f>
        <v>1130101-2</v>
      </c>
      <c r="B24" s="189" t="str">
        <f>+IF(NOVIEMBRE!B24=0,"",NOVIEMBRE!B24)</f>
        <v>Vigencias Anteriores</v>
      </c>
      <c r="C24" s="456">
        <f>+ENERO!C24</f>
        <v>45404339</v>
      </c>
      <c r="D24" s="456">
        <f>NOVIEMBRE!D24+DICIEMBRE!P24</f>
        <v>0</v>
      </c>
      <c r="E24" s="456">
        <f>NOVIEMBRE!E24+DICIEMBRE!Q24</f>
        <v>0</v>
      </c>
      <c r="F24" s="170">
        <f>SUM(C24:E24)</f>
        <v>45404339</v>
      </c>
      <c r="G24" s="283">
        <f>NOVIEMBRE!I24</f>
        <v>96935305</v>
      </c>
      <c r="H24" s="457">
        <v>0</v>
      </c>
      <c r="I24" s="170">
        <f>SUM(G24:H24)</f>
        <v>96935305</v>
      </c>
      <c r="J24" s="283">
        <f>NOVIEMBRE!L24</f>
        <v>96935305</v>
      </c>
      <c r="K24" s="457">
        <v>0</v>
      </c>
      <c r="L24" s="170">
        <f>SUM(J24:K24)</f>
        <v>96935305</v>
      </c>
      <c r="M24" s="283">
        <f>F24-I24</f>
        <v>-51530966</v>
      </c>
      <c r="N24" s="170">
        <f>F24-L24</f>
        <v>-51530966</v>
      </c>
      <c r="O24" s="467"/>
      <c r="P24" s="455">
        <v>0</v>
      </c>
      <c r="Q24" s="458">
        <v>0</v>
      </c>
      <c r="R24" s="10"/>
      <c r="S24" s="156" t="str">
        <f>+IF(NOVIEMBRE!S24=0,"",NOVIEMBRE!S24)</f>
        <v>1010104-4</v>
      </c>
      <c r="T24" s="55" t="str">
        <f>+IF(NOVIEMBRE!T24=0,"",NOVIEMBRE!T24)</f>
        <v>Prima Clima</v>
      </c>
      <c r="U24" s="29">
        <f>+ENERO!U24</f>
        <v>0</v>
      </c>
      <c r="V24" s="17">
        <f>NOVIEMBRE!V24+DICIEMBRE!AL24</f>
        <v>0</v>
      </c>
      <c r="W24" s="17">
        <f>NOVIEMBRE!W24+DICIEMBRE!AM24</f>
        <v>0</v>
      </c>
      <c r="X24" s="20">
        <f t="shared" si="17"/>
        <v>0</v>
      </c>
      <c r="Y24" s="21">
        <f>NOVIEMBRE!AA24</f>
        <v>0</v>
      </c>
      <c r="Z24" s="457">
        <v>0</v>
      </c>
      <c r="AA24" s="20">
        <f t="shared" si="18"/>
        <v>0</v>
      </c>
      <c r="AB24" s="21">
        <f>NOVIEMBRE!AD24</f>
        <v>0</v>
      </c>
      <c r="AC24" s="457">
        <v>0</v>
      </c>
      <c r="AD24" s="20">
        <f t="shared" si="19"/>
        <v>0</v>
      </c>
      <c r="AE24" s="21">
        <f>NOVIEMBRE!AG24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235975007</v>
      </c>
      <c r="AR24" s="528">
        <f>AD35+AD83</f>
        <v>155739868</v>
      </c>
      <c r="AS24" s="528">
        <f>AG35+AG83</f>
        <v>120836935</v>
      </c>
      <c r="AT24" s="528"/>
      <c r="AU24" s="456">
        <f t="shared" si="25"/>
        <v>0.6599845889611522</v>
      </c>
      <c r="AV24" s="456">
        <f t="shared" si="26"/>
        <v>0.51207514107627505</v>
      </c>
      <c r="AW24" s="456">
        <f>(AR24-AD41-AD88)/$AO$2*12+AD41+AD88</f>
        <v>155739868</v>
      </c>
      <c r="AX24" s="456">
        <f>(AS24-AG41-AG88)/$AO$2*12+AG41+AG88</f>
        <v>120836935</v>
      </c>
      <c r="AY24" s="456">
        <f t="shared" si="27"/>
        <v>-80235139</v>
      </c>
      <c r="AZ24" s="170">
        <f t="shared" si="28"/>
        <v>115138072</v>
      </c>
      <c r="BA24" s="10"/>
      <c r="BB24" s="534"/>
      <c r="BC24" s="467"/>
      <c r="BD24" s="467"/>
      <c r="BE24" s="467"/>
      <c r="BF24" s="467"/>
      <c r="BG24" s="467"/>
      <c r="BH24" s="467"/>
      <c r="BI24" s="467"/>
      <c r="BJ24" s="467"/>
      <c r="BK24" s="467"/>
      <c r="BL24" s="467"/>
      <c r="BM24" s="164" t="s">
        <v>112</v>
      </c>
      <c r="BN24" s="101">
        <f>X170-X177-X174-X183-X191</f>
        <v>94660623</v>
      </c>
      <c r="BO24" s="99">
        <f>AA170-AA177-AA174-AA183-AA191</f>
        <v>42514944</v>
      </c>
      <c r="BP24" s="99">
        <f>AD170-AD177-AD174-AD183-AD191</f>
        <v>42514944</v>
      </c>
      <c r="BQ24" s="246">
        <f>AF170-AF177-AF174-AF183-AF191</f>
        <v>972432</v>
      </c>
      <c r="BR24" s="137">
        <f>+BQ24+NOVIEMBRE!BQ24+OCTUBRE!BQ24+SEPTIEMBRE!BQ24+AGOSTO!BQ24+JULIO!BQ24+JUNIO!BQ24+MAYO!BQ24+ABRIL!BQ24+MARZO!BQ24+FEBRERO!BQ24+ENERO!BQ24</f>
        <v>23382835</v>
      </c>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c r="CY24" s="467"/>
      <c r="CZ24" s="467"/>
      <c r="DA24" s="467"/>
      <c r="DB24" s="467"/>
      <c r="DC24" s="467"/>
      <c r="DD24" s="467"/>
      <c r="DE24" s="467"/>
      <c r="DF24" s="467"/>
      <c r="DG24" s="467"/>
      <c r="DH24" s="467"/>
      <c r="DI24" s="467"/>
      <c r="DJ24" s="467"/>
      <c r="DK24" s="467"/>
      <c r="DL24" s="467"/>
      <c r="DM24" s="467"/>
      <c r="DN24" s="467"/>
      <c r="DO24" s="467"/>
      <c r="DP24" s="467"/>
      <c r="DQ24" s="467"/>
      <c r="DR24" s="467"/>
      <c r="DS24" s="467"/>
      <c r="DT24" s="467"/>
      <c r="DU24" s="467"/>
      <c r="DV24" s="467"/>
      <c r="DW24" s="467"/>
      <c r="DX24" s="467"/>
      <c r="DY24" s="467"/>
      <c r="DZ24" s="467"/>
      <c r="EA24" s="467"/>
      <c r="EB24" s="467"/>
      <c r="EC24" s="467"/>
      <c r="ED24" s="467"/>
      <c r="EE24" s="467"/>
      <c r="EF24" s="467"/>
      <c r="EG24" s="467"/>
      <c r="EH24" s="467"/>
      <c r="EI24" s="467"/>
      <c r="EJ24" s="467"/>
      <c r="EK24" s="467"/>
      <c r="EL24" s="467"/>
      <c r="EM24" s="467"/>
      <c r="EN24" s="467"/>
      <c r="EO24" s="467"/>
      <c r="EP24" s="467"/>
      <c r="EQ24" s="467"/>
      <c r="ER24" s="467"/>
      <c r="ES24" s="467"/>
      <c r="ET24" s="467"/>
      <c r="EU24" s="467"/>
      <c r="EV24" s="467"/>
      <c r="EW24" s="467"/>
      <c r="EX24" s="467"/>
      <c r="EY24" s="467"/>
      <c r="EZ24" s="467"/>
      <c r="FA24" s="467"/>
      <c r="FB24" s="467"/>
      <c r="FC24" s="467"/>
      <c r="FD24" s="467"/>
      <c r="FE24" s="467"/>
      <c r="FF24" s="467"/>
      <c r="FG24" s="467"/>
      <c r="FH24" s="467"/>
      <c r="FI24" s="467"/>
      <c r="FJ24" s="467"/>
      <c r="FK24" s="467"/>
      <c r="FL24" s="467"/>
      <c r="FM24" s="467"/>
      <c r="FN24" s="467"/>
      <c r="FO24" s="467"/>
      <c r="FP24" s="467"/>
      <c r="FQ24" s="467"/>
      <c r="FR24" s="467"/>
      <c r="FS24" s="467"/>
      <c r="FT24" s="467"/>
      <c r="FU24" s="467"/>
      <c r="FV24" s="467"/>
      <c r="FW24" s="467"/>
      <c r="FX24" s="467"/>
      <c r="FY24" s="467"/>
      <c r="FZ24" s="467"/>
      <c r="GA24" s="467"/>
      <c r="GB24" s="467"/>
      <c r="GC24" s="467"/>
      <c r="GD24" s="467"/>
      <c r="GE24" s="467"/>
      <c r="GF24" s="467"/>
      <c r="GG24" s="467"/>
      <c r="GH24" s="467"/>
      <c r="GI24" s="467"/>
      <c r="GJ24" s="467"/>
      <c r="GK24" s="467"/>
      <c r="GL24" s="467"/>
      <c r="GM24" s="467"/>
      <c r="GN24" s="467"/>
      <c r="GO24" s="467"/>
      <c r="GP24" s="467"/>
      <c r="GQ24" s="467"/>
      <c r="GR24" s="467"/>
      <c r="GS24" s="467"/>
      <c r="GT24" s="467"/>
      <c r="GU24" s="467"/>
      <c r="GV24" s="467"/>
      <c r="GW24" s="467"/>
      <c r="GX24" s="467"/>
      <c r="GY24" s="467"/>
      <c r="GZ24" s="467"/>
      <c r="HA24" s="467"/>
      <c r="HB24" s="467"/>
      <c r="HC24" s="467"/>
      <c r="HD24" s="467"/>
      <c r="HE24" s="467"/>
      <c r="HF24" s="467"/>
      <c r="HG24" s="467"/>
      <c r="HH24" s="467"/>
      <c r="HI24" s="467"/>
      <c r="HJ24" s="467"/>
      <c r="HK24" s="467"/>
      <c r="HL24" s="467"/>
      <c r="HM24" s="467"/>
      <c r="HN24" s="467"/>
      <c r="HO24" s="467"/>
      <c r="HP24" s="467"/>
      <c r="HQ24" s="467"/>
      <c r="HR24" s="467"/>
      <c r="HS24" s="467"/>
      <c r="HT24" s="467"/>
      <c r="HU24" s="467"/>
      <c r="HV24" s="467"/>
      <c r="HW24" s="467"/>
      <c r="HX24" s="467"/>
      <c r="HY24" s="467"/>
      <c r="HZ24" s="467"/>
      <c r="IA24" s="467"/>
      <c r="IB24" s="467"/>
      <c r="IC24" s="467"/>
      <c r="ID24" s="467"/>
      <c r="IE24" s="467"/>
      <c r="IF24" s="467"/>
      <c r="IG24" s="467"/>
      <c r="IH24" s="467"/>
      <c r="II24" s="467"/>
      <c r="IJ24" s="467"/>
      <c r="IK24" s="467"/>
      <c r="IL24" s="467"/>
      <c r="IM24" s="467"/>
      <c r="IN24" s="467"/>
      <c r="IO24" s="467"/>
    </row>
    <row r="25" spans="1:249" s="467" customFormat="1" ht="15" x14ac:dyDescent="0.25">
      <c r="A25" s="57">
        <f>+IF(NOVIEMBRE!A25=0,"",NOVIEMBRE!A25)</f>
        <v>1130102</v>
      </c>
      <c r="B25" s="45" t="str">
        <f>+IF(NOVIEMBRE!B25=0,"",NOVIEMBRE!B25)</f>
        <v>ARS - REGIMEN SUBSIDIADO</v>
      </c>
      <c r="C25" s="53">
        <f t="shared" ref="C25:N25" si="29">SUM(C26:C27)</f>
        <v>2553198704</v>
      </c>
      <c r="D25" s="53">
        <f t="shared" si="29"/>
        <v>0</v>
      </c>
      <c r="E25" s="53">
        <f t="shared" si="29"/>
        <v>154000000</v>
      </c>
      <c r="F25" s="54">
        <f t="shared" si="29"/>
        <v>2707198704</v>
      </c>
      <c r="G25" s="52">
        <f t="shared" si="29"/>
        <v>2486992935</v>
      </c>
      <c r="H25" s="53">
        <f t="shared" si="29"/>
        <v>249099341</v>
      </c>
      <c r="I25" s="54">
        <f t="shared" si="29"/>
        <v>2736092276</v>
      </c>
      <c r="J25" s="52">
        <f t="shared" si="29"/>
        <v>2233960063</v>
      </c>
      <c r="K25" s="53">
        <f t="shared" si="29"/>
        <v>194922184</v>
      </c>
      <c r="L25" s="54">
        <f t="shared" si="29"/>
        <v>2428882247</v>
      </c>
      <c r="M25" s="52">
        <f t="shared" si="29"/>
        <v>-28893572</v>
      </c>
      <c r="N25" s="54">
        <f t="shared" si="29"/>
        <v>278316457</v>
      </c>
      <c r="P25" s="52">
        <f>SUM(P26:P27)</f>
        <v>0</v>
      </c>
      <c r="Q25" s="54">
        <f>SUM(Q26:Q27)</f>
        <v>0</v>
      </c>
      <c r="R25" s="10"/>
      <c r="S25" s="156" t="str">
        <f>+IF(NOVIEMBRE!S25=0,"",NOVIEMBRE!S25)</f>
        <v>1010104-5</v>
      </c>
      <c r="T25" s="55" t="str">
        <f>+IF(NOVIEMBRE!T25=0,"",NOVIEMBRE!T25)</f>
        <v>Prima de Servicios</v>
      </c>
      <c r="U25" s="29">
        <f>+ENERO!U25</f>
        <v>0</v>
      </c>
      <c r="V25" s="17">
        <f>NOVIEMBRE!V25+DICIEMBRE!AL25</f>
        <v>0</v>
      </c>
      <c r="W25" s="17">
        <f>NOVIEMBRE!W25+DICIEMBRE!AM25</f>
        <v>0</v>
      </c>
      <c r="X25" s="20">
        <f t="shared" si="17"/>
        <v>0</v>
      </c>
      <c r="Y25" s="21">
        <f>NOVIEMBRE!AA25</f>
        <v>0</v>
      </c>
      <c r="Z25" s="457">
        <v>0</v>
      </c>
      <c r="AA25" s="20">
        <f t="shared" si="18"/>
        <v>0</v>
      </c>
      <c r="AB25" s="21">
        <f>NOVIEMBRE!AD25</f>
        <v>0</v>
      </c>
      <c r="AC25" s="457">
        <v>0</v>
      </c>
      <c r="AD25" s="20">
        <f t="shared" si="19"/>
        <v>0</v>
      </c>
      <c r="AE25" s="21">
        <f>NOVIEMBRE!AG25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550944950</v>
      </c>
      <c r="AS25" s="456">
        <f>AG43+AG57+AG90+AG104</f>
        <v>517205617</v>
      </c>
      <c r="AT25" s="528"/>
      <c r="AU25" s="456">
        <f t="shared" si="25"/>
        <v>0.96221529878435108</v>
      </c>
      <c r="AV25" s="456">
        <f t="shared" si="26"/>
        <v>0.90329016954343555</v>
      </c>
      <c r="AW25" s="456">
        <f>(AR25-AD55-AD61-AD102-AD108)/$AO$2*12+AD55+AD61+AD102+AD108</f>
        <v>550944950</v>
      </c>
      <c r="AX25" s="456">
        <f>(AS25-AG55-AG61-AG102-AG108)/$AO$2*12+AG55+AG61+AG102+AG108</f>
        <v>517205617</v>
      </c>
      <c r="AY25" s="456">
        <f t="shared" si="27"/>
        <v>-21634753</v>
      </c>
      <c r="AZ25" s="170">
        <f t="shared" si="28"/>
        <v>55374086</v>
      </c>
      <c r="BM25" s="167" t="s">
        <v>475</v>
      </c>
      <c r="BN25" s="124">
        <f>+SUM(BN26:BN28)</f>
        <v>360675926</v>
      </c>
      <c r="BO25" s="125">
        <f>+SUM(BO26:BO28)</f>
        <v>291560632</v>
      </c>
      <c r="BP25" s="125">
        <f>+SUM(BP26:BP28)</f>
        <v>291560631</v>
      </c>
      <c r="BQ25" s="248">
        <f>+SUM(BQ26:BQ28)</f>
        <v>40722564</v>
      </c>
      <c r="BR25" s="137">
        <f>+SUM(BR26:BR28)</f>
        <v>238158474</v>
      </c>
    </row>
    <row r="26" spans="1:249" s="10" customFormat="1" ht="15" x14ac:dyDescent="0.25">
      <c r="A26" s="188" t="str">
        <f>+IF(NOVIEMBRE!A26=0,"",NOVIEMBRE!A26)</f>
        <v>1130102-1</v>
      </c>
      <c r="B26" s="189" t="str">
        <f>+CONCATENATE("Vigencia ",INSTRUCCIONES!$F$3)</f>
        <v>Vigencia 2014</v>
      </c>
      <c r="C26" s="456">
        <f>+ENERO!C26</f>
        <v>2490198704</v>
      </c>
      <c r="D26" s="456">
        <f>NOVIEMBRE!D26+DICIEMBRE!P26</f>
        <v>0</v>
      </c>
      <c r="E26" s="456">
        <f>NOVIEMBRE!E26+DICIEMBRE!Q26</f>
        <v>0</v>
      </c>
      <c r="F26" s="170">
        <f>SUM(C26:E26)</f>
        <v>2490198704</v>
      </c>
      <c r="G26" s="283">
        <f>NOVIEMBRE!I26</f>
        <v>2266816788</v>
      </c>
      <c r="H26" s="457">
        <v>249099341</v>
      </c>
      <c r="I26" s="170">
        <f>SUM(G26:H26)</f>
        <v>2515916129</v>
      </c>
      <c r="J26" s="283">
        <f>NOVIEMBRE!L26</f>
        <v>2013783916</v>
      </c>
      <c r="K26" s="457">
        <v>194922184</v>
      </c>
      <c r="L26" s="170">
        <f>SUM(J26:K26)</f>
        <v>2208706100</v>
      </c>
      <c r="M26" s="283">
        <f>F26-I26</f>
        <v>-25717425</v>
      </c>
      <c r="N26" s="170">
        <f>F26-L26</f>
        <v>281492604</v>
      </c>
      <c r="P26" s="455">
        <v>0</v>
      </c>
      <c r="Q26" s="458">
        <v>0</v>
      </c>
      <c r="S26" s="156" t="str">
        <f>+IF(NOVIEMBRE!S26=0,"",NOVIEMBRE!S26)</f>
        <v>1010104-8</v>
      </c>
      <c r="T26" s="55" t="str">
        <f>+IF(NOVIEMBRE!T26=0,"",NOVIEMBRE!T26)</f>
        <v>Bonific. por Servicios Prestados (Convencional)</v>
      </c>
      <c r="U26" s="29">
        <f>+ENERO!U26</f>
        <v>0</v>
      </c>
      <c r="V26" s="17">
        <f>NOVIEMBRE!V26+DICIEMBRE!AL26</f>
        <v>0</v>
      </c>
      <c r="W26" s="17">
        <f>NOVIEMBRE!W26+DICIEMBRE!AM26</f>
        <v>0</v>
      </c>
      <c r="X26" s="20">
        <f t="shared" si="17"/>
        <v>0</v>
      </c>
      <c r="Y26" s="21">
        <f>NOVIEMBRE!AA26</f>
        <v>0</v>
      </c>
      <c r="Z26" s="457">
        <v>0</v>
      </c>
      <c r="AA26" s="20">
        <f t="shared" si="18"/>
        <v>0</v>
      </c>
      <c r="AB26" s="21">
        <f>NOVIEMBRE!AD26</f>
        <v>0</v>
      </c>
      <c r="AC26" s="457">
        <v>0</v>
      </c>
      <c r="AD26" s="20">
        <f t="shared" si="19"/>
        <v>0</v>
      </c>
      <c r="AE26" s="21">
        <f>NOVIEMBRE!AG26</f>
        <v>0</v>
      </c>
      <c r="AF26" s="457">
        <v>0</v>
      </c>
      <c r="AG26" s="20">
        <f t="shared" si="20"/>
        <v>0</v>
      </c>
      <c r="AH26" s="21">
        <f t="shared" si="21"/>
        <v>0</v>
      </c>
      <c r="AI26" s="17">
        <f t="shared" si="22"/>
        <v>0</v>
      </c>
      <c r="AJ26" s="18">
        <f t="shared" si="23"/>
        <v>0</v>
      </c>
      <c r="AL26" s="455">
        <v>0</v>
      </c>
      <c r="AM26" s="458">
        <v>0</v>
      </c>
      <c r="AO26" s="23"/>
      <c r="AP26" s="536" t="s">
        <v>122</v>
      </c>
      <c r="AQ26" s="401">
        <f>X110</f>
        <v>768954629</v>
      </c>
      <c r="AR26" s="401">
        <f>AD110</f>
        <v>679849097</v>
      </c>
      <c r="AS26" s="401">
        <f>AG110</f>
        <v>612202342</v>
      </c>
      <c r="AT26" s="454">
        <f>AO2/12</f>
        <v>1</v>
      </c>
      <c r="AU26" s="419">
        <f t="shared" si="25"/>
        <v>0.8841212099654322</v>
      </c>
      <c r="AV26" s="419">
        <f t="shared" si="26"/>
        <v>0.79614884794457752</v>
      </c>
      <c r="AW26" s="533">
        <f>(AR26-AD121-AD139-AD143-AD153-AD168)/$AO$2*12+AD121+AD139+AD143+AD153+AD168</f>
        <v>679849097</v>
      </c>
      <c r="AX26" s="533">
        <f>(AS26-AG121-AG139-AG143-AG153-AG168)/$AO$2*12+AG121+AG139+AG143+AG153+AG168</f>
        <v>612202342</v>
      </c>
      <c r="AY26" s="533">
        <f t="shared" si="27"/>
        <v>-89105532</v>
      </c>
      <c r="AZ26" s="62">
        <f t="shared" si="28"/>
        <v>156752287</v>
      </c>
      <c r="BA26" s="467"/>
      <c r="BB26" s="467"/>
      <c r="BC26" s="467"/>
      <c r="BD26" s="467"/>
      <c r="BE26" s="467"/>
      <c r="BF26" s="467"/>
      <c r="BG26" s="467"/>
      <c r="BH26" s="467"/>
      <c r="BI26" s="467"/>
      <c r="BJ26" s="467"/>
      <c r="BK26" s="467"/>
      <c r="BM26" s="127" t="s">
        <v>476</v>
      </c>
      <c r="BN26" s="104">
        <f>+X196+X212</f>
        <v>208038050</v>
      </c>
      <c r="BO26" s="102">
        <f>+AA196+AA212</f>
        <v>178067228</v>
      </c>
      <c r="BP26" s="102">
        <f>+AD196+AD212</f>
        <v>178067228</v>
      </c>
      <c r="BQ26" s="247">
        <f>+AF196+AF212</f>
        <v>28881825</v>
      </c>
      <c r="BR26" s="137">
        <f>+BQ26+NOVIEMBRE!BQ26+OCTUBRE!BQ26+SEPTIEMBRE!BQ26+AGOSTO!BQ26+JULIO!BQ26+JUNIO!BQ26+MAYO!BQ26+ABRIL!BQ26+MARZO!BQ26+FEBRERO!BQ26+ENERO!BQ26</f>
        <v>145296164</v>
      </c>
    </row>
    <row r="27" spans="1:249" s="514" customFormat="1" ht="15" x14ac:dyDescent="0.25">
      <c r="A27" s="188" t="str">
        <f>+IF(NOVIEMBRE!A27=0,"",NOVIEMBRE!A27)</f>
        <v>1130102-2</v>
      </c>
      <c r="B27" s="189" t="str">
        <f>+IF(NOVIEMBRE!B27=0,"",NOVIEMBRE!B27)</f>
        <v>Vigencias Anteriores</v>
      </c>
      <c r="C27" s="456">
        <f>+ENERO!C27</f>
        <v>63000000</v>
      </c>
      <c r="D27" s="456">
        <f>NOVIEMBRE!D27+DICIEMBRE!P27</f>
        <v>0</v>
      </c>
      <c r="E27" s="456">
        <f>NOVIEMBRE!E27+DICIEMBRE!Q27</f>
        <v>154000000</v>
      </c>
      <c r="F27" s="170">
        <f>SUM(C27:E27)</f>
        <v>217000000</v>
      </c>
      <c r="G27" s="283">
        <f>NOVIEMBRE!I27</f>
        <v>220176147</v>
      </c>
      <c r="H27" s="457"/>
      <c r="I27" s="170">
        <f>SUM(G27:H27)</f>
        <v>220176147</v>
      </c>
      <c r="J27" s="283">
        <f>NOVIEMBRE!L27</f>
        <v>220176147</v>
      </c>
      <c r="K27" s="457">
        <v>0</v>
      </c>
      <c r="L27" s="170">
        <f>SUM(J27:K27)</f>
        <v>220176147</v>
      </c>
      <c r="M27" s="283">
        <f>F27-I27</f>
        <v>-3176147</v>
      </c>
      <c r="N27" s="170">
        <f>F27-L27</f>
        <v>-3176147</v>
      </c>
      <c r="O27" s="467"/>
      <c r="P27" s="455">
        <v>0</v>
      </c>
      <c r="Q27" s="458">
        <v>0</v>
      </c>
      <c r="R27" s="10"/>
      <c r="S27" s="156" t="str">
        <f>+IF(NOVIEMBRE!S27=0,"",NOVIEMBRE!S27)</f>
        <v>1010104-9</v>
      </c>
      <c r="T27" s="55" t="str">
        <f>+IF(NOVIEMBRE!T27=0,"",NOVIEMBRE!T27)</f>
        <v>Auxilio de Transporte</v>
      </c>
      <c r="U27" s="29">
        <f>+ENERO!U27</f>
        <v>0</v>
      </c>
      <c r="V27" s="17">
        <f>NOVIEMBRE!V27+DICIEMBRE!AL27</f>
        <v>0</v>
      </c>
      <c r="W27" s="17">
        <f>NOVIEMBRE!W27+DICIEMBRE!AM27</f>
        <v>0</v>
      </c>
      <c r="X27" s="20">
        <f t="shared" si="17"/>
        <v>0</v>
      </c>
      <c r="Y27" s="21">
        <f>NOVIEMBRE!AA27</f>
        <v>0</v>
      </c>
      <c r="Z27" s="457">
        <v>0</v>
      </c>
      <c r="AA27" s="20">
        <f t="shared" si="18"/>
        <v>0</v>
      </c>
      <c r="AB27" s="21">
        <f>NOVIEMBRE!AD27</f>
        <v>0</v>
      </c>
      <c r="AC27" s="457">
        <v>0</v>
      </c>
      <c r="AD27" s="20">
        <f t="shared" si="19"/>
        <v>0</v>
      </c>
      <c r="AE27" s="21">
        <f>NOVIEMBRE!AG27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205581543</v>
      </c>
      <c r="AR27" s="456">
        <f>AD170</f>
        <v>152284511</v>
      </c>
      <c r="AS27" s="456">
        <f>AG170</f>
        <v>132021010</v>
      </c>
      <c r="AT27" s="528"/>
      <c r="AU27" s="456">
        <f t="shared" si="25"/>
        <v>0.74074991741841334</v>
      </c>
      <c r="AV27" s="456">
        <f t="shared" si="26"/>
        <v>0.64218318470350233</v>
      </c>
      <c r="AW27" s="456">
        <f>(AR27-AD174-AD183-AD191)/$AO$2*12+AD174+AD183+AD191</f>
        <v>152284511</v>
      </c>
      <c r="AX27" s="456">
        <f>(AS27-AG174-AG183-AG191)/$AO$2*12+AG174+AG183+AG191</f>
        <v>132021010</v>
      </c>
      <c r="AY27" s="456">
        <f t="shared" si="27"/>
        <v>-53297032</v>
      </c>
      <c r="AZ27" s="170">
        <f t="shared" si="28"/>
        <v>73560533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247">
        <f>+AF209-AF212-AF218</f>
        <v>0</v>
      </c>
      <c r="BR27" s="137">
        <f>+BQ27+NOVIEMBRE!BQ27+OCTUBRE!BQ27+SEPTIEMBRE!BQ27+AGOSTO!BQ27+JULIO!BQ27+JUNIO!BQ27+MAYO!BQ27+ABRIL!BQ27+MARZO!BQ27+FEBRERO!BQ27+ENERO!BQ27</f>
        <v>0</v>
      </c>
      <c r="BS27" s="467"/>
      <c r="BT27" s="467"/>
      <c r="BU27" s="467"/>
      <c r="BV27" s="467"/>
      <c r="BW27" s="467"/>
      <c r="BX27" s="467"/>
      <c r="BY27" s="467"/>
      <c r="BZ27" s="467"/>
      <c r="CA27" s="467"/>
      <c r="CB27" s="467"/>
      <c r="CC27" s="467"/>
      <c r="CD27" s="467"/>
      <c r="CE27" s="467"/>
      <c r="CF27" s="467"/>
      <c r="CG27" s="467"/>
      <c r="CH27" s="467"/>
      <c r="CI27" s="467"/>
      <c r="CJ27" s="467"/>
      <c r="CK27" s="467"/>
      <c r="CL27" s="467"/>
      <c r="CM27" s="467"/>
      <c r="CN27" s="467"/>
      <c r="CO27" s="467"/>
      <c r="CP27" s="467"/>
      <c r="CQ27" s="467"/>
      <c r="CR27" s="467"/>
      <c r="CS27" s="467"/>
      <c r="CT27" s="467"/>
      <c r="CU27" s="467"/>
      <c r="CV27" s="467"/>
      <c r="CW27" s="467"/>
      <c r="CX27" s="467"/>
      <c r="CY27" s="467"/>
      <c r="CZ27" s="467"/>
      <c r="DA27" s="467"/>
      <c r="DB27" s="467"/>
      <c r="DC27" s="467"/>
      <c r="DD27" s="467"/>
      <c r="DE27" s="467"/>
      <c r="DF27" s="467"/>
      <c r="DG27" s="467"/>
      <c r="DH27" s="467"/>
      <c r="DI27" s="467"/>
      <c r="DJ27" s="467"/>
      <c r="DK27" s="467"/>
      <c r="DL27" s="467"/>
      <c r="DM27" s="467"/>
      <c r="DN27" s="467"/>
      <c r="DO27" s="467"/>
      <c r="DP27" s="467"/>
      <c r="DQ27" s="467"/>
      <c r="DR27" s="467"/>
      <c r="DS27" s="467"/>
      <c r="DT27" s="467"/>
      <c r="DU27" s="467"/>
      <c r="DV27" s="467"/>
      <c r="DW27" s="467"/>
      <c r="DX27" s="467"/>
      <c r="DY27" s="467"/>
      <c r="DZ27" s="467"/>
      <c r="EA27" s="467"/>
      <c r="EB27" s="467"/>
      <c r="EC27" s="467"/>
      <c r="ED27" s="467"/>
      <c r="EE27" s="467"/>
      <c r="EF27" s="467"/>
      <c r="EG27" s="467"/>
      <c r="EH27" s="467"/>
      <c r="EI27" s="467"/>
      <c r="EJ27" s="467"/>
      <c r="EK27" s="467"/>
      <c r="EL27" s="467"/>
      <c r="EM27" s="467"/>
      <c r="EN27" s="467"/>
      <c r="EO27" s="467"/>
      <c r="EP27" s="467"/>
      <c r="EQ27" s="467"/>
      <c r="ER27" s="467"/>
      <c r="ES27" s="467"/>
      <c r="ET27" s="467"/>
      <c r="EU27" s="467"/>
      <c r="EV27" s="467"/>
      <c r="EW27" s="467"/>
      <c r="EX27" s="467"/>
      <c r="EY27" s="467"/>
      <c r="EZ27" s="467"/>
      <c r="FA27" s="467"/>
      <c r="FB27" s="467"/>
      <c r="FC27" s="467"/>
      <c r="FD27" s="467"/>
      <c r="FE27" s="467"/>
      <c r="FF27" s="467"/>
      <c r="FG27" s="467"/>
      <c r="FH27" s="467"/>
      <c r="FI27" s="467"/>
      <c r="FJ27" s="467"/>
      <c r="FK27" s="467"/>
      <c r="FL27" s="467"/>
      <c r="FM27" s="467"/>
      <c r="FN27" s="467"/>
      <c r="FO27" s="467"/>
      <c r="FP27" s="467"/>
      <c r="FQ27" s="467"/>
      <c r="FR27" s="467"/>
      <c r="FS27" s="467"/>
      <c r="FT27" s="467"/>
      <c r="FU27" s="467"/>
      <c r="FV27" s="467"/>
      <c r="FW27" s="467"/>
      <c r="FX27" s="467"/>
      <c r="FY27" s="467"/>
      <c r="FZ27" s="467"/>
      <c r="GA27" s="467"/>
      <c r="GB27" s="467"/>
      <c r="GC27" s="467"/>
      <c r="GD27" s="467"/>
      <c r="GE27" s="467"/>
      <c r="GF27" s="467"/>
      <c r="GG27" s="467"/>
      <c r="GH27" s="467"/>
      <c r="GI27" s="467"/>
      <c r="GJ27" s="467"/>
      <c r="GK27" s="467"/>
      <c r="GL27" s="467"/>
      <c r="GM27" s="467"/>
      <c r="GN27" s="467"/>
      <c r="GO27" s="467"/>
      <c r="GP27" s="467"/>
      <c r="GQ27" s="467"/>
      <c r="GR27" s="467"/>
      <c r="GS27" s="467"/>
      <c r="GT27" s="467"/>
      <c r="GU27" s="467"/>
      <c r="GV27" s="467"/>
      <c r="GW27" s="467"/>
      <c r="GX27" s="467"/>
      <c r="GY27" s="467"/>
      <c r="GZ27" s="467"/>
      <c r="HA27" s="467"/>
      <c r="HB27" s="467"/>
      <c r="HC27" s="467"/>
      <c r="HD27" s="467"/>
      <c r="HE27" s="467"/>
      <c r="HF27" s="467"/>
      <c r="HG27" s="467"/>
      <c r="HH27" s="467"/>
      <c r="HI27" s="467"/>
      <c r="HJ27" s="467"/>
      <c r="HK27" s="467"/>
      <c r="HL27" s="467"/>
      <c r="HM27" s="467"/>
      <c r="HN27" s="467"/>
      <c r="HO27" s="467"/>
      <c r="HP27" s="467"/>
      <c r="HQ27" s="467"/>
      <c r="HR27" s="467"/>
      <c r="HS27" s="467"/>
      <c r="HT27" s="467"/>
      <c r="HU27" s="467"/>
      <c r="HV27" s="467"/>
      <c r="HW27" s="467"/>
      <c r="HX27" s="467"/>
      <c r="HY27" s="467"/>
      <c r="HZ27" s="467"/>
      <c r="IA27" s="467"/>
      <c r="IB27" s="467"/>
      <c r="IC27" s="467"/>
      <c r="ID27" s="467"/>
      <c r="IE27" s="467"/>
      <c r="IF27" s="467"/>
      <c r="IG27" s="467"/>
      <c r="IH27" s="467"/>
      <c r="II27" s="467"/>
      <c r="IJ27" s="467"/>
      <c r="IK27" s="467"/>
      <c r="IL27" s="467"/>
      <c r="IM27" s="467"/>
      <c r="IN27" s="467"/>
      <c r="IO27" s="467"/>
    </row>
    <row r="28" spans="1:249" s="514" customFormat="1" ht="22.5" x14ac:dyDescent="0.25">
      <c r="A28" s="57">
        <f>+IF(NOVIEMBRE!A28=0,"",NOVIEMBRE!A28)</f>
        <v>1130103</v>
      </c>
      <c r="B28" s="60" t="str">
        <f>+IF(NOVIEMBRE!B28=0,"",NOVIEMBRE!B28)</f>
        <v>SUBSIDIO A LA OFERTA- ATENCION PERSONAS POBRES NO CUBIERTOS CON SUBSIDIO A LA DEMANDA</v>
      </c>
      <c r="C28" s="53">
        <f t="shared" ref="C28:I28" si="30">C29+C32+C35</f>
        <v>227076373</v>
      </c>
      <c r="D28" s="53">
        <f t="shared" si="30"/>
        <v>-227076373</v>
      </c>
      <c r="E28" s="53">
        <f t="shared" si="30"/>
        <v>0</v>
      </c>
      <c r="F28" s="54">
        <f t="shared" si="30"/>
        <v>0</v>
      </c>
      <c r="G28" s="52">
        <f t="shared" si="30"/>
        <v>0</v>
      </c>
      <c r="H28" s="53">
        <f t="shared" si="30"/>
        <v>0</v>
      </c>
      <c r="I28" s="54">
        <f t="shared" si="30"/>
        <v>0</v>
      </c>
      <c r="J28" s="52">
        <f>J29+J32+J35+J38+J39+J40</f>
        <v>0</v>
      </c>
      <c r="K28" s="53">
        <f>K29+K32+K35</f>
        <v>0</v>
      </c>
      <c r="L28" s="54">
        <f>L29+L32+L35</f>
        <v>0</v>
      </c>
      <c r="M28" s="52">
        <f>M29+M32+M35</f>
        <v>0</v>
      </c>
      <c r="N28" s="54">
        <f>N29+N32+N35</f>
        <v>0</v>
      </c>
      <c r="O28" s="467"/>
      <c r="P28" s="52">
        <f>P29+P32+P35</f>
        <v>0</v>
      </c>
      <c r="Q28" s="54">
        <f>Q29+Q32+Q35</f>
        <v>0</v>
      </c>
      <c r="R28" s="10"/>
      <c r="S28" s="156" t="str">
        <f>+IF(NOVIEMBRE!S28=0,"",NOVIEMBRE!S28)</f>
        <v>1010104-10</v>
      </c>
      <c r="T28" s="55" t="str">
        <f>+IF(NOVIEMBRE!T28=0,"",NOVIEMBRE!T28)</f>
        <v>Subsidio de Alimentación</v>
      </c>
      <c r="U28" s="29">
        <f>+ENERO!U28</f>
        <v>9130335</v>
      </c>
      <c r="V28" s="17">
        <f>NOVIEMBRE!V28+DICIEMBRE!AL28</f>
        <v>0</v>
      </c>
      <c r="W28" s="17">
        <f>NOVIEMBRE!W28+DICIEMBRE!AM28</f>
        <v>0</v>
      </c>
      <c r="X28" s="20">
        <f t="shared" si="17"/>
        <v>9130335</v>
      </c>
      <c r="Y28" s="21">
        <f>NOVIEMBRE!AA28</f>
        <v>8403861</v>
      </c>
      <c r="Z28" s="457">
        <v>708278</v>
      </c>
      <c r="AA28" s="20">
        <f t="shared" si="18"/>
        <v>9112139</v>
      </c>
      <c r="AB28" s="21">
        <f>NOVIEMBRE!AD28</f>
        <v>8403861</v>
      </c>
      <c r="AC28" s="457">
        <v>708278</v>
      </c>
      <c r="AD28" s="20">
        <f t="shared" si="19"/>
        <v>9112139</v>
      </c>
      <c r="AE28" s="21">
        <f>NOVIEMBRE!AG28</f>
        <v>8403861</v>
      </c>
      <c r="AF28" s="457">
        <v>708278</v>
      </c>
      <c r="AG28" s="20">
        <f t="shared" si="20"/>
        <v>9112139</v>
      </c>
      <c r="AH28" s="21">
        <f t="shared" si="21"/>
        <v>18196</v>
      </c>
      <c r="AI28" s="17">
        <f t="shared" si="22"/>
        <v>18196</v>
      </c>
      <c r="AJ28" s="18">
        <f t="shared" si="23"/>
        <v>18196</v>
      </c>
      <c r="AK28" s="10"/>
      <c r="AL28" s="455">
        <v>0</v>
      </c>
      <c r="AM28" s="458">
        <v>0</v>
      </c>
      <c r="AN28" s="10"/>
      <c r="AO28" s="428"/>
      <c r="AP28" s="535" t="s">
        <v>129</v>
      </c>
      <c r="AQ28" s="528">
        <f>X193</f>
        <v>420893217</v>
      </c>
      <c r="AR28" s="528">
        <f>AD193</f>
        <v>351777922</v>
      </c>
      <c r="AS28" s="528">
        <f>AG193</f>
        <v>298375765</v>
      </c>
      <c r="AT28" s="528"/>
      <c r="AU28" s="456">
        <f t="shared" si="25"/>
        <v>0.83578900251081978</v>
      </c>
      <c r="AV28" s="456">
        <f t="shared" si="26"/>
        <v>0.70891084234317803</v>
      </c>
      <c r="AW28" s="456">
        <f>(AR28-AD205)/$AO$2*12+AD205</f>
        <v>351777922</v>
      </c>
      <c r="AX28" s="456">
        <f>(AS28-AG205)/$AO$2*12+AG205</f>
        <v>298375765</v>
      </c>
      <c r="AY28" s="456">
        <f t="shared" si="27"/>
        <v>-69115295</v>
      </c>
      <c r="AZ28" s="170">
        <f t="shared" si="28"/>
        <v>122517452</v>
      </c>
      <c r="BA28" s="467"/>
      <c r="BB28" s="467"/>
      <c r="BC28" s="467"/>
      <c r="BD28" s="467"/>
      <c r="BE28" s="467"/>
      <c r="BF28" s="467"/>
      <c r="BG28" s="467"/>
      <c r="BH28" s="467"/>
      <c r="BI28" s="467"/>
      <c r="BJ28" s="467"/>
      <c r="BK28" s="467"/>
      <c r="BL28" s="467"/>
      <c r="BM28" s="89" t="s">
        <v>478</v>
      </c>
      <c r="BN28" s="101">
        <f>+X194-X196-X205</f>
        <v>152637876</v>
      </c>
      <c r="BO28" s="99">
        <f>+AA194-AA196-AA205</f>
        <v>113493404</v>
      </c>
      <c r="BP28" s="99">
        <f>+AD194-AD196-AD205</f>
        <v>113493403</v>
      </c>
      <c r="BQ28" s="246">
        <f>+AF194-AF196-AF205</f>
        <v>11840739</v>
      </c>
      <c r="BR28" s="137">
        <f>+BQ28+NOVIEMBRE!BQ28+OCTUBRE!BQ28+SEPTIEMBRE!BQ28+AGOSTO!BQ28+JULIO!BQ28+JUNIO!BQ28+MAYO!BQ28+ABRIL!BQ28+MARZO!BQ28+FEBRERO!BQ28+ENERO!BQ28</f>
        <v>92862310</v>
      </c>
      <c r="BS28" s="467"/>
      <c r="BT28" s="467"/>
      <c r="BU28" s="467"/>
      <c r="BV28" s="467"/>
      <c r="BW28" s="467"/>
      <c r="BX28" s="467"/>
      <c r="BY28" s="467"/>
      <c r="BZ28" s="467"/>
      <c r="CA28" s="467"/>
      <c r="CB28" s="467"/>
      <c r="CC28" s="467"/>
      <c r="CD28" s="467"/>
      <c r="CE28" s="467"/>
      <c r="CF28" s="467"/>
      <c r="CG28" s="467"/>
      <c r="CH28" s="467"/>
      <c r="CI28" s="467"/>
      <c r="CJ28" s="467"/>
      <c r="CK28" s="467"/>
      <c r="CL28" s="467"/>
      <c r="CM28" s="467"/>
      <c r="CN28" s="467"/>
      <c r="CO28" s="467"/>
      <c r="CP28" s="467"/>
      <c r="CQ28" s="467"/>
      <c r="CR28" s="467"/>
      <c r="CS28" s="467"/>
      <c r="CT28" s="467"/>
      <c r="CU28" s="467"/>
      <c r="CV28" s="467"/>
      <c r="CW28" s="467"/>
      <c r="CX28" s="467"/>
      <c r="CY28" s="467"/>
      <c r="CZ28" s="467"/>
      <c r="DA28" s="467"/>
      <c r="DB28" s="467"/>
      <c r="DC28" s="467"/>
      <c r="DD28" s="467"/>
      <c r="DE28" s="467"/>
      <c r="DF28" s="467"/>
      <c r="DG28" s="467"/>
      <c r="DH28" s="467"/>
      <c r="DI28" s="467"/>
      <c r="DJ28" s="467"/>
      <c r="DK28" s="467"/>
      <c r="DL28" s="467"/>
      <c r="DM28" s="467"/>
      <c r="DN28" s="467"/>
      <c r="DO28" s="467"/>
      <c r="DP28" s="467"/>
      <c r="DQ28" s="467"/>
      <c r="DR28" s="467"/>
      <c r="DS28" s="467"/>
      <c r="DT28" s="467"/>
      <c r="DU28" s="467"/>
      <c r="DV28" s="467"/>
      <c r="DW28" s="467"/>
      <c r="DX28" s="467"/>
      <c r="DY28" s="467"/>
      <c r="DZ28" s="467"/>
      <c r="EA28" s="467"/>
      <c r="EB28" s="467"/>
      <c r="EC28" s="467"/>
      <c r="ED28" s="467"/>
      <c r="EE28" s="467"/>
      <c r="EF28" s="467"/>
      <c r="EG28" s="467"/>
      <c r="EH28" s="467"/>
      <c r="EI28" s="467"/>
      <c r="EJ28" s="467"/>
      <c r="EK28" s="467"/>
      <c r="EL28" s="467"/>
      <c r="EM28" s="467"/>
      <c r="EN28" s="467"/>
      <c r="EO28" s="467"/>
      <c r="EP28" s="467"/>
      <c r="EQ28" s="467"/>
      <c r="ER28" s="467"/>
      <c r="ES28" s="467"/>
      <c r="ET28" s="467"/>
      <c r="EU28" s="467"/>
      <c r="EV28" s="467"/>
      <c r="EW28" s="467"/>
      <c r="EX28" s="467"/>
      <c r="EY28" s="467"/>
      <c r="EZ28" s="467"/>
      <c r="FA28" s="467"/>
      <c r="FB28" s="467"/>
      <c r="FC28" s="467"/>
      <c r="FD28" s="467"/>
      <c r="FE28" s="467"/>
      <c r="FF28" s="467"/>
      <c r="FG28" s="467"/>
      <c r="FH28" s="467"/>
      <c r="FI28" s="467"/>
      <c r="FJ28" s="467"/>
      <c r="FK28" s="467"/>
      <c r="FL28" s="467"/>
      <c r="FM28" s="467"/>
      <c r="FN28" s="467"/>
      <c r="FO28" s="467"/>
      <c r="FP28" s="467"/>
      <c r="FQ28" s="467"/>
      <c r="FR28" s="467"/>
      <c r="FS28" s="467"/>
      <c r="FT28" s="467"/>
      <c r="FU28" s="467"/>
      <c r="FV28" s="467"/>
      <c r="FW28" s="467"/>
      <c r="FX28" s="467"/>
      <c r="FY28" s="467"/>
      <c r="FZ28" s="467"/>
      <c r="GA28" s="467"/>
      <c r="GB28" s="467"/>
      <c r="GC28" s="467"/>
      <c r="GD28" s="467"/>
      <c r="GE28" s="467"/>
      <c r="GF28" s="467"/>
      <c r="GG28" s="467"/>
      <c r="GH28" s="467"/>
      <c r="GI28" s="467"/>
      <c r="GJ28" s="467"/>
      <c r="GK28" s="467"/>
      <c r="GL28" s="467"/>
      <c r="GM28" s="467"/>
      <c r="GN28" s="467"/>
      <c r="GO28" s="467"/>
      <c r="GP28" s="467"/>
      <c r="GQ28" s="467"/>
      <c r="GR28" s="467"/>
      <c r="GS28" s="467"/>
      <c r="GT28" s="467"/>
      <c r="GU28" s="467"/>
      <c r="GV28" s="467"/>
      <c r="GW28" s="467"/>
      <c r="GX28" s="467"/>
      <c r="GY28" s="467"/>
      <c r="GZ28" s="467"/>
      <c r="HA28" s="467"/>
      <c r="HB28" s="467"/>
      <c r="HC28" s="467"/>
      <c r="HD28" s="467"/>
      <c r="HE28" s="467"/>
      <c r="HF28" s="467"/>
      <c r="HG28" s="467"/>
      <c r="HH28" s="467"/>
      <c r="HI28" s="467"/>
      <c r="HJ28" s="467"/>
      <c r="HK28" s="467"/>
      <c r="HL28" s="467"/>
      <c r="HM28" s="467"/>
      <c r="HN28" s="467"/>
      <c r="HO28" s="467"/>
      <c r="HP28" s="467"/>
      <c r="HQ28" s="467"/>
      <c r="HR28" s="467"/>
      <c r="HS28" s="467"/>
      <c r="HT28" s="467"/>
      <c r="HU28" s="467"/>
      <c r="HV28" s="467"/>
      <c r="HW28" s="467"/>
      <c r="HX28" s="467"/>
      <c r="HY28" s="467"/>
      <c r="HZ28" s="467"/>
      <c r="IA28" s="467"/>
      <c r="IB28" s="467"/>
      <c r="IC28" s="467"/>
      <c r="ID28" s="467"/>
      <c r="IE28" s="467"/>
      <c r="IF28" s="467"/>
      <c r="IG28" s="467"/>
      <c r="IH28" s="467"/>
      <c r="II28" s="467"/>
      <c r="IJ28" s="467"/>
      <c r="IK28" s="467"/>
      <c r="IL28" s="467"/>
      <c r="IM28" s="467"/>
      <c r="IN28" s="467"/>
      <c r="IO28" s="467"/>
    </row>
    <row r="29" spans="1:249" s="10" customFormat="1" ht="15" x14ac:dyDescent="0.25">
      <c r="A29" s="61" t="str">
        <f>+IF(NOVIEMBRE!A29=0,"",NOVIEMBRE!A29)</f>
        <v>1130103-1</v>
      </c>
      <c r="B29" s="62" t="str">
        <f>+IF(NOVIEMBRE!B29=0,"",NOVIEMBRE!B29)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+IF(NOVIEMBRE!S29=0,"",NOVIEMBRE!S29)</f>
        <v>1010104-11</v>
      </c>
      <c r="T29" s="55" t="str">
        <f>+IF(NOVIEMBRE!T29=0,"",NOVIEMBRE!T29)</f>
        <v>Gastos de Representación</v>
      </c>
      <c r="U29" s="29">
        <f>+ENERO!U29</f>
        <v>0</v>
      </c>
      <c r="V29" s="17">
        <f>NOVIEMBRE!V29+DICIEMBRE!AL29</f>
        <v>0</v>
      </c>
      <c r="W29" s="17">
        <f>NOVIEMBRE!W29+DICIEMBRE!AM29</f>
        <v>0</v>
      </c>
      <c r="X29" s="20">
        <f t="shared" si="17"/>
        <v>0</v>
      </c>
      <c r="Y29" s="21">
        <f>NOVIEMBRE!AA29</f>
        <v>0</v>
      </c>
      <c r="Z29" s="457">
        <v>0</v>
      </c>
      <c r="AA29" s="20">
        <f t="shared" si="18"/>
        <v>0</v>
      </c>
      <c r="AB29" s="21">
        <f>NOVIEMBRE!AD29</f>
        <v>0</v>
      </c>
      <c r="AC29" s="457">
        <v>0</v>
      </c>
      <c r="AD29" s="20">
        <f t="shared" si="19"/>
        <v>0</v>
      </c>
      <c r="AE29" s="21">
        <f>NOVIEMBRE!AG29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255410140</v>
      </c>
      <c r="BO29" s="125">
        <f>AA232-AA256-AA241</f>
        <v>228670208</v>
      </c>
      <c r="BP29" s="125">
        <f>AD232-AD256-AD241</f>
        <v>228670208</v>
      </c>
      <c r="BQ29" s="248">
        <f>AF232-AF256-AF241</f>
        <v>34923883</v>
      </c>
      <c r="BR29" s="137">
        <f>+BQ29+NOVIEMBRE!BQ29+OCTUBRE!BQ29+SEPTIEMBRE!BQ29+AGOSTO!BQ29+JULIO!BQ29+JUNIO!BQ29+MAYO!BQ29+ABRIL!BQ29+MARZO!BQ29+FEBRERO!BQ29+ENERO!BQ29</f>
        <v>215247741</v>
      </c>
    </row>
    <row r="30" spans="1:249" s="514" customFormat="1" ht="15" x14ac:dyDescent="0.25">
      <c r="A30" s="188" t="str">
        <f>+IF(NOVIEMBRE!A30=0,"",NOVIEMBRE!A30)</f>
        <v>1130103-1-1</v>
      </c>
      <c r="B30" s="189" t="str">
        <f>+CONCATENATE("Vigencia ",INSTRUCCIONES!$F$3)</f>
        <v>Vigencia 2014</v>
      </c>
      <c r="C30" s="456">
        <f>+ENERO!C30</f>
        <v>227076373</v>
      </c>
      <c r="D30" s="456">
        <f>NOVIEMBRE!D30+DICIEMBRE!P30</f>
        <v>-227076373</v>
      </c>
      <c r="E30" s="456">
        <f>NOVIEMBRE!E30+DICIEMBRE!Q30</f>
        <v>0</v>
      </c>
      <c r="F30" s="170">
        <f>SUM(C30:E30)</f>
        <v>0</v>
      </c>
      <c r="G30" s="283">
        <f>NOVIEMBRE!I30</f>
        <v>0</v>
      </c>
      <c r="H30" s="457">
        <v>0</v>
      </c>
      <c r="I30" s="170">
        <f>SUM(G30:H30)</f>
        <v>0</v>
      </c>
      <c r="J30" s="283">
        <f>NOVIEMBRE!L30</f>
        <v>0</v>
      </c>
      <c r="K30" s="457">
        <v>0</v>
      </c>
      <c r="L30" s="170">
        <f>SUM(J30:K30)</f>
        <v>0</v>
      </c>
      <c r="M30" s="283">
        <f>F30-I30</f>
        <v>0</v>
      </c>
      <c r="N30" s="170">
        <f>F30-L30</f>
        <v>0</v>
      </c>
      <c r="O30" s="10"/>
      <c r="P30" s="455">
        <v>0</v>
      </c>
      <c r="Q30" s="458">
        <v>0</v>
      </c>
      <c r="R30" s="10"/>
      <c r="S30" s="156" t="str">
        <f>+IF(NOVIEMBRE!S30=0,"",NOVIEMBRE!S30)</f>
        <v>1010104-12</v>
      </c>
      <c r="T30" s="55" t="str">
        <f>+IF(NOVIEMBRE!T30=0,"",NOVIEMBRE!T30)</f>
        <v xml:space="preserve"> Indemnizaciones por Vacaciones o Supresión de Cargos por Reestructuración</v>
      </c>
      <c r="U30" s="29">
        <f>+ENERO!U30</f>
        <v>0</v>
      </c>
      <c r="V30" s="17">
        <f>NOVIEMBRE!V30+DICIEMBRE!AL30</f>
        <v>0</v>
      </c>
      <c r="W30" s="17">
        <f>NOVIEMBRE!W30+DICIEMBRE!AM30</f>
        <v>0</v>
      </c>
      <c r="X30" s="20">
        <f t="shared" si="17"/>
        <v>0</v>
      </c>
      <c r="Y30" s="21">
        <f>NOVIEMBRE!AA30</f>
        <v>0</v>
      </c>
      <c r="Z30" s="457">
        <v>0</v>
      </c>
      <c r="AA30" s="20">
        <f t="shared" si="18"/>
        <v>0</v>
      </c>
      <c r="AB30" s="21">
        <f>NOVIEMBRE!AD30</f>
        <v>0</v>
      </c>
      <c r="AC30" s="457">
        <v>0</v>
      </c>
      <c r="AD30" s="20">
        <f t="shared" si="19"/>
        <v>0</v>
      </c>
      <c r="AE30" s="21">
        <f>NOVIEMBRE!AG30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255410140</v>
      </c>
      <c r="AR30" s="456">
        <f>AD220+AD232</f>
        <v>228670208</v>
      </c>
      <c r="AS30" s="456">
        <f>AG220+AG232</f>
        <v>215247741</v>
      </c>
      <c r="AT30" s="528"/>
      <c r="AU30" s="456">
        <f t="shared" si="25"/>
        <v>0.89530591072069421</v>
      </c>
      <c r="AV30" s="456">
        <f t="shared" si="26"/>
        <v>0.84275331042064339</v>
      </c>
      <c r="AW30" s="456">
        <f>(AR30-AD225-AD230-AD241-AD256)/$AO$2*12+AD225+AD230+AD241+AD256</f>
        <v>228670208</v>
      </c>
      <c r="AX30" s="456">
        <f>(AS30-AG225-AG230-AG241-AG256)/$AO$2*12+AG225+AG230+AG241+AG256</f>
        <v>215247741</v>
      </c>
      <c r="AY30" s="456">
        <f t="shared" si="27"/>
        <v>-26739932</v>
      </c>
      <c r="AZ30" s="170">
        <f t="shared" si="28"/>
        <v>40162399</v>
      </c>
      <c r="BA30" s="467"/>
      <c r="BG30" s="467"/>
      <c r="BH30" s="467"/>
      <c r="BI30" s="467"/>
      <c r="BJ30" s="467"/>
      <c r="BK30" s="467"/>
      <c r="BL30" s="467"/>
      <c r="BM30" s="128" t="s">
        <v>76</v>
      </c>
      <c r="BN30" s="124">
        <f>X220-X225-X230</f>
        <v>0</v>
      </c>
      <c r="BO30" s="125">
        <f>AA220-AA225-AA230</f>
        <v>0</v>
      </c>
      <c r="BP30" s="125">
        <f>AD220-AD225-AD230</f>
        <v>0</v>
      </c>
      <c r="BQ30" s="248">
        <f>AF220-AF225-AF230</f>
        <v>0</v>
      </c>
      <c r="BR30" s="137">
        <f>+BQ30+NOVIEMBRE!BQ30+OCTUBRE!BQ30+SEPTIEMBRE!BQ30+AGOSTO!BQ30+JULIO!BQ30+JUNIO!BQ30+MAYO!BQ30+ABRIL!BQ30+MARZO!BQ30+FEBRERO!BQ30+ENERO!BQ30</f>
        <v>0</v>
      </c>
      <c r="BS30" s="467"/>
      <c r="BT30" s="467"/>
      <c r="BU30" s="467"/>
      <c r="BV30" s="467"/>
      <c r="BW30" s="467"/>
      <c r="BX30" s="467"/>
      <c r="BY30" s="467"/>
      <c r="BZ30" s="467"/>
      <c r="CA30" s="467"/>
      <c r="CB30" s="467"/>
      <c r="CC30" s="467"/>
      <c r="CD30" s="467"/>
      <c r="CE30" s="467"/>
      <c r="CF30" s="467"/>
      <c r="CG30" s="467"/>
      <c r="CH30" s="467"/>
      <c r="CI30" s="467"/>
      <c r="CJ30" s="467"/>
      <c r="CK30" s="467"/>
      <c r="CL30" s="467"/>
      <c r="CM30" s="467"/>
      <c r="CN30" s="467"/>
      <c r="CO30" s="467"/>
      <c r="CP30" s="467"/>
      <c r="CQ30" s="467"/>
      <c r="CR30" s="467"/>
      <c r="CS30" s="467"/>
      <c r="CT30" s="467"/>
      <c r="CU30" s="467"/>
      <c r="CV30" s="467"/>
      <c r="CW30" s="467"/>
      <c r="CX30" s="467"/>
      <c r="CY30" s="467"/>
      <c r="CZ30" s="467"/>
      <c r="DA30" s="467"/>
      <c r="DB30" s="467"/>
      <c r="DC30" s="467"/>
      <c r="DD30" s="467"/>
      <c r="DE30" s="467"/>
      <c r="DF30" s="467"/>
      <c r="DG30" s="467"/>
      <c r="DH30" s="467"/>
      <c r="DI30" s="467"/>
      <c r="DJ30" s="467"/>
      <c r="DK30" s="467"/>
      <c r="DL30" s="467"/>
      <c r="DM30" s="467"/>
      <c r="DN30" s="467"/>
      <c r="DO30" s="467"/>
      <c r="DP30" s="467"/>
      <c r="DQ30" s="467"/>
      <c r="DR30" s="467"/>
      <c r="DS30" s="467"/>
      <c r="DT30" s="467"/>
      <c r="DU30" s="467"/>
      <c r="DV30" s="467"/>
      <c r="DW30" s="467"/>
      <c r="DX30" s="467"/>
      <c r="DY30" s="467"/>
      <c r="DZ30" s="467"/>
      <c r="EA30" s="467"/>
      <c r="EB30" s="467"/>
      <c r="EC30" s="467"/>
      <c r="ED30" s="467"/>
      <c r="EE30" s="467"/>
      <c r="EF30" s="467"/>
      <c r="EG30" s="467"/>
      <c r="EH30" s="467"/>
      <c r="EI30" s="467"/>
      <c r="EJ30" s="467"/>
      <c r="EK30" s="467"/>
      <c r="EL30" s="467"/>
      <c r="EM30" s="467"/>
      <c r="EN30" s="467"/>
      <c r="EO30" s="467"/>
      <c r="EP30" s="467"/>
      <c r="EQ30" s="467"/>
      <c r="ER30" s="467"/>
      <c r="ES30" s="467"/>
      <c r="ET30" s="467"/>
      <c r="EU30" s="467"/>
      <c r="EV30" s="467"/>
      <c r="EW30" s="467"/>
      <c r="EX30" s="467"/>
      <c r="EY30" s="467"/>
      <c r="EZ30" s="467"/>
      <c r="FA30" s="467"/>
      <c r="FB30" s="467"/>
      <c r="FC30" s="467"/>
      <c r="FD30" s="467"/>
      <c r="FE30" s="467"/>
      <c r="FF30" s="467"/>
      <c r="FG30" s="467"/>
      <c r="FH30" s="467"/>
      <c r="FI30" s="467"/>
      <c r="FJ30" s="467"/>
      <c r="FK30" s="467"/>
      <c r="FL30" s="467"/>
      <c r="FM30" s="467"/>
      <c r="FN30" s="467"/>
      <c r="FO30" s="467"/>
      <c r="FP30" s="467"/>
      <c r="FQ30" s="467"/>
      <c r="FR30" s="467"/>
      <c r="FS30" s="467"/>
      <c r="FT30" s="467"/>
      <c r="FU30" s="467"/>
      <c r="FV30" s="467"/>
      <c r="FW30" s="467"/>
      <c r="FX30" s="467"/>
      <c r="FY30" s="467"/>
      <c r="FZ30" s="467"/>
      <c r="GA30" s="467"/>
      <c r="GB30" s="467"/>
      <c r="GC30" s="467"/>
      <c r="GD30" s="467"/>
      <c r="GE30" s="467"/>
      <c r="GF30" s="467"/>
      <c r="GG30" s="467"/>
      <c r="GH30" s="467"/>
      <c r="GI30" s="467"/>
      <c r="GJ30" s="467"/>
      <c r="GK30" s="467"/>
      <c r="GL30" s="467"/>
      <c r="GM30" s="467"/>
      <c r="GN30" s="467"/>
      <c r="GO30" s="467"/>
      <c r="GP30" s="467"/>
      <c r="GQ30" s="467"/>
      <c r="GR30" s="467"/>
      <c r="GS30" s="467"/>
      <c r="GT30" s="467"/>
      <c r="GU30" s="467"/>
      <c r="GV30" s="467"/>
      <c r="GW30" s="467"/>
      <c r="GX30" s="467"/>
      <c r="GY30" s="467"/>
      <c r="GZ30" s="467"/>
      <c r="HA30" s="467"/>
      <c r="HB30" s="467"/>
      <c r="HC30" s="467"/>
      <c r="HD30" s="467"/>
      <c r="HE30" s="467"/>
      <c r="HF30" s="467"/>
      <c r="HG30" s="467"/>
      <c r="HH30" s="467"/>
      <c r="HI30" s="467"/>
      <c r="HJ30" s="467"/>
      <c r="HK30" s="467"/>
      <c r="HL30" s="467"/>
      <c r="HM30" s="467"/>
      <c r="HN30" s="467"/>
      <c r="HO30" s="467"/>
      <c r="HP30" s="467"/>
      <c r="HQ30" s="467"/>
      <c r="HR30" s="467"/>
      <c r="HS30" s="467"/>
      <c r="HT30" s="467"/>
      <c r="HU30" s="467"/>
      <c r="HV30" s="467"/>
      <c r="HW30" s="467"/>
      <c r="HX30" s="467"/>
      <c r="HY30" s="467"/>
      <c r="HZ30" s="467"/>
      <c r="IA30" s="467"/>
      <c r="IB30" s="467"/>
      <c r="IC30" s="467"/>
      <c r="ID30" s="467"/>
      <c r="IE30" s="467"/>
      <c r="IF30" s="467"/>
      <c r="IG30" s="467"/>
      <c r="IH30" s="467"/>
      <c r="II30" s="467"/>
      <c r="IJ30" s="467"/>
      <c r="IK30" s="467"/>
      <c r="IL30" s="467"/>
      <c r="IM30" s="467"/>
      <c r="IN30" s="467"/>
      <c r="IO30" s="467"/>
    </row>
    <row r="31" spans="1:249" s="514" customFormat="1" ht="15" x14ac:dyDescent="0.25">
      <c r="A31" s="188" t="str">
        <f>+IF(NOVIEMBRE!A31=0,"",NOVIEMBRE!A31)</f>
        <v>1130103-1-2</v>
      </c>
      <c r="B31" s="189" t="str">
        <f>+IF(NOVIEMBRE!B31=0,"",NOVIEMBRE!B31)</f>
        <v>Vigencias Anteriores</v>
      </c>
      <c r="C31" s="456">
        <f>+ENERO!C31</f>
        <v>0</v>
      </c>
      <c r="D31" s="456">
        <f>NOVIEMBRE!D31+DICIEMBRE!P31</f>
        <v>0</v>
      </c>
      <c r="E31" s="456">
        <f>NOVIEMBRE!E31+DICIEMBRE!Q31</f>
        <v>0</v>
      </c>
      <c r="F31" s="170">
        <f>SUM(C31:E31)</f>
        <v>0</v>
      </c>
      <c r="G31" s="283">
        <f>NOVIEMBRE!I31</f>
        <v>0</v>
      </c>
      <c r="H31" s="457">
        <v>0</v>
      </c>
      <c r="I31" s="170">
        <f>SUM(G31:H31)</f>
        <v>0</v>
      </c>
      <c r="J31" s="283">
        <f>NOVIEMBRE!L31</f>
        <v>0</v>
      </c>
      <c r="K31" s="457">
        <v>0</v>
      </c>
      <c r="L31" s="170">
        <f>SUM(J31:K31)</f>
        <v>0</v>
      </c>
      <c r="M31" s="283">
        <f>F31-I31</f>
        <v>0</v>
      </c>
      <c r="N31" s="170">
        <f>F31-L31</f>
        <v>0</v>
      </c>
      <c r="O31" s="467"/>
      <c r="P31" s="455">
        <v>0</v>
      </c>
      <c r="Q31" s="458">
        <v>0</v>
      </c>
      <c r="R31" s="10"/>
      <c r="S31" s="156" t="str">
        <f>+IF(NOVIEMBRE!S31=0,"",NOVIEMBRE!S31)</f>
        <v>1010104-13</v>
      </c>
      <c r="T31" s="55" t="str">
        <f>+IF(NOVIEMBRE!T31=0,"",NOVIEMBRE!T31)</f>
        <v>Bonificación Especial por Recreación</v>
      </c>
      <c r="U31" s="29">
        <f>+ENERO!U31</f>
        <v>2046504</v>
      </c>
      <c r="V31" s="17">
        <f>NOVIEMBRE!V31+DICIEMBRE!AL31</f>
        <v>0</v>
      </c>
      <c r="W31" s="17">
        <f>NOVIEMBRE!W31+DICIEMBRE!AM31</f>
        <v>0</v>
      </c>
      <c r="X31" s="20">
        <f t="shared" si="17"/>
        <v>2046504</v>
      </c>
      <c r="Y31" s="21">
        <f>NOVIEMBRE!AA31</f>
        <v>1453386</v>
      </c>
      <c r="Z31" s="457">
        <v>593116</v>
      </c>
      <c r="AA31" s="20">
        <f t="shared" si="18"/>
        <v>2046502</v>
      </c>
      <c r="AB31" s="21">
        <f>NOVIEMBRE!AD31</f>
        <v>1453386</v>
      </c>
      <c r="AC31" s="457">
        <v>593116</v>
      </c>
      <c r="AD31" s="20">
        <f t="shared" si="19"/>
        <v>2046502</v>
      </c>
      <c r="AE31" s="21">
        <f>NOVIEMBRE!AG31</f>
        <v>1453386</v>
      </c>
      <c r="AF31" s="457">
        <v>353116</v>
      </c>
      <c r="AG31" s="20">
        <f t="shared" si="20"/>
        <v>1806502</v>
      </c>
      <c r="AH31" s="21">
        <f t="shared" si="21"/>
        <v>2</v>
      </c>
      <c r="AI31" s="17">
        <f t="shared" si="22"/>
        <v>2</v>
      </c>
      <c r="AJ31" s="18">
        <f t="shared" si="23"/>
        <v>240002</v>
      </c>
      <c r="AK31" s="10"/>
      <c r="AL31" s="455">
        <v>0</v>
      </c>
      <c r="AM31" s="458">
        <v>0</v>
      </c>
      <c r="AN31" s="10"/>
      <c r="AO31" s="428"/>
      <c r="AP31" s="507" t="s">
        <v>139</v>
      </c>
      <c r="AQ31" s="528">
        <f>X258</f>
        <v>0</v>
      </c>
      <c r="AR31" s="528">
        <f>AD258</f>
        <v>199009456</v>
      </c>
      <c r="AS31" s="528">
        <f>AG258</f>
        <v>-3413643801</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248">
        <f>AF33+AF41+AF55+AF61+AF81+AF88+AF102+AF108+AF121+AF139+AF143+AF153+AF168+AF174+AF183+AF191+AF205+AF218+AF230+AF241+AF256+AF225</f>
        <v>0</v>
      </c>
      <c r="BR31" s="137">
        <f>+BQ31+NOVIEMBRE!BQ31+OCTUBRE!BQ31+SEPTIEMBRE!BQ31+AGOSTO!BQ31+JULIO!BQ31+JUNIO!BQ31+MAYO!BQ31+ABRIL!BQ31+MARZO!BQ31+FEBRERO!BQ31+ENERO!BQ31</f>
        <v>144524291</v>
      </c>
      <c r="BS31" s="467"/>
      <c r="BT31" s="467"/>
      <c r="BU31" s="467"/>
      <c r="BV31" s="467"/>
      <c r="BW31" s="467"/>
      <c r="BX31" s="467"/>
      <c r="BY31" s="467"/>
      <c r="BZ31" s="467"/>
      <c r="CA31" s="467"/>
      <c r="CB31" s="467"/>
      <c r="CC31" s="467"/>
      <c r="CD31" s="467"/>
      <c r="CE31" s="467"/>
      <c r="CF31" s="467"/>
      <c r="CG31" s="467"/>
      <c r="CH31" s="467"/>
      <c r="CI31" s="467"/>
      <c r="CJ31" s="467"/>
      <c r="CK31" s="467"/>
      <c r="CL31" s="467"/>
      <c r="CM31" s="467"/>
      <c r="CN31" s="467"/>
      <c r="CO31" s="467"/>
      <c r="CP31" s="467"/>
      <c r="CQ31" s="467"/>
      <c r="CR31" s="467"/>
      <c r="CS31" s="467"/>
      <c r="CT31" s="467"/>
      <c r="CU31" s="467"/>
      <c r="CV31" s="467"/>
      <c r="CW31" s="467"/>
      <c r="CX31" s="467"/>
      <c r="CY31" s="467"/>
      <c r="CZ31" s="467"/>
      <c r="DA31" s="467"/>
      <c r="DB31" s="467"/>
      <c r="DC31" s="467"/>
      <c r="DD31" s="467"/>
      <c r="DE31" s="467"/>
      <c r="DF31" s="467"/>
      <c r="DG31" s="467"/>
      <c r="DH31" s="467"/>
      <c r="DI31" s="467"/>
      <c r="DJ31" s="467"/>
      <c r="DK31" s="467"/>
      <c r="DL31" s="467"/>
      <c r="DM31" s="467"/>
      <c r="DN31" s="467"/>
      <c r="DO31" s="467"/>
      <c r="DP31" s="467"/>
      <c r="DQ31" s="467"/>
      <c r="DR31" s="467"/>
      <c r="DS31" s="467"/>
      <c r="DT31" s="467"/>
      <c r="DU31" s="467"/>
      <c r="DV31" s="467"/>
      <c r="DW31" s="467"/>
      <c r="DX31" s="467"/>
      <c r="DY31" s="467"/>
      <c r="DZ31" s="467"/>
      <c r="EA31" s="467"/>
      <c r="EB31" s="467"/>
      <c r="EC31" s="467"/>
      <c r="ED31" s="467"/>
      <c r="EE31" s="467"/>
      <c r="EF31" s="467"/>
      <c r="EG31" s="467"/>
      <c r="EH31" s="467"/>
      <c r="EI31" s="467"/>
      <c r="EJ31" s="467"/>
      <c r="EK31" s="467"/>
      <c r="EL31" s="467"/>
      <c r="EM31" s="467"/>
      <c r="EN31" s="467"/>
      <c r="EO31" s="467"/>
      <c r="EP31" s="467"/>
      <c r="EQ31" s="467"/>
      <c r="ER31" s="467"/>
      <c r="ES31" s="467"/>
      <c r="ET31" s="467"/>
      <c r="EU31" s="467"/>
      <c r="EV31" s="467"/>
      <c r="EW31" s="467"/>
      <c r="EX31" s="467"/>
      <c r="EY31" s="467"/>
      <c r="EZ31" s="467"/>
      <c r="FA31" s="467"/>
      <c r="FB31" s="467"/>
      <c r="FC31" s="467"/>
      <c r="FD31" s="467"/>
      <c r="FE31" s="467"/>
      <c r="FF31" s="467"/>
      <c r="FG31" s="467"/>
      <c r="FH31" s="467"/>
      <c r="FI31" s="467"/>
      <c r="FJ31" s="467"/>
      <c r="FK31" s="467"/>
      <c r="FL31" s="467"/>
      <c r="FM31" s="467"/>
      <c r="FN31" s="467"/>
      <c r="FO31" s="467"/>
      <c r="FP31" s="467"/>
      <c r="FQ31" s="467"/>
      <c r="FR31" s="467"/>
      <c r="FS31" s="467"/>
      <c r="FT31" s="467"/>
      <c r="FU31" s="467"/>
      <c r="FV31" s="467"/>
      <c r="FW31" s="467"/>
      <c r="FX31" s="467"/>
      <c r="FY31" s="467"/>
      <c r="FZ31" s="467"/>
      <c r="GA31" s="467"/>
      <c r="GB31" s="467"/>
      <c r="GC31" s="467"/>
      <c r="GD31" s="467"/>
      <c r="GE31" s="467"/>
      <c r="GF31" s="467"/>
      <c r="GG31" s="467"/>
      <c r="GH31" s="467"/>
      <c r="GI31" s="467"/>
      <c r="GJ31" s="467"/>
      <c r="GK31" s="467"/>
      <c r="GL31" s="467"/>
      <c r="GM31" s="467"/>
      <c r="GN31" s="467"/>
      <c r="GO31" s="467"/>
      <c r="GP31" s="467"/>
      <c r="GQ31" s="467"/>
      <c r="GR31" s="467"/>
      <c r="GS31" s="467"/>
      <c r="GT31" s="467"/>
      <c r="GU31" s="467"/>
      <c r="GV31" s="467"/>
      <c r="GW31" s="467"/>
      <c r="GX31" s="467"/>
      <c r="GY31" s="467"/>
      <c r="GZ31" s="467"/>
      <c r="HA31" s="467"/>
      <c r="HB31" s="467"/>
      <c r="HC31" s="467"/>
      <c r="HD31" s="467"/>
      <c r="HE31" s="467"/>
      <c r="HF31" s="467"/>
      <c r="HG31" s="467"/>
      <c r="HH31" s="467"/>
      <c r="HI31" s="467"/>
      <c r="HJ31" s="467"/>
      <c r="HK31" s="467"/>
      <c r="HL31" s="467"/>
      <c r="HM31" s="467"/>
      <c r="HN31" s="467"/>
      <c r="HO31" s="467"/>
      <c r="HP31" s="467"/>
      <c r="HQ31" s="467"/>
      <c r="HR31" s="467"/>
      <c r="HS31" s="467"/>
      <c r="HT31" s="467"/>
      <c r="HU31" s="467"/>
      <c r="HV31" s="467"/>
      <c r="HW31" s="467"/>
      <c r="HX31" s="467"/>
      <c r="HY31" s="467"/>
      <c r="HZ31" s="467"/>
      <c r="IA31" s="467"/>
      <c r="IB31" s="467"/>
      <c r="IC31" s="467"/>
      <c r="ID31" s="467"/>
      <c r="IE31" s="467"/>
      <c r="IF31" s="467"/>
      <c r="IG31" s="467"/>
      <c r="IH31" s="467"/>
      <c r="II31" s="467"/>
      <c r="IJ31" s="467"/>
      <c r="IK31" s="467"/>
      <c r="IL31" s="467"/>
      <c r="IM31" s="467"/>
      <c r="IN31" s="467"/>
      <c r="IO31" s="467"/>
    </row>
    <row r="32" spans="1:249" s="10" customFormat="1" ht="15.75" thickBot="1" x14ac:dyDescent="0.3">
      <c r="A32" s="61" t="str">
        <f>+IF(NOVIEMBRE!A32=0,"",NOVIEMBRE!A32)</f>
        <v>1130103-2</v>
      </c>
      <c r="B32" s="62" t="str">
        <f>+IF(NOVIEMBRE!B32=0,"",NOVIEMBRE!B32)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+IF(NOVIEMBRE!S32=0,"",NOVIEMBRE!S32)</f>
        <v>1010104-14</v>
      </c>
      <c r="T32" s="55" t="str">
        <f>+IF(NOVIEMBRE!T32=0,"",NOVIEMBRE!T32)</f>
        <v/>
      </c>
      <c r="U32" s="29">
        <f>+ENERO!U32</f>
        <v>0</v>
      </c>
      <c r="V32" s="17">
        <f>NOVIEMBRE!V32+DICIEMBRE!AL32</f>
        <v>0</v>
      </c>
      <c r="W32" s="17">
        <f>NOVIEMBRE!W32+DICIEMBRE!AM32</f>
        <v>0</v>
      </c>
      <c r="X32" s="20">
        <f t="shared" si="17"/>
        <v>0</v>
      </c>
      <c r="Y32" s="21">
        <f>NOVIEMBRE!AA32</f>
        <v>0</v>
      </c>
      <c r="Z32" s="457">
        <v>0</v>
      </c>
      <c r="AA32" s="20">
        <f t="shared" si="18"/>
        <v>0</v>
      </c>
      <c r="AB32" s="21">
        <f>NOVIEMBRE!AD32</f>
        <v>0</v>
      </c>
      <c r="AC32" s="457">
        <v>0</v>
      </c>
      <c r="AD32" s="20">
        <f t="shared" si="19"/>
        <v>0</v>
      </c>
      <c r="AE32" s="21">
        <f>NOVIEMBRE!AG32</f>
        <v>0</v>
      </c>
      <c r="AF32" s="457">
        <v>0</v>
      </c>
      <c r="AG32" s="20">
        <f t="shared" si="20"/>
        <v>0</v>
      </c>
      <c r="AH32" s="21">
        <f t="shared" si="21"/>
        <v>0</v>
      </c>
      <c r="AI32" s="17">
        <f t="shared" si="22"/>
        <v>0</v>
      </c>
      <c r="AJ32" s="18">
        <f t="shared" si="23"/>
        <v>0</v>
      </c>
      <c r="AL32" s="455">
        <v>0</v>
      </c>
      <c r="AM32" s="458">
        <v>0</v>
      </c>
      <c r="AO32" s="23"/>
      <c r="AP32" s="537" t="s">
        <v>144</v>
      </c>
      <c r="AQ32" s="483">
        <f>SUM(AQ22:AQ31)</f>
        <v>4088834335</v>
      </c>
      <c r="AR32" s="483">
        <f>SUM(AR22:AR31)</f>
        <v>3889542104</v>
      </c>
      <c r="AS32" s="483">
        <f>SUM(AS22:AS31)</f>
        <v>0</v>
      </c>
      <c r="AT32" s="538"/>
      <c r="AU32" s="539">
        <f t="shared" si="25"/>
        <v>0.95125940190482183</v>
      </c>
      <c r="AV32" s="539">
        <f t="shared" si="26"/>
        <v>0</v>
      </c>
      <c r="AW32" s="430">
        <f>SUM(AW22:AW31)</f>
        <v>3776969375.833333</v>
      </c>
      <c r="AX32" s="430">
        <f>SUM(AX22:AX31)</f>
        <v>3525997748.833333</v>
      </c>
      <c r="AY32" s="430">
        <f>SUM(AY22:AY31)</f>
        <v>-311864959.16666669</v>
      </c>
      <c r="AZ32" s="431">
        <f>SUM(AZ22:AZ31)</f>
        <v>562836586.16666675</v>
      </c>
      <c r="BA32" s="467"/>
      <c r="BB32" s="514"/>
      <c r="BC32" s="514"/>
      <c r="BD32" s="514"/>
      <c r="BE32" s="514"/>
      <c r="BF32" s="514"/>
      <c r="BG32" s="467"/>
      <c r="BH32" s="467"/>
      <c r="BI32" s="467"/>
      <c r="BJ32" s="467"/>
      <c r="BK32" s="467"/>
      <c r="BM32" s="128" t="s">
        <v>140</v>
      </c>
      <c r="BN32" s="124">
        <f>+BN7+BN25+BN29+BN30+BN31</f>
        <v>4088834335</v>
      </c>
      <c r="BO32" s="125">
        <f t="shared" ref="BO32:BQ32" si="33">+BO7+BO25+BO29+BO30+BO31</f>
        <v>3690532649</v>
      </c>
      <c r="BP32" s="125">
        <f t="shared" si="33"/>
        <v>3690532648</v>
      </c>
      <c r="BQ32" s="126">
        <f t="shared" si="33"/>
        <v>453785760</v>
      </c>
      <c r="BR32" s="137">
        <f>+BQ32+NOVIEMBRE!BQ32+OCTUBRE!BQ32+SEPTIEMBRE!BQ32+AGOSTO!BQ32+JULIO!BQ32+JUNIO!BQ32+MAYO!BQ32+ABRIL!BQ32+MARZO!BQ32+FEBRERO!BQ32+ENERO!BQ32</f>
        <v>3413643801</v>
      </c>
    </row>
    <row r="33" spans="1:249" s="514" customFormat="1" ht="15.75" thickBot="1" x14ac:dyDescent="0.3">
      <c r="A33" s="188" t="str">
        <f>+IF(NOVIEMBRE!A33=0,"",NOVIEMBRE!A33)</f>
        <v>1130103-2-1</v>
      </c>
      <c r="B33" s="189" t="str">
        <f>+CONCATENATE("Vigencia ",INSTRUCCIONES!$F$3)</f>
        <v>Vigencia 2014</v>
      </c>
      <c r="C33" s="456">
        <f>+ENERO!C33</f>
        <v>0</v>
      </c>
      <c r="D33" s="456">
        <f>NOVIEMBRE!D33+DICIEMBRE!P33</f>
        <v>0</v>
      </c>
      <c r="E33" s="456">
        <f>NOVIEMBRE!E33+DICIEMBRE!Q33</f>
        <v>0</v>
      </c>
      <c r="F33" s="170">
        <f>SUM(C33:E33)</f>
        <v>0</v>
      </c>
      <c r="G33" s="283">
        <f>NOVIEMBRE!I33</f>
        <v>0</v>
      </c>
      <c r="H33" s="457">
        <v>0</v>
      </c>
      <c r="I33" s="170">
        <f>SUM(G33:H33)</f>
        <v>0</v>
      </c>
      <c r="J33" s="283">
        <f>NOVIEMBRE!L33</f>
        <v>0</v>
      </c>
      <c r="K33" s="457">
        <v>0</v>
      </c>
      <c r="L33" s="170">
        <f>SUM(J33:K33)</f>
        <v>0</v>
      </c>
      <c r="M33" s="283">
        <f>F33-I33</f>
        <v>0</v>
      </c>
      <c r="N33" s="170">
        <f>F33-L33</f>
        <v>0</v>
      </c>
      <c r="O33" s="10"/>
      <c r="P33" s="455">
        <v>0</v>
      </c>
      <c r="Q33" s="458">
        <v>0</v>
      </c>
      <c r="R33" s="10"/>
      <c r="S33" s="155">
        <f>+IF(NOVIEMBRE!S33=0,"",NOVIEMBRE!S33)</f>
        <v>1010199</v>
      </c>
      <c r="T33" s="159" t="str">
        <f>+IF(NOVIEMBRE!T33=0,"",NOVIEMBRE!T33)</f>
        <v>Vigencias Anteriores</v>
      </c>
      <c r="U33" s="29">
        <f>+ENERO!U33</f>
        <v>4029851</v>
      </c>
      <c r="V33" s="17">
        <f>NOVIEMBRE!V33+DICIEMBRE!AL33</f>
        <v>-3476851</v>
      </c>
      <c r="W33" s="17">
        <f>NOVIEMBRE!W33+DICIEMBRE!AM33</f>
        <v>0</v>
      </c>
      <c r="X33" s="20">
        <f t="shared" si="17"/>
        <v>553000</v>
      </c>
      <c r="Y33" s="21">
        <f>NOVIEMBRE!AA33</f>
        <v>553000</v>
      </c>
      <c r="Z33" s="457">
        <v>0</v>
      </c>
      <c r="AA33" s="20">
        <f t="shared" si="18"/>
        <v>553000</v>
      </c>
      <c r="AB33" s="21">
        <f>NOVIEMBRE!AD33</f>
        <v>553000</v>
      </c>
      <c r="AC33" s="457">
        <v>0</v>
      </c>
      <c r="AD33" s="20">
        <f t="shared" si="19"/>
        <v>553000</v>
      </c>
      <c r="AE33" s="21">
        <f>NOVIEMBRE!AG33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711807534</v>
      </c>
      <c r="BP33" s="131">
        <f>AD258</f>
        <v>199009456</v>
      </c>
      <c r="BQ33" s="132">
        <f>AF258</f>
        <v>-254493529</v>
      </c>
      <c r="BR33" s="137"/>
      <c r="BS33" s="467"/>
      <c r="BT33" s="467"/>
      <c r="BU33" s="467"/>
      <c r="BV33" s="467"/>
      <c r="BW33" s="467"/>
      <c r="BX33" s="467"/>
      <c r="BY33" s="467"/>
      <c r="BZ33" s="467"/>
      <c r="CA33" s="467"/>
      <c r="CB33" s="467"/>
      <c r="CC33" s="467"/>
      <c r="CD33" s="467"/>
      <c r="CE33" s="467"/>
      <c r="CF33" s="467"/>
      <c r="CG33" s="467"/>
      <c r="CH33" s="467"/>
      <c r="CI33" s="467"/>
      <c r="CJ33" s="467"/>
      <c r="CK33" s="467"/>
      <c r="CL33" s="467"/>
      <c r="CM33" s="467"/>
      <c r="CN33" s="467"/>
      <c r="CO33" s="467"/>
      <c r="CP33" s="467"/>
      <c r="CQ33" s="467"/>
      <c r="CR33" s="467"/>
      <c r="CS33" s="467"/>
      <c r="CT33" s="467"/>
      <c r="CU33" s="467"/>
      <c r="CV33" s="467"/>
      <c r="CW33" s="467"/>
      <c r="CX33" s="467"/>
      <c r="CY33" s="467"/>
      <c r="CZ33" s="467"/>
      <c r="DA33" s="467"/>
      <c r="DB33" s="467"/>
      <c r="DC33" s="467"/>
      <c r="DD33" s="467"/>
      <c r="DE33" s="467"/>
      <c r="DF33" s="467"/>
      <c r="DG33" s="467"/>
      <c r="DH33" s="467"/>
      <c r="DI33" s="467"/>
      <c r="DJ33" s="467"/>
      <c r="DK33" s="467"/>
      <c r="DL33" s="467"/>
      <c r="DM33" s="467"/>
      <c r="DN33" s="467"/>
      <c r="DO33" s="467"/>
      <c r="DP33" s="467"/>
      <c r="DQ33" s="467"/>
      <c r="DR33" s="467"/>
      <c r="DS33" s="467"/>
      <c r="DT33" s="467"/>
      <c r="DU33" s="467"/>
      <c r="DV33" s="467"/>
      <c r="DW33" s="467"/>
      <c r="DX33" s="467"/>
      <c r="DY33" s="467"/>
      <c r="DZ33" s="467"/>
      <c r="EA33" s="467"/>
      <c r="EB33" s="467"/>
      <c r="EC33" s="467"/>
      <c r="ED33" s="467"/>
      <c r="EE33" s="467"/>
      <c r="EF33" s="467"/>
      <c r="EG33" s="467"/>
      <c r="EH33" s="467"/>
      <c r="EI33" s="467"/>
      <c r="EJ33" s="467"/>
      <c r="EK33" s="467"/>
      <c r="EL33" s="467"/>
      <c r="EM33" s="467"/>
      <c r="EN33" s="467"/>
      <c r="EO33" s="467"/>
      <c r="EP33" s="467"/>
      <c r="EQ33" s="467"/>
      <c r="ER33" s="467"/>
      <c r="ES33" s="467"/>
      <c r="ET33" s="467"/>
      <c r="EU33" s="467"/>
      <c r="EV33" s="467"/>
      <c r="EW33" s="467"/>
      <c r="EX33" s="467"/>
      <c r="EY33" s="467"/>
      <c r="EZ33" s="467"/>
      <c r="FA33" s="467"/>
      <c r="FB33" s="467"/>
      <c r="FC33" s="467"/>
      <c r="FD33" s="467"/>
      <c r="FE33" s="467"/>
      <c r="FF33" s="467"/>
      <c r="FG33" s="467"/>
      <c r="FH33" s="467"/>
      <c r="FI33" s="467"/>
      <c r="FJ33" s="467"/>
      <c r="FK33" s="467"/>
      <c r="FL33" s="467"/>
      <c r="FM33" s="467"/>
      <c r="FN33" s="467"/>
      <c r="FO33" s="467"/>
      <c r="FP33" s="467"/>
      <c r="FQ33" s="467"/>
      <c r="FR33" s="467"/>
      <c r="FS33" s="467"/>
      <c r="FT33" s="467"/>
      <c r="FU33" s="467"/>
      <c r="FV33" s="467"/>
      <c r="FW33" s="467"/>
      <c r="FX33" s="467"/>
      <c r="FY33" s="467"/>
      <c r="FZ33" s="467"/>
      <c r="GA33" s="467"/>
      <c r="GB33" s="467"/>
      <c r="GC33" s="467"/>
      <c r="GD33" s="467"/>
      <c r="GE33" s="467"/>
      <c r="GF33" s="467"/>
      <c r="GG33" s="467"/>
      <c r="GH33" s="467"/>
      <c r="GI33" s="467"/>
      <c r="GJ33" s="467"/>
      <c r="GK33" s="467"/>
      <c r="GL33" s="467"/>
      <c r="GM33" s="467"/>
      <c r="GN33" s="467"/>
      <c r="GO33" s="467"/>
      <c r="GP33" s="467"/>
      <c r="GQ33" s="467"/>
      <c r="GR33" s="467"/>
      <c r="GS33" s="467"/>
      <c r="GT33" s="467"/>
      <c r="GU33" s="467"/>
      <c r="GV33" s="467"/>
      <c r="GW33" s="467"/>
      <c r="GX33" s="467"/>
      <c r="GY33" s="467"/>
      <c r="GZ33" s="467"/>
      <c r="HA33" s="467"/>
      <c r="HB33" s="467"/>
      <c r="HC33" s="467"/>
      <c r="HD33" s="467"/>
      <c r="HE33" s="467"/>
      <c r="HF33" s="467"/>
      <c r="HG33" s="467"/>
      <c r="HH33" s="467"/>
      <c r="HI33" s="467"/>
      <c r="HJ33" s="467"/>
      <c r="HK33" s="467"/>
      <c r="HL33" s="467"/>
      <c r="HM33" s="467"/>
      <c r="HN33" s="467"/>
      <c r="HO33" s="467"/>
      <c r="HP33" s="467"/>
      <c r="HQ33" s="467"/>
      <c r="HR33" s="467"/>
      <c r="HS33" s="467"/>
      <c r="HT33" s="467"/>
      <c r="HU33" s="467"/>
      <c r="HV33" s="467"/>
      <c r="HW33" s="467"/>
      <c r="HX33" s="467"/>
      <c r="HY33" s="467"/>
      <c r="HZ33" s="467"/>
      <c r="IA33" s="467"/>
      <c r="IB33" s="467"/>
      <c r="IC33" s="467"/>
      <c r="ID33" s="467"/>
      <c r="IE33" s="467"/>
      <c r="IF33" s="467"/>
      <c r="IG33" s="467"/>
      <c r="IH33" s="467"/>
      <c r="II33" s="467"/>
      <c r="IJ33" s="467"/>
      <c r="IK33" s="467"/>
      <c r="IL33" s="467"/>
      <c r="IM33" s="467"/>
      <c r="IN33" s="467"/>
      <c r="IO33" s="467"/>
    </row>
    <row r="34" spans="1:249" s="514" customFormat="1" ht="16.5" thickBot="1" x14ac:dyDescent="0.25">
      <c r="A34" s="188" t="str">
        <f>+IF(NOVIEMBRE!A34=0,"",NOVIEMBRE!A34)</f>
        <v>1130103-2-2</v>
      </c>
      <c r="B34" s="189" t="str">
        <f>+IF(NOVIEMBRE!B34=0,"",NOVIEMBRE!B34)</f>
        <v>Vigencias Anteriores</v>
      </c>
      <c r="C34" s="456">
        <f>+ENERO!C34</f>
        <v>0</v>
      </c>
      <c r="D34" s="456">
        <f>NOVIEMBRE!D34+DICIEMBRE!P34</f>
        <v>0</v>
      </c>
      <c r="E34" s="456">
        <f>NOVIEMBRE!E34+DICIEMBRE!Q34</f>
        <v>0</v>
      </c>
      <c r="F34" s="170">
        <f>SUM(C34:E34)</f>
        <v>0</v>
      </c>
      <c r="G34" s="283">
        <f>NOVIEMBRE!I34</f>
        <v>0</v>
      </c>
      <c r="H34" s="457">
        <v>0</v>
      </c>
      <c r="I34" s="170">
        <f>SUM(G34:H34)</f>
        <v>0</v>
      </c>
      <c r="J34" s="283">
        <f>NOVIEMBRE!L34</f>
        <v>0</v>
      </c>
      <c r="K34" s="457">
        <v>0</v>
      </c>
      <c r="L34" s="170">
        <f>SUM(J34:K34)</f>
        <v>0</v>
      </c>
      <c r="M34" s="283">
        <f>F34-I34</f>
        <v>0</v>
      </c>
      <c r="N34" s="170">
        <f>F34-L34</f>
        <v>0</v>
      </c>
      <c r="O34" s="467"/>
      <c r="P34" s="455">
        <v>0</v>
      </c>
      <c r="Q34" s="458">
        <v>0</v>
      </c>
      <c r="R34" s="10"/>
      <c r="S34" s="448" t="str">
        <f>+IF(NOVIEMBRE!S34=0,"",NOVIEMBRE!S34)</f>
        <v/>
      </c>
      <c r="T34" s="649" t="str">
        <f>+IF(NOVIEMBRE!T34=0,"",NOVIEMBRE!T34)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32"/>
      <c r="BR34" s="10"/>
      <c r="BS34" s="467"/>
      <c r="BT34" s="467"/>
      <c r="BU34" s="467"/>
      <c r="BV34" s="467"/>
      <c r="BW34" s="467"/>
      <c r="BX34" s="467"/>
      <c r="BY34" s="467"/>
      <c r="BZ34" s="467"/>
      <c r="CA34" s="467"/>
      <c r="CB34" s="467"/>
      <c r="CC34" s="467"/>
      <c r="CD34" s="467"/>
      <c r="CE34" s="467"/>
      <c r="CF34" s="467"/>
      <c r="CG34" s="467"/>
      <c r="CH34" s="467"/>
      <c r="CI34" s="467"/>
      <c r="CJ34" s="467"/>
      <c r="CK34" s="467"/>
      <c r="CL34" s="467"/>
      <c r="CM34" s="467"/>
      <c r="CN34" s="467"/>
      <c r="CO34" s="467"/>
      <c r="CP34" s="467"/>
      <c r="CQ34" s="467"/>
      <c r="CR34" s="467"/>
      <c r="CS34" s="467"/>
      <c r="CT34" s="467"/>
      <c r="CU34" s="467"/>
      <c r="CV34" s="467"/>
      <c r="CW34" s="467"/>
      <c r="CX34" s="467"/>
      <c r="CY34" s="467"/>
      <c r="CZ34" s="467"/>
      <c r="DA34" s="467"/>
      <c r="DB34" s="467"/>
      <c r="DC34" s="467"/>
      <c r="DD34" s="467"/>
      <c r="DE34" s="467"/>
      <c r="DF34" s="467"/>
      <c r="DG34" s="467"/>
      <c r="DH34" s="467"/>
      <c r="DI34" s="467"/>
      <c r="DJ34" s="467"/>
      <c r="DK34" s="467"/>
      <c r="DL34" s="467"/>
      <c r="DM34" s="467"/>
      <c r="DN34" s="467"/>
      <c r="DO34" s="467"/>
      <c r="DP34" s="467"/>
      <c r="DQ34" s="467"/>
      <c r="DR34" s="467"/>
      <c r="DS34" s="467"/>
      <c r="DT34" s="467"/>
      <c r="DU34" s="467"/>
      <c r="DV34" s="467"/>
      <c r="DW34" s="467"/>
      <c r="DX34" s="467"/>
      <c r="DY34" s="467"/>
      <c r="DZ34" s="467"/>
      <c r="EA34" s="467"/>
      <c r="EB34" s="467"/>
      <c r="EC34" s="467"/>
      <c r="ED34" s="467"/>
      <c r="EE34" s="467"/>
      <c r="EF34" s="467"/>
      <c r="EG34" s="467"/>
      <c r="EH34" s="467"/>
      <c r="EI34" s="467"/>
      <c r="EJ34" s="467"/>
      <c r="EK34" s="467"/>
      <c r="EL34" s="467"/>
      <c r="EM34" s="467"/>
      <c r="EN34" s="467"/>
      <c r="EO34" s="467"/>
      <c r="EP34" s="467"/>
      <c r="EQ34" s="467"/>
      <c r="ER34" s="467"/>
      <c r="ES34" s="467"/>
      <c r="ET34" s="467"/>
      <c r="EU34" s="467"/>
      <c r="EV34" s="467"/>
      <c r="EW34" s="467"/>
      <c r="EX34" s="467"/>
      <c r="EY34" s="467"/>
      <c r="EZ34" s="467"/>
      <c r="FA34" s="467"/>
      <c r="FB34" s="467"/>
      <c r="FC34" s="467"/>
      <c r="FD34" s="467"/>
      <c r="FE34" s="467"/>
      <c r="FF34" s="467"/>
      <c r="FG34" s="467"/>
      <c r="FH34" s="467"/>
      <c r="FI34" s="467"/>
      <c r="FJ34" s="467"/>
      <c r="FK34" s="467"/>
      <c r="FL34" s="467"/>
      <c r="FM34" s="467"/>
      <c r="FN34" s="467"/>
      <c r="FO34" s="467"/>
      <c r="FP34" s="467"/>
      <c r="FQ34" s="467"/>
      <c r="FR34" s="467"/>
      <c r="FS34" s="467"/>
      <c r="FT34" s="467"/>
      <c r="FU34" s="467"/>
      <c r="FV34" s="467"/>
      <c r="FW34" s="467"/>
      <c r="FX34" s="467"/>
      <c r="FY34" s="467"/>
      <c r="FZ34" s="467"/>
      <c r="GA34" s="467"/>
      <c r="GB34" s="467"/>
      <c r="GC34" s="467"/>
      <c r="GD34" s="467"/>
      <c r="GE34" s="467"/>
      <c r="GF34" s="467"/>
      <c r="GG34" s="467"/>
      <c r="GH34" s="467"/>
      <c r="GI34" s="467"/>
      <c r="GJ34" s="467"/>
      <c r="GK34" s="467"/>
      <c r="GL34" s="467"/>
      <c r="GM34" s="467"/>
      <c r="GN34" s="467"/>
      <c r="GO34" s="467"/>
      <c r="GP34" s="467"/>
      <c r="GQ34" s="467"/>
      <c r="GR34" s="467"/>
      <c r="GS34" s="467"/>
      <c r="GT34" s="467"/>
      <c r="GU34" s="467"/>
      <c r="GV34" s="467"/>
      <c r="GW34" s="467"/>
      <c r="GX34" s="467"/>
      <c r="GY34" s="467"/>
      <c r="GZ34" s="467"/>
      <c r="HA34" s="467"/>
      <c r="HB34" s="467"/>
      <c r="HC34" s="467"/>
      <c r="HD34" s="467"/>
      <c r="HE34" s="467"/>
      <c r="HF34" s="467"/>
      <c r="HG34" s="467"/>
      <c r="HH34" s="467"/>
      <c r="HI34" s="467"/>
      <c r="HJ34" s="467"/>
      <c r="HK34" s="467"/>
      <c r="HL34" s="467"/>
      <c r="HM34" s="467"/>
      <c r="HN34" s="467"/>
      <c r="HO34" s="467"/>
      <c r="HP34" s="467"/>
      <c r="HQ34" s="467"/>
      <c r="HR34" s="467"/>
      <c r="HS34" s="467"/>
      <c r="HT34" s="467"/>
      <c r="HU34" s="467"/>
      <c r="HV34" s="467"/>
      <c r="HW34" s="467"/>
      <c r="HX34" s="467"/>
      <c r="HY34" s="467"/>
      <c r="HZ34" s="467"/>
      <c r="IA34" s="467"/>
      <c r="IB34" s="467"/>
      <c r="IC34" s="467"/>
      <c r="ID34" s="467"/>
      <c r="IE34" s="467"/>
      <c r="IF34" s="467"/>
      <c r="IG34" s="467"/>
      <c r="IH34" s="467"/>
      <c r="II34" s="467"/>
      <c r="IJ34" s="467"/>
      <c r="IK34" s="467"/>
      <c r="IL34" s="467"/>
      <c r="IM34" s="467"/>
      <c r="IN34" s="467"/>
      <c r="IO34" s="467"/>
    </row>
    <row r="35" spans="1:249" s="467" customFormat="1" ht="15.75" thickBot="1" x14ac:dyDescent="0.25">
      <c r="A35" s="61" t="str">
        <f>+IF(NOVIEMBRE!A35=0,"",NOVIEMBRE!A35)</f>
        <v>1130103-3</v>
      </c>
      <c r="B35" s="62" t="str">
        <f>+IF(NOVIEMBRE!B35=0,"",NOVIEMBRE!B35)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+IF(NOVIEMBRE!S35=0,"",NOVIEMBRE!S35)</f>
        <v>1010200</v>
      </c>
      <c r="T35" s="158" t="str">
        <f>+IF(NOVIEMBRE!T35=0,"",NOVIEMBRE!T35)</f>
        <v>Servicios Personales Indirectos</v>
      </c>
      <c r="U35" s="157">
        <f t="shared" ref="U35:AJ35" si="35">SUM(U36:U41)</f>
        <v>113755696</v>
      </c>
      <c r="V35" s="144">
        <f t="shared" si="35"/>
        <v>-2668000</v>
      </c>
      <c r="W35" s="144">
        <f t="shared" si="35"/>
        <v>24200000</v>
      </c>
      <c r="X35" s="152">
        <f t="shared" si="35"/>
        <v>135287696</v>
      </c>
      <c r="Y35" s="151">
        <f t="shared" si="35"/>
        <v>76226617</v>
      </c>
      <c r="Z35" s="144">
        <f t="shared" si="35"/>
        <v>15392248</v>
      </c>
      <c r="AA35" s="152">
        <f t="shared" si="35"/>
        <v>91618865</v>
      </c>
      <c r="AB35" s="151">
        <f t="shared" si="35"/>
        <v>74544013</v>
      </c>
      <c r="AC35" s="144">
        <f t="shared" si="35"/>
        <v>17074852</v>
      </c>
      <c r="AD35" s="152">
        <f t="shared" si="35"/>
        <v>91618865</v>
      </c>
      <c r="AE35" s="151">
        <f t="shared" si="35"/>
        <v>64089635</v>
      </c>
      <c r="AF35" s="144">
        <f t="shared" si="35"/>
        <v>11954378</v>
      </c>
      <c r="AG35" s="152">
        <f t="shared" si="35"/>
        <v>76044013</v>
      </c>
      <c r="AH35" s="151">
        <f t="shared" si="35"/>
        <v>43668831</v>
      </c>
      <c r="AI35" s="144">
        <f t="shared" si="35"/>
        <v>43668831</v>
      </c>
      <c r="AJ35" s="153">
        <f t="shared" si="35"/>
        <v>59243683</v>
      </c>
      <c r="AK35" s="10"/>
      <c r="AL35" s="151">
        <f>SUM(AL36:AL41)</f>
        <v>0</v>
      </c>
      <c r="AM35" s="153">
        <f>SUM(AM36:AM41)</f>
        <v>0</v>
      </c>
      <c r="AN35" s="10"/>
      <c r="AO35" s="428"/>
      <c r="AP35" s="547"/>
      <c r="AQ35" s="363"/>
      <c r="AR35" s="548"/>
      <c r="AS35" s="548"/>
      <c r="AT35" s="548"/>
      <c r="AU35" s="549">
        <f>AR17-AR32</f>
        <v>260272638</v>
      </c>
      <c r="AV35" s="550">
        <f>AS17-AR32</f>
        <v>-252525441</v>
      </c>
      <c r="AW35" s="550" t="s">
        <v>158</v>
      </c>
      <c r="AX35" s="551"/>
      <c r="AY35" s="550">
        <f>AY17+AY32</f>
        <v>5082056.8333333135</v>
      </c>
      <c r="AZ35" s="552">
        <f>AZ17+AY32</f>
        <v>-511157190.16666669</v>
      </c>
      <c r="BB35" s="514"/>
      <c r="BC35" s="514"/>
      <c r="BD35" s="514"/>
      <c r="BE35" s="514"/>
      <c r="BF35" s="514"/>
      <c r="BQ35" s="562"/>
    </row>
    <row r="36" spans="1:249" s="467" customFormat="1" ht="15.75" thickBot="1" x14ac:dyDescent="0.25">
      <c r="A36" s="188" t="str">
        <f>+IF(NOVIEMBRE!A36=0,"",NOVIEMBRE!A36)</f>
        <v>1130103-3-1</v>
      </c>
      <c r="B36" s="189" t="str">
        <f>+CONCATENATE("Vigencia ",INSTRUCCIONES!$F$3)</f>
        <v>Vigencia 2014</v>
      </c>
      <c r="C36" s="456">
        <f>+ENERO!C36</f>
        <v>0</v>
      </c>
      <c r="D36" s="456">
        <f>NOVIEMBRE!D36+DICIEMBRE!P36</f>
        <v>0</v>
      </c>
      <c r="E36" s="456">
        <f>NOVIEMBRE!E36+DICIEMBRE!Q36</f>
        <v>0</v>
      </c>
      <c r="F36" s="170">
        <f>SUM(C36:E36)</f>
        <v>0</v>
      </c>
      <c r="G36" s="283">
        <f>NOVIEMBRE!I36</f>
        <v>0</v>
      </c>
      <c r="H36" s="457">
        <v>0</v>
      </c>
      <c r="I36" s="170">
        <f>SUM(G36:H36)</f>
        <v>0</v>
      </c>
      <c r="J36" s="283">
        <f>NOVIEMBRE!L36</f>
        <v>0</v>
      </c>
      <c r="K36" s="457">
        <v>0</v>
      </c>
      <c r="L36" s="170">
        <f>SUM(J36:K36)</f>
        <v>0</v>
      </c>
      <c r="M36" s="283">
        <f>F36-I36</f>
        <v>0</v>
      </c>
      <c r="N36" s="170">
        <f>F36-L36</f>
        <v>0</v>
      </c>
      <c r="O36" s="10"/>
      <c r="P36" s="455">
        <v>0</v>
      </c>
      <c r="Q36" s="458">
        <v>0</v>
      </c>
      <c r="R36" s="10"/>
      <c r="S36" s="155" t="str">
        <f>+IF(NOVIEMBRE!S36=0,"",NOVIEMBRE!S36)</f>
        <v>1010200-1</v>
      </c>
      <c r="T36" s="159" t="str">
        <f>+IF(NOVIEMBRE!T36=0,"",NOVIEMBRE!T36)</f>
        <v>Remuneración y Honorarios por Servicios Técnicos y Profesionales</v>
      </c>
      <c r="U36" s="29">
        <f>+ENERO!U36</f>
        <v>16339906</v>
      </c>
      <c r="V36" s="17">
        <f>NOVIEMBRE!V36+DICIEMBRE!AL36</f>
        <v>0</v>
      </c>
      <c r="W36" s="17">
        <f>NOVIEMBRE!W36+DICIEMBRE!AM36</f>
        <v>12000000</v>
      </c>
      <c r="X36" s="20">
        <f t="shared" ref="X36:X41" si="36">SUM(U36:W36)</f>
        <v>28339906</v>
      </c>
      <c r="Y36" s="21">
        <f>NOVIEMBRE!AA36</f>
        <v>12499461</v>
      </c>
      <c r="Z36" s="457">
        <v>2568868</v>
      </c>
      <c r="AA36" s="20">
        <f t="shared" ref="AA36:AA41" si="37">SUM(Y36:Z36)</f>
        <v>15068329</v>
      </c>
      <c r="AB36" s="21">
        <f>NOVIEMBRE!AD36</f>
        <v>10816857</v>
      </c>
      <c r="AC36" s="457">
        <v>4251472</v>
      </c>
      <c r="AD36" s="20">
        <f t="shared" ref="AD36:AD41" si="38">SUM(AB36:AC36)</f>
        <v>15068329</v>
      </c>
      <c r="AE36" s="21">
        <f>NOVIEMBRE!AG36</f>
        <v>9614984</v>
      </c>
      <c r="AF36" s="457">
        <v>1201873</v>
      </c>
      <c r="AG36" s="20">
        <f t="shared" ref="AG36:AG41" si="39">SUM(AE36:AF36)</f>
        <v>10816857</v>
      </c>
      <c r="AH36" s="21">
        <f t="shared" ref="AH36:AH41" si="40">X36-AA36</f>
        <v>13271577</v>
      </c>
      <c r="AI36" s="17">
        <f t="shared" ref="AI36:AI41" si="41">X36-AD36</f>
        <v>13271577</v>
      </c>
      <c r="AJ36" s="18">
        <f t="shared" ref="AJ36:AJ41" si="42">X36-AG36</f>
        <v>17523049</v>
      </c>
      <c r="AK36" s="10"/>
      <c r="AL36" s="455">
        <v>0</v>
      </c>
      <c r="AM36" s="458">
        <v>0</v>
      </c>
      <c r="AN36" s="10"/>
      <c r="AO36" s="553"/>
      <c r="AP36" s="24"/>
      <c r="AQ36" s="24"/>
      <c r="AR36" s="24"/>
      <c r="AS36" s="24"/>
      <c r="AT36" s="24"/>
      <c r="AU36" s="24"/>
      <c r="AV36" s="24"/>
      <c r="AW36" s="24"/>
      <c r="AX36" s="24"/>
      <c r="AY36" s="24"/>
      <c r="AZ36" s="25"/>
      <c r="BB36" s="514"/>
      <c r="BC36" s="514"/>
      <c r="BD36" s="514"/>
      <c r="BE36" s="514"/>
      <c r="BF36" s="514"/>
      <c r="BQ36" s="562"/>
    </row>
    <row r="37" spans="1:249" s="467" customFormat="1" ht="15" x14ac:dyDescent="0.2">
      <c r="A37" s="188" t="str">
        <f>+IF(NOVIEMBRE!A37=0,"",NOVIEMBRE!A37)</f>
        <v>1130103-3-2</v>
      </c>
      <c r="B37" s="189" t="str">
        <f>+IF(NOVIEMBRE!B37=0,"",NOVIEMBRE!B37)</f>
        <v>Vigencias Anteriores</v>
      </c>
      <c r="C37" s="456">
        <f>+ENERO!C37</f>
        <v>0</v>
      </c>
      <c r="D37" s="456">
        <f>NOVIEMBRE!D37+DICIEMBRE!P37</f>
        <v>0</v>
      </c>
      <c r="E37" s="456">
        <f>NOVIEMBRE!E37+DICIEMBRE!Q37</f>
        <v>0</v>
      </c>
      <c r="F37" s="170">
        <f>SUM(C37:E37)</f>
        <v>0</v>
      </c>
      <c r="G37" s="283">
        <f>NOVIEMBRE!I37</f>
        <v>0</v>
      </c>
      <c r="H37" s="457">
        <v>0</v>
      </c>
      <c r="I37" s="170">
        <f>SUM(G37:H37)</f>
        <v>0</v>
      </c>
      <c r="J37" s="283">
        <f>NOVIEMBRE!L37</f>
        <v>0</v>
      </c>
      <c r="K37" s="457">
        <v>0</v>
      </c>
      <c r="L37" s="170">
        <f>SUM(J37:K37)</f>
        <v>0</v>
      </c>
      <c r="M37" s="283">
        <f>F37-I37</f>
        <v>0</v>
      </c>
      <c r="N37" s="170">
        <f>F37-L37</f>
        <v>0</v>
      </c>
      <c r="P37" s="455">
        <v>0</v>
      </c>
      <c r="Q37" s="458">
        <v>0</v>
      </c>
      <c r="R37" s="10"/>
      <c r="S37" s="155" t="str">
        <f>+IF(NOVIEMBRE!S37=0,"",NOVIEMBRE!S37)</f>
        <v>1010200-2</v>
      </c>
      <c r="T37" s="159" t="str">
        <f>+IF(NOVIEMBRE!T37=0,"",NOVIEMBRE!T37)</f>
        <v>Personal Supernumerario</v>
      </c>
      <c r="U37" s="29">
        <f>+ENERO!U37</f>
        <v>10000000</v>
      </c>
      <c r="V37" s="17">
        <f>NOVIEMBRE!V37+DICIEMBRE!AL37</f>
        <v>0</v>
      </c>
      <c r="W37" s="17">
        <f>NOVIEMBRE!W37+DICIEMBRE!AM37</f>
        <v>0</v>
      </c>
      <c r="X37" s="20">
        <f t="shared" si="36"/>
        <v>10000000</v>
      </c>
      <c r="Y37" s="21">
        <f>NOVIEMBRE!AA37</f>
        <v>0</v>
      </c>
      <c r="Z37" s="457">
        <v>0</v>
      </c>
      <c r="AA37" s="20">
        <f t="shared" si="37"/>
        <v>0</v>
      </c>
      <c r="AB37" s="21">
        <f>NOVIEMBRE!AD37</f>
        <v>0</v>
      </c>
      <c r="AC37" s="457">
        <v>0</v>
      </c>
      <c r="AD37" s="20">
        <f t="shared" si="38"/>
        <v>0</v>
      </c>
      <c r="AE37" s="21">
        <f>NOVIEMBRE!AG37</f>
        <v>0</v>
      </c>
      <c r="AF37" s="457">
        <v>0</v>
      </c>
      <c r="AG37" s="20">
        <f t="shared" si="39"/>
        <v>0</v>
      </c>
      <c r="AH37" s="21">
        <f t="shared" si="40"/>
        <v>10000000</v>
      </c>
      <c r="AI37" s="17">
        <f t="shared" si="41"/>
        <v>10000000</v>
      </c>
      <c r="AJ37" s="18">
        <f t="shared" si="42"/>
        <v>10000000</v>
      </c>
      <c r="AK37" s="10"/>
      <c r="AL37" s="455">
        <v>0</v>
      </c>
      <c r="AM37" s="458">
        <v>0</v>
      </c>
      <c r="AN37" s="10"/>
      <c r="AO37" s="26" t="s">
        <v>161</v>
      </c>
      <c r="BQ37" s="562"/>
    </row>
    <row r="38" spans="1:249" s="467" customFormat="1" x14ac:dyDescent="0.2">
      <c r="A38" s="718"/>
      <c r="B38" s="719"/>
      <c r="C38" s="720"/>
      <c r="D38" s="720"/>
      <c r="E38" s="720"/>
      <c r="F38" s="721"/>
      <c r="G38" s="722"/>
      <c r="H38" s="723"/>
      <c r="I38" s="721"/>
      <c r="J38" s="722"/>
      <c r="K38" s="723"/>
      <c r="L38" s="721"/>
      <c r="M38" s="722"/>
      <c r="N38" s="721"/>
      <c r="O38" s="726"/>
      <c r="P38" s="724"/>
      <c r="Q38" s="725"/>
      <c r="R38" s="10"/>
      <c r="S38" s="155" t="str">
        <f>+IF(NOVIEMBRE!S38=0,"",NOVIEMBRE!S38)</f>
        <v>1010200-3</v>
      </c>
      <c r="T38" s="159" t="str">
        <f>+IF(NOVIEMBRE!T38=0,"",NOVIEMBRE!T38)</f>
        <v>Honorarios de la Junta Directiva</v>
      </c>
      <c r="U38" s="29">
        <f>+ENERO!U38</f>
        <v>1098240</v>
      </c>
      <c r="V38" s="17">
        <f>NOVIEMBRE!V38+DICIEMBRE!AL38</f>
        <v>0</v>
      </c>
      <c r="W38" s="17">
        <f>NOVIEMBRE!W38+DICIEMBRE!AM38</f>
        <v>2200000</v>
      </c>
      <c r="X38" s="20">
        <f t="shared" si="36"/>
        <v>3298240</v>
      </c>
      <c r="Y38" s="21">
        <f>NOVIEMBRE!AA38</f>
        <v>1639350</v>
      </c>
      <c r="Z38" s="457">
        <v>0</v>
      </c>
      <c r="AA38" s="20">
        <f t="shared" si="37"/>
        <v>1639350</v>
      </c>
      <c r="AB38" s="21">
        <f>NOVIEMBRE!AD38</f>
        <v>1639350</v>
      </c>
      <c r="AC38" s="457">
        <v>0</v>
      </c>
      <c r="AD38" s="20">
        <f t="shared" si="38"/>
        <v>1639350</v>
      </c>
      <c r="AE38" s="21">
        <f>NOVIEMBRE!AG38</f>
        <v>1639350</v>
      </c>
      <c r="AF38" s="457">
        <v>0</v>
      </c>
      <c r="AG38" s="20">
        <f t="shared" si="39"/>
        <v>1639350</v>
      </c>
      <c r="AH38" s="21">
        <f t="shared" si="40"/>
        <v>1658890</v>
      </c>
      <c r="AI38" s="17">
        <f t="shared" si="41"/>
        <v>1658890</v>
      </c>
      <c r="AJ38" s="18">
        <f t="shared" si="42"/>
        <v>1658890</v>
      </c>
      <c r="AK38" s="10"/>
      <c r="AL38" s="455">
        <v>0</v>
      </c>
      <c r="AM38" s="458">
        <v>0</v>
      </c>
      <c r="AN38" s="10"/>
      <c r="AO38" s="365"/>
      <c r="AP38" s="365"/>
      <c r="AQ38" s="365"/>
      <c r="AR38" s="365"/>
      <c r="AS38" s="365"/>
      <c r="AT38" s="365"/>
      <c r="AU38" s="365"/>
      <c r="AV38" s="365"/>
      <c r="AW38" s="365"/>
      <c r="AX38" s="365"/>
      <c r="AY38" s="365"/>
      <c r="AZ38" s="365"/>
      <c r="BQ38" s="562"/>
    </row>
    <row r="39" spans="1:249" s="467" customFormat="1" x14ac:dyDescent="0.2">
      <c r="A39" s="718"/>
      <c r="B39" s="719"/>
      <c r="C39" s="720"/>
      <c r="D39" s="720"/>
      <c r="E39" s="720"/>
      <c r="F39" s="721"/>
      <c r="G39" s="722"/>
      <c r="H39" s="723"/>
      <c r="I39" s="721"/>
      <c r="J39" s="722"/>
      <c r="K39" s="723"/>
      <c r="L39" s="721"/>
      <c r="M39" s="722"/>
      <c r="N39" s="721"/>
      <c r="O39" s="726"/>
      <c r="P39" s="724"/>
      <c r="Q39" s="725"/>
      <c r="R39" s="10"/>
      <c r="S39" s="155" t="str">
        <f>+IF(NOVIEMBRE!S39=0,"",NOVIEMBRE!S39)</f>
        <v>1010200-4</v>
      </c>
      <c r="T39" s="159" t="str">
        <f>+IF(NOVIEMBRE!T39=0,"",NOVIEMBRE!T39)</f>
        <v>Otros Honorarios (Servicios de Cooperativa)</v>
      </c>
      <c r="U39" s="29">
        <f>+ENERO!U39</f>
        <v>80796809</v>
      </c>
      <c r="V39" s="17">
        <f>NOVIEMBRE!V39+DICIEMBRE!AL39</f>
        <v>0</v>
      </c>
      <c r="W39" s="17">
        <f>NOVIEMBRE!W39+DICIEMBRE!AM39</f>
        <v>10000000</v>
      </c>
      <c r="X39" s="20">
        <f t="shared" si="36"/>
        <v>90796809</v>
      </c>
      <c r="Y39" s="21">
        <f>NOVIEMBRE!AA39</f>
        <v>59235065</v>
      </c>
      <c r="Z39" s="457">
        <v>12823380</v>
      </c>
      <c r="AA39" s="20">
        <f t="shared" si="37"/>
        <v>72058445</v>
      </c>
      <c r="AB39" s="21">
        <f>NOVIEMBRE!AD39</f>
        <v>59235065</v>
      </c>
      <c r="AC39" s="457">
        <v>12823380</v>
      </c>
      <c r="AD39" s="20">
        <f t="shared" si="38"/>
        <v>72058445</v>
      </c>
      <c r="AE39" s="21">
        <f>NOVIEMBRE!AG39</f>
        <v>49982560</v>
      </c>
      <c r="AF39" s="457">
        <v>10752505</v>
      </c>
      <c r="AG39" s="20">
        <f t="shared" si="39"/>
        <v>60735065</v>
      </c>
      <c r="AH39" s="21">
        <f t="shared" si="40"/>
        <v>18738364</v>
      </c>
      <c r="AI39" s="17">
        <f t="shared" si="41"/>
        <v>18738364</v>
      </c>
      <c r="AJ39" s="18">
        <f t="shared" si="42"/>
        <v>30061744</v>
      </c>
      <c r="AK39" s="10"/>
      <c r="AL39" s="455">
        <v>0</v>
      </c>
      <c r="AM39" s="458">
        <v>0</v>
      </c>
      <c r="AN39" s="10"/>
      <c r="AO39" s="365"/>
      <c r="AP39" s="365"/>
      <c r="AQ39" s="365"/>
      <c r="AR39" s="365"/>
      <c r="AS39" s="365"/>
      <c r="AT39" s="365"/>
      <c r="AU39" s="365"/>
      <c r="AV39" s="365"/>
      <c r="AW39" s="365"/>
      <c r="AX39" s="365"/>
      <c r="AY39" s="365"/>
      <c r="AZ39" s="365"/>
      <c r="BQ39" s="562"/>
    </row>
    <row r="40" spans="1:249" s="514" customFormat="1" x14ac:dyDescent="0.2">
      <c r="A40" s="718"/>
      <c r="B40" s="719"/>
      <c r="C40" s="720"/>
      <c r="D40" s="720"/>
      <c r="E40" s="720"/>
      <c r="F40" s="721"/>
      <c r="G40" s="722"/>
      <c r="H40" s="723"/>
      <c r="I40" s="721"/>
      <c r="J40" s="722"/>
      <c r="K40" s="723"/>
      <c r="L40" s="721"/>
      <c r="M40" s="722"/>
      <c r="N40" s="721"/>
      <c r="O40" s="726"/>
      <c r="P40" s="724"/>
      <c r="Q40" s="725"/>
      <c r="R40" s="10"/>
      <c r="S40" s="155" t="str">
        <f>+IF(NOVIEMBRE!S40=0,"",NOVIEMBRE!S40)</f>
        <v>1010200-6</v>
      </c>
      <c r="T40" s="159" t="str">
        <f>+IF(NOVIEMBRE!T40=0,"",NOVIEMBRE!T40)</f>
        <v>Certificación, Habilitación y Acreditación</v>
      </c>
      <c r="U40" s="29">
        <f>+ENERO!U40</f>
        <v>0</v>
      </c>
      <c r="V40" s="17">
        <f>NOVIEMBRE!V40+DICIEMBRE!AL40</f>
        <v>0</v>
      </c>
      <c r="W40" s="17">
        <f>NOVIEMBRE!W40+DICIEMBRE!AM40</f>
        <v>0</v>
      </c>
      <c r="X40" s="20">
        <f t="shared" si="36"/>
        <v>0</v>
      </c>
      <c r="Y40" s="21">
        <f>NOVIEMBRE!AA40</f>
        <v>0</v>
      </c>
      <c r="Z40" s="457">
        <v>0</v>
      </c>
      <c r="AA40" s="20">
        <f t="shared" si="37"/>
        <v>0</v>
      </c>
      <c r="AB40" s="21">
        <f>NOVIEMBRE!AD40</f>
        <v>0</v>
      </c>
      <c r="AC40" s="457">
        <v>0</v>
      </c>
      <c r="AD40" s="20">
        <f t="shared" si="38"/>
        <v>0</v>
      </c>
      <c r="AE40" s="21">
        <f>NOVIEMBRE!AG40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562"/>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67"/>
      <c r="IK40" s="467"/>
      <c r="IL40" s="467"/>
      <c r="IM40" s="467"/>
      <c r="IN40" s="467"/>
      <c r="IO40" s="467"/>
    </row>
    <row r="41" spans="1:249" s="514" customFormat="1" x14ac:dyDescent="0.2">
      <c r="A41" s="727"/>
      <c r="B41" s="728"/>
      <c r="C41" s="720"/>
      <c r="D41" s="720"/>
      <c r="E41" s="720"/>
      <c r="F41" s="721"/>
      <c r="G41" s="722"/>
      <c r="H41" s="723"/>
      <c r="I41" s="721"/>
      <c r="J41" s="722"/>
      <c r="K41" s="723"/>
      <c r="L41" s="721"/>
      <c r="M41" s="722"/>
      <c r="N41" s="721"/>
      <c r="O41" s="726"/>
      <c r="P41" s="724"/>
      <c r="Q41" s="725"/>
      <c r="R41" s="10"/>
      <c r="S41" s="155">
        <f>+IF(NOVIEMBRE!S41=0,"",NOVIEMBRE!S41)</f>
        <v>1010299</v>
      </c>
      <c r="T41" s="159" t="str">
        <f>+IF(NOVIEMBRE!T41=0,"",NOVIEMBRE!T41)</f>
        <v>Vigencias Anteriores</v>
      </c>
      <c r="U41" s="29">
        <f>+ENERO!U41</f>
        <v>5520741</v>
      </c>
      <c r="V41" s="17">
        <f>NOVIEMBRE!V41+DICIEMBRE!AL41</f>
        <v>-2668000</v>
      </c>
      <c r="W41" s="17">
        <f>NOVIEMBRE!W41+DICIEMBRE!AM41</f>
        <v>0</v>
      </c>
      <c r="X41" s="20">
        <f t="shared" si="36"/>
        <v>2852741</v>
      </c>
      <c r="Y41" s="21">
        <f>NOVIEMBRE!AA41</f>
        <v>2852741</v>
      </c>
      <c r="Z41" s="457">
        <v>0</v>
      </c>
      <c r="AA41" s="20">
        <f t="shared" si="37"/>
        <v>2852741</v>
      </c>
      <c r="AB41" s="21">
        <f>NOVIEMBRE!AD41</f>
        <v>2852741</v>
      </c>
      <c r="AC41" s="457">
        <v>0</v>
      </c>
      <c r="AD41" s="20">
        <f t="shared" si="38"/>
        <v>2852741</v>
      </c>
      <c r="AE41" s="21">
        <f>NOVIEMBRE!AG41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c r="BQ41" s="702"/>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67"/>
      <c r="IK41" s="467"/>
      <c r="IL41" s="467"/>
      <c r="IM41" s="467"/>
      <c r="IN41" s="467"/>
      <c r="IO41" s="467"/>
    </row>
    <row r="42" spans="1:249" s="467" customFormat="1" ht="15.75" x14ac:dyDescent="0.2">
      <c r="A42" s="57">
        <f>+IF(NOVIEMBRE!A42=0,"",NOVIEMBRE!A42)</f>
        <v>1130106</v>
      </c>
      <c r="B42" s="45" t="str">
        <f>+IF(NOVIEMBRE!B42=0,"",NOVIEMBRE!B42)</f>
        <v>SALUD PUBLICA - PLAN DE INTERVENCIONES COLECTIVAS</v>
      </c>
      <c r="C42" s="53">
        <f t="shared" ref="C42:N42" si="43">SUM(C43:C44)</f>
        <v>125397398</v>
      </c>
      <c r="D42" s="53">
        <f t="shared" si="43"/>
        <v>0</v>
      </c>
      <c r="E42" s="53">
        <f t="shared" si="43"/>
        <v>50000000</v>
      </c>
      <c r="F42" s="54">
        <f t="shared" si="43"/>
        <v>175397398</v>
      </c>
      <c r="G42" s="52">
        <f t="shared" si="43"/>
        <v>121347996</v>
      </c>
      <c r="H42" s="53">
        <f t="shared" si="43"/>
        <v>44792682</v>
      </c>
      <c r="I42" s="54">
        <f t="shared" si="43"/>
        <v>166140678</v>
      </c>
      <c r="J42" s="52">
        <f t="shared" si="43"/>
        <v>83976843</v>
      </c>
      <c r="K42" s="53">
        <f t="shared" si="43"/>
        <v>53163833</v>
      </c>
      <c r="L42" s="54">
        <f t="shared" si="43"/>
        <v>137140676</v>
      </c>
      <c r="M42" s="52">
        <f t="shared" si="43"/>
        <v>9256720</v>
      </c>
      <c r="N42" s="54">
        <f t="shared" si="43"/>
        <v>38256722</v>
      </c>
      <c r="P42" s="52">
        <f>SUM(P43:P44)</f>
        <v>0</v>
      </c>
      <c r="Q42" s="54">
        <f>SUM(Q43:Q44)</f>
        <v>0</v>
      </c>
      <c r="R42" s="10"/>
      <c r="S42" s="448" t="str">
        <f>+IF(NOVIEMBRE!S42=0,"",NOVIEMBRE!S42)</f>
        <v/>
      </c>
      <c r="T42" s="649" t="str">
        <f>+IF(NOVIEMBRE!T42=0,"",NOVIEMBRE!T42)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c r="BQ42" s="562"/>
    </row>
    <row r="43" spans="1:249" s="514" customFormat="1" ht="15" x14ac:dyDescent="0.2">
      <c r="A43" s="188" t="str">
        <f>+IF(NOVIEMBRE!A43=0,"",NOVIEMBRE!A43)</f>
        <v>1130106-1</v>
      </c>
      <c r="B43" s="189" t="str">
        <f>+CONCATENATE("Vigencia ",INSTRUCCIONES!$F$3)</f>
        <v>Vigencia 2014</v>
      </c>
      <c r="C43" s="456">
        <f>+ENERO!C43</f>
        <v>125397398</v>
      </c>
      <c r="D43" s="456">
        <f>NOVIEMBRE!D43+DICIEMBRE!P43</f>
        <v>0</v>
      </c>
      <c r="E43" s="456">
        <f>NOVIEMBRE!E43+DICIEMBRE!Q43</f>
        <v>50000000</v>
      </c>
      <c r="F43" s="170">
        <f>SUM(C43:E43)</f>
        <v>175397398</v>
      </c>
      <c r="G43" s="283">
        <f>NOVIEMBRE!I43</f>
        <v>121347996</v>
      </c>
      <c r="H43" s="457">
        <v>44792682</v>
      </c>
      <c r="I43" s="170">
        <f>SUM(G43:H43)</f>
        <v>166140678</v>
      </c>
      <c r="J43" s="283">
        <f>NOVIEMBRE!L43</f>
        <v>83976843</v>
      </c>
      <c r="K43" s="457">
        <v>53163833</v>
      </c>
      <c r="L43" s="170">
        <f>SUM(J43:K43)</f>
        <v>137140676</v>
      </c>
      <c r="M43" s="283">
        <f>F43-I43</f>
        <v>9256720</v>
      </c>
      <c r="N43" s="170">
        <f>F43-L43</f>
        <v>38256722</v>
      </c>
      <c r="O43" s="467"/>
      <c r="P43" s="455">
        <v>0</v>
      </c>
      <c r="Q43" s="458">
        <v>0</v>
      </c>
      <c r="R43" s="10"/>
      <c r="S43" s="34">
        <f>+IF(NOVIEMBRE!S43=0,"",NOVIEMBRE!S43)</f>
        <v>1010300</v>
      </c>
      <c r="T43" s="158" t="str">
        <f>+IF(NOVIEMBRE!T43=0,"",NOVIEMBRE!T43)</f>
        <v>Contribuciones Inherentes nómina al Sector Privado</v>
      </c>
      <c r="U43" s="157">
        <f t="shared" ref="U43:AJ43" si="44">U44+U49+U55</f>
        <v>119647956</v>
      </c>
      <c r="V43" s="144">
        <f t="shared" si="44"/>
        <v>487148</v>
      </c>
      <c r="W43" s="144">
        <f t="shared" si="44"/>
        <v>0</v>
      </c>
      <c r="X43" s="152">
        <f t="shared" si="44"/>
        <v>120135104</v>
      </c>
      <c r="Y43" s="151">
        <f t="shared" si="44"/>
        <v>102950118</v>
      </c>
      <c r="Z43" s="144">
        <f t="shared" si="44"/>
        <v>11211000</v>
      </c>
      <c r="AA43" s="152">
        <f t="shared" si="44"/>
        <v>114161118</v>
      </c>
      <c r="AB43" s="151">
        <f t="shared" si="44"/>
        <v>102950118</v>
      </c>
      <c r="AC43" s="144">
        <f t="shared" si="44"/>
        <v>11211000</v>
      </c>
      <c r="AD43" s="152">
        <f t="shared" si="44"/>
        <v>114161118</v>
      </c>
      <c r="AE43" s="151">
        <f t="shared" si="44"/>
        <v>98545418</v>
      </c>
      <c r="AF43" s="144">
        <f t="shared" si="44"/>
        <v>13404700</v>
      </c>
      <c r="AG43" s="152">
        <f t="shared" si="44"/>
        <v>111950118</v>
      </c>
      <c r="AH43" s="151">
        <f t="shared" si="44"/>
        <v>5973986</v>
      </c>
      <c r="AI43" s="144">
        <f t="shared" si="44"/>
        <v>5973986</v>
      </c>
      <c r="AJ43" s="153">
        <f t="shared" si="44"/>
        <v>8184986</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562"/>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67"/>
      <c r="IK43" s="467"/>
      <c r="IL43" s="467"/>
      <c r="IM43" s="467"/>
      <c r="IN43" s="467"/>
      <c r="IO43" s="467"/>
    </row>
    <row r="44" spans="1:249" s="514" customFormat="1" ht="15" x14ac:dyDescent="0.2">
      <c r="A44" s="188" t="str">
        <f>+IF(NOVIEMBRE!A44=0,"",NOVIEMBRE!A44)</f>
        <v>1130106-2</v>
      </c>
      <c r="B44" s="189" t="str">
        <f>+IF(NOVIEMBRE!B44=0,"",NOVIEMBRE!B44)</f>
        <v>Vigencias Anteriores</v>
      </c>
      <c r="C44" s="456">
        <f>+ENERO!C44</f>
        <v>0</v>
      </c>
      <c r="D44" s="456">
        <f>NOVIEMBRE!D44+DICIEMBRE!P44</f>
        <v>0</v>
      </c>
      <c r="E44" s="456">
        <f>NOVIEMBRE!E44+DICIEMBRE!Q44</f>
        <v>0</v>
      </c>
      <c r="F44" s="170">
        <f>SUM(C44:E44)</f>
        <v>0</v>
      </c>
      <c r="G44" s="283">
        <f>NOVIEMBRE!I44</f>
        <v>0</v>
      </c>
      <c r="H44" s="457">
        <v>0</v>
      </c>
      <c r="I44" s="170">
        <f>SUM(G44:H44)</f>
        <v>0</v>
      </c>
      <c r="J44" s="283">
        <f>NOVIEMBRE!L44</f>
        <v>0</v>
      </c>
      <c r="K44" s="457">
        <v>0</v>
      </c>
      <c r="L44" s="170">
        <f>SUM(J44:K44)</f>
        <v>0</v>
      </c>
      <c r="M44" s="283">
        <f>F44-I44</f>
        <v>0</v>
      </c>
      <c r="N44" s="170">
        <f>F44-L44</f>
        <v>0</v>
      </c>
      <c r="O44" s="467"/>
      <c r="P44" s="455">
        <v>0</v>
      </c>
      <c r="Q44" s="458">
        <v>0</v>
      </c>
      <c r="R44" s="10"/>
      <c r="S44" s="155">
        <f>+IF(NOVIEMBRE!S44=0,"",NOVIEMBRE!S44)</f>
        <v>1010301</v>
      </c>
      <c r="T44" s="159" t="str">
        <f>+IF(NOVIEMBRE!T44=0,"",NOVIEMBRE!T44)</f>
        <v>Contribuciones - Sin Situación de Fondos</v>
      </c>
      <c r="U44" s="29">
        <f t="shared" ref="U44:AJ44" si="45">SUM(U45:U48)</f>
        <v>56401928</v>
      </c>
      <c r="V44" s="17">
        <f t="shared" si="45"/>
        <v>0</v>
      </c>
      <c r="W44" s="17">
        <f t="shared" si="45"/>
        <v>0</v>
      </c>
      <c r="X44" s="20">
        <f t="shared" si="45"/>
        <v>56401928</v>
      </c>
      <c r="Y44" s="21">
        <f t="shared" si="45"/>
        <v>41809000</v>
      </c>
      <c r="Z44" s="169">
        <f t="shared" si="45"/>
        <v>9000000</v>
      </c>
      <c r="AA44" s="20">
        <f t="shared" si="45"/>
        <v>50809000</v>
      </c>
      <c r="AB44" s="21">
        <f t="shared" si="45"/>
        <v>41809000</v>
      </c>
      <c r="AC44" s="169">
        <f t="shared" si="45"/>
        <v>9000000</v>
      </c>
      <c r="AD44" s="20">
        <f t="shared" si="45"/>
        <v>50809000</v>
      </c>
      <c r="AE44" s="21">
        <f t="shared" si="45"/>
        <v>38584300</v>
      </c>
      <c r="AF44" s="169">
        <f t="shared" si="45"/>
        <v>12224700</v>
      </c>
      <c r="AG44" s="20">
        <f t="shared" si="45"/>
        <v>50809000</v>
      </c>
      <c r="AH44" s="21">
        <f t="shared" si="45"/>
        <v>5592928</v>
      </c>
      <c r="AI44" s="17">
        <f t="shared" si="45"/>
        <v>5592928</v>
      </c>
      <c r="AJ44" s="18">
        <f t="shared" si="45"/>
        <v>5592928</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562"/>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67"/>
      <c r="IK44" s="467"/>
      <c r="IL44" s="467"/>
      <c r="IM44" s="467"/>
      <c r="IN44" s="467"/>
      <c r="IO44" s="467"/>
    </row>
    <row r="45" spans="1:249" s="467" customFormat="1" x14ac:dyDescent="0.2">
      <c r="A45" s="57">
        <f>+IF(NOVIEMBRE!A45=0,"",NOVIEMBRE!A45)</f>
        <v>1130107</v>
      </c>
      <c r="B45" s="45" t="str">
        <f>+IF(NOVIEMBRE!B45=0,"",NOVIEMBRE!B45)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+IF(NOVIEMBRE!S45=0,"",NOVIEMBRE!S45)</f>
        <v>1010301-1</v>
      </c>
      <c r="T45" s="55" t="str">
        <f>+IF(NOVIEMBRE!T45=0,"",NOVIEMBRE!T45)</f>
        <v>Aportes a E.P.S.- Sin sit. Fondos</v>
      </c>
      <c r="U45" s="29">
        <f>+ENERO!U45</f>
        <v>24712429</v>
      </c>
      <c r="V45" s="17">
        <f>NOVIEMBRE!V45+DICIEMBRE!AL45</f>
        <v>0</v>
      </c>
      <c r="W45" s="17">
        <f>NOVIEMBRE!W45+DICIEMBRE!AM45</f>
        <v>0</v>
      </c>
      <c r="X45" s="20">
        <f>SUM(U45:W45)</f>
        <v>24712429</v>
      </c>
      <c r="Y45" s="21">
        <f>NOVIEMBRE!AA45</f>
        <v>20484296</v>
      </c>
      <c r="Z45" s="457">
        <v>4000000</v>
      </c>
      <c r="AA45" s="20">
        <f>SUM(Y45:Z45)</f>
        <v>24484296</v>
      </c>
      <c r="AB45" s="21">
        <f>NOVIEMBRE!AD45</f>
        <v>20484296</v>
      </c>
      <c r="AC45" s="457">
        <v>4000000</v>
      </c>
      <c r="AD45" s="20">
        <f>SUM(AB45:AC45)</f>
        <v>24484296</v>
      </c>
      <c r="AE45" s="21">
        <f>NOVIEMBRE!AG45</f>
        <v>19147296</v>
      </c>
      <c r="AF45" s="457">
        <v>5337000</v>
      </c>
      <c r="AG45" s="20">
        <f>SUM(AE45:AF45)</f>
        <v>24484296</v>
      </c>
      <c r="AH45" s="21">
        <f>X45-AA45</f>
        <v>228133</v>
      </c>
      <c r="AI45" s="17">
        <f>X45-AD45</f>
        <v>228133</v>
      </c>
      <c r="AJ45" s="18">
        <f>X45-AG45</f>
        <v>228133</v>
      </c>
      <c r="AK45" s="10"/>
      <c r="AL45" s="455">
        <v>0</v>
      </c>
      <c r="AM45" s="458">
        <v>0</v>
      </c>
      <c r="AN45" s="10"/>
      <c r="AO45" s="365"/>
      <c r="AP45" s="365"/>
      <c r="AQ45" s="365"/>
      <c r="AR45" s="365"/>
      <c r="AS45" s="365"/>
      <c r="AT45" s="365"/>
      <c r="AU45" s="365"/>
      <c r="AV45" s="365"/>
      <c r="AW45" s="365"/>
      <c r="AX45" s="365"/>
      <c r="AY45" s="365"/>
      <c r="AZ45" s="365"/>
      <c r="BQ45" s="562"/>
    </row>
    <row r="46" spans="1:249" s="514" customFormat="1" ht="15" x14ac:dyDescent="0.2">
      <c r="A46" s="188" t="str">
        <f>+IF(NOVIEMBRE!A46=0,"",NOVIEMBRE!A46)</f>
        <v>1130107-1</v>
      </c>
      <c r="B46" s="189" t="str">
        <f>+CONCATENATE("Vigencia ",INSTRUCCIONES!$F$3)</f>
        <v>Vigencia 2014</v>
      </c>
      <c r="C46" s="456">
        <f>+ENERO!C46</f>
        <v>0</v>
      </c>
      <c r="D46" s="456">
        <f>NOVIEMBRE!D46+DICIEMBRE!P46</f>
        <v>0</v>
      </c>
      <c r="E46" s="456">
        <f>NOVIEMBRE!E46+DICIEMBRE!Q46</f>
        <v>0</v>
      </c>
      <c r="F46" s="170">
        <f>SUM(C46:E46)</f>
        <v>0</v>
      </c>
      <c r="G46" s="283">
        <f>NOVIEMBRE!I46</f>
        <v>0</v>
      </c>
      <c r="H46" s="457">
        <v>0</v>
      </c>
      <c r="I46" s="170">
        <f>SUM(G46:H46)</f>
        <v>0</v>
      </c>
      <c r="J46" s="283">
        <f>NOVIEMBRE!L46</f>
        <v>0</v>
      </c>
      <c r="K46" s="457">
        <v>0</v>
      </c>
      <c r="L46" s="170">
        <f>SUM(J46:K46)</f>
        <v>0</v>
      </c>
      <c r="M46" s="283">
        <f>F46-I46</f>
        <v>0</v>
      </c>
      <c r="N46" s="170">
        <f>F46-L46</f>
        <v>0</v>
      </c>
      <c r="O46" s="467"/>
      <c r="P46" s="455">
        <v>0</v>
      </c>
      <c r="Q46" s="458">
        <v>0</v>
      </c>
      <c r="R46" s="10"/>
      <c r="S46" s="156" t="str">
        <f>+IF(NOVIEMBRE!S46=0,"",NOVIEMBRE!S46)</f>
        <v>1010301-2</v>
      </c>
      <c r="T46" s="55" t="str">
        <f>+IF(NOVIEMBRE!T46=0,"",NOVIEMBRE!T46)</f>
        <v>Aportes Fondos Pensionales - Sin Sit. Fondos</v>
      </c>
      <c r="U46" s="29">
        <f>+ENERO!U46</f>
        <v>26693987</v>
      </c>
      <c r="V46" s="17">
        <f>NOVIEMBRE!V46+DICIEMBRE!AL46</f>
        <v>0</v>
      </c>
      <c r="W46" s="17">
        <f>NOVIEMBRE!W46+DICIEMBRE!AM46</f>
        <v>0</v>
      </c>
      <c r="X46" s="20">
        <f>SUM(U46:W46)</f>
        <v>26693987</v>
      </c>
      <c r="Y46" s="21">
        <f>NOVIEMBRE!AA46</f>
        <v>21324704</v>
      </c>
      <c r="Z46" s="457">
        <v>5000000</v>
      </c>
      <c r="AA46" s="20">
        <f>SUM(Y46:Z46)</f>
        <v>26324704</v>
      </c>
      <c r="AB46" s="21">
        <f>NOVIEMBRE!AD46</f>
        <v>21324704</v>
      </c>
      <c r="AC46" s="457">
        <v>5000000</v>
      </c>
      <c r="AD46" s="20">
        <f>SUM(AB46:AC46)</f>
        <v>26324704</v>
      </c>
      <c r="AE46" s="21">
        <f>NOVIEMBRE!AG46</f>
        <v>19437004</v>
      </c>
      <c r="AF46" s="457">
        <v>6887700</v>
      </c>
      <c r="AG46" s="20">
        <f>SUM(AE46:AF46)</f>
        <v>26324704</v>
      </c>
      <c r="AH46" s="21">
        <f>X46-AA46</f>
        <v>369283</v>
      </c>
      <c r="AI46" s="17">
        <f>X46-AD46</f>
        <v>369283</v>
      </c>
      <c r="AJ46" s="18">
        <f>X46-AG46</f>
        <v>369283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c r="BQ46" s="702"/>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67"/>
      <c r="IK46" s="467"/>
      <c r="IL46" s="467"/>
      <c r="IM46" s="467"/>
      <c r="IN46" s="467"/>
      <c r="IO46" s="467"/>
    </row>
    <row r="47" spans="1:249" s="514" customFormat="1" ht="15" x14ac:dyDescent="0.2">
      <c r="A47" s="188" t="str">
        <f>+IF(NOVIEMBRE!A47=0,"",NOVIEMBRE!A47)</f>
        <v>1130107-2</v>
      </c>
      <c r="B47" s="189" t="str">
        <f>+IF(NOVIEMBRE!B47=0,"",NOVIEMBRE!B47)</f>
        <v>Vigencias Anteriores</v>
      </c>
      <c r="C47" s="456">
        <f>+ENERO!C47</f>
        <v>0</v>
      </c>
      <c r="D47" s="456">
        <f>NOVIEMBRE!D47+DICIEMBRE!P47</f>
        <v>0</v>
      </c>
      <c r="E47" s="456">
        <f>NOVIEMBRE!E47+DICIEMBRE!Q47</f>
        <v>0</v>
      </c>
      <c r="F47" s="170">
        <f>SUM(C47:E47)</f>
        <v>0</v>
      </c>
      <c r="G47" s="283">
        <f>NOVIEMBRE!I47</f>
        <v>0</v>
      </c>
      <c r="H47" s="457">
        <v>0</v>
      </c>
      <c r="I47" s="170">
        <f>SUM(G47:H47)</f>
        <v>0</v>
      </c>
      <c r="J47" s="283">
        <f>NOVIEMBRE!L47</f>
        <v>0</v>
      </c>
      <c r="K47" s="457">
        <v>0</v>
      </c>
      <c r="L47" s="170">
        <f>SUM(J47:K47)</f>
        <v>0</v>
      </c>
      <c r="M47" s="283">
        <f>F47-I47</f>
        <v>0</v>
      </c>
      <c r="N47" s="170">
        <f>F47-L47</f>
        <v>0</v>
      </c>
      <c r="O47" s="467"/>
      <c r="P47" s="455">
        <v>0</v>
      </c>
      <c r="Q47" s="458">
        <v>0</v>
      </c>
      <c r="R47" s="10"/>
      <c r="S47" s="156" t="str">
        <f>+IF(NOVIEMBRE!S47=0,"",NOVIEMBRE!S47)</f>
        <v>1010301-3</v>
      </c>
      <c r="T47" s="55" t="str">
        <f>+IF(NOVIEMBRE!T47=0,"",NOVIEMBRE!T47)</f>
        <v xml:space="preserve">Aportes a Fondos de Cesantia - Sin Sit. de Fondos </v>
      </c>
      <c r="U47" s="29">
        <f>+ENERO!U47</f>
        <v>4995512</v>
      </c>
      <c r="V47" s="17">
        <f>NOVIEMBRE!V47+DICIEMBRE!AL47</f>
        <v>0</v>
      </c>
      <c r="W47" s="17">
        <f>NOVIEMBRE!W47+DICIEMBRE!AM47</f>
        <v>0</v>
      </c>
      <c r="X47" s="20">
        <f>SUM(U47:W47)</f>
        <v>4995512</v>
      </c>
      <c r="Y47" s="21">
        <f>NOVIEMBRE!AA47</f>
        <v>0</v>
      </c>
      <c r="Z47" s="457">
        <v>0</v>
      </c>
      <c r="AA47" s="20">
        <f>SUM(Y47:Z47)</f>
        <v>0</v>
      </c>
      <c r="AB47" s="21">
        <f>NOVIEMBRE!AD47</f>
        <v>0</v>
      </c>
      <c r="AC47" s="457">
        <v>0</v>
      </c>
      <c r="AD47" s="20">
        <f>SUM(AB47:AC47)</f>
        <v>0</v>
      </c>
      <c r="AE47" s="21">
        <f>NOVIEMBRE!AG47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562"/>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67"/>
      <c r="IK47" s="467"/>
      <c r="IL47" s="467"/>
      <c r="IM47" s="467"/>
      <c r="IN47" s="467"/>
      <c r="IO47" s="467"/>
    </row>
    <row r="48" spans="1:249" s="467" customFormat="1" x14ac:dyDescent="0.2">
      <c r="A48" s="57">
        <f>+IF(NOVIEMBRE!A48=0,"",NOVIEMBRE!A48)</f>
        <v>1130108</v>
      </c>
      <c r="B48" s="45" t="str">
        <f>+IF(NOVIEMBRE!B48=0,"",NOVIEMBRE!B48)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+IF(NOVIEMBRE!S48=0,"",NOVIEMBRE!S48)</f>
        <v>1010301-4</v>
      </c>
      <c r="T48" s="55" t="str">
        <f>+IF(NOVIEMBRE!T48=0,"",NOVIEMBRE!T48)</f>
        <v xml:space="preserve">Aporte a ARL. - Sin Sit. de Fondos </v>
      </c>
      <c r="U48" s="29">
        <f>+ENERO!U48</f>
        <v>0</v>
      </c>
      <c r="V48" s="17">
        <f>NOVIEMBRE!V48+DICIEMBRE!AL48</f>
        <v>0</v>
      </c>
      <c r="W48" s="17">
        <f>NOVIEMBRE!W48+DICIEMBRE!AM48</f>
        <v>0</v>
      </c>
      <c r="X48" s="20">
        <f>SUM(U48:W48)</f>
        <v>0</v>
      </c>
      <c r="Y48" s="21">
        <f>NOVIEMBRE!AA48</f>
        <v>0</v>
      </c>
      <c r="Z48" s="457">
        <v>0</v>
      </c>
      <c r="AA48" s="20">
        <f>SUM(Y48:Z48)</f>
        <v>0</v>
      </c>
      <c r="AB48" s="21">
        <f>NOVIEMBRE!AD48</f>
        <v>0</v>
      </c>
      <c r="AC48" s="457">
        <v>0</v>
      </c>
      <c r="AD48" s="20">
        <f>SUM(AB48:AC48)</f>
        <v>0</v>
      </c>
      <c r="AE48" s="21">
        <f>NOVIEMBRE!AG48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c r="BQ48" s="562"/>
    </row>
    <row r="49" spans="1:249" s="514" customFormat="1" ht="15" x14ac:dyDescent="0.2">
      <c r="A49" s="188" t="str">
        <f>+IF(NOVIEMBRE!A49=0,"",NOVIEMBRE!A49)</f>
        <v>1130108-1</v>
      </c>
      <c r="B49" s="189" t="str">
        <f>+CONCATENATE("Vigencia ",INSTRUCCIONES!$F$3)</f>
        <v>Vigencia 2014</v>
      </c>
      <c r="C49" s="456">
        <f>+ENERO!C49</f>
        <v>0</v>
      </c>
      <c r="D49" s="456">
        <f>NOVIEMBRE!D49+DICIEMBRE!P49</f>
        <v>0</v>
      </c>
      <c r="E49" s="456">
        <f>NOVIEMBRE!E49+DICIEMBRE!Q49</f>
        <v>0</v>
      </c>
      <c r="F49" s="170">
        <f>SUM(C49:E49)</f>
        <v>0</v>
      </c>
      <c r="G49" s="283">
        <f>NOVIEMBRE!I49</f>
        <v>0</v>
      </c>
      <c r="H49" s="457">
        <v>0</v>
      </c>
      <c r="I49" s="170">
        <f>SUM(G49:H49)</f>
        <v>0</v>
      </c>
      <c r="J49" s="283">
        <f>NOVIEMBRE!L49</f>
        <v>0</v>
      </c>
      <c r="K49" s="457">
        <v>0</v>
      </c>
      <c r="L49" s="170">
        <f>SUM(J49:K49)</f>
        <v>0</v>
      </c>
      <c r="M49" s="283">
        <f>F49-I49</f>
        <v>0</v>
      </c>
      <c r="N49" s="170">
        <f>F49-L49</f>
        <v>0</v>
      </c>
      <c r="O49" s="467"/>
      <c r="P49" s="455">
        <v>0</v>
      </c>
      <c r="Q49" s="458">
        <v>0</v>
      </c>
      <c r="R49" s="10"/>
      <c r="S49" s="155">
        <f>+IF(NOVIEMBRE!S49=0,"",NOVIEMBRE!S49)</f>
        <v>1010302</v>
      </c>
      <c r="T49" s="159" t="str">
        <f>+IF(NOVIEMBRE!T49=0,"",NOVIEMBRE!T49)</f>
        <v>Contribuciones - Otros</v>
      </c>
      <c r="U49" s="29">
        <f t="shared" ref="U49:AJ49" si="48">SUM(U50:U54)</f>
        <v>63246028</v>
      </c>
      <c r="V49" s="17">
        <f t="shared" si="48"/>
        <v>0</v>
      </c>
      <c r="W49" s="17">
        <f t="shared" si="48"/>
        <v>0</v>
      </c>
      <c r="X49" s="20">
        <f t="shared" si="48"/>
        <v>63246028</v>
      </c>
      <c r="Y49" s="21">
        <f t="shared" si="48"/>
        <v>60653970</v>
      </c>
      <c r="Z49" s="169">
        <f t="shared" si="48"/>
        <v>2211000</v>
      </c>
      <c r="AA49" s="20">
        <f t="shared" si="48"/>
        <v>62864970</v>
      </c>
      <c r="AB49" s="21">
        <f t="shared" si="48"/>
        <v>60653970</v>
      </c>
      <c r="AC49" s="169">
        <f t="shared" si="48"/>
        <v>2211000</v>
      </c>
      <c r="AD49" s="20">
        <f t="shared" si="48"/>
        <v>62864970</v>
      </c>
      <c r="AE49" s="21">
        <f t="shared" si="48"/>
        <v>59473970</v>
      </c>
      <c r="AF49" s="169">
        <f t="shared" si="48"/>
        <v>1180000</v>
      </c>
      <c r="AG49" s="20">
        <f t="shared" si="48"/>
        <v>60653970</v>
      </c>
      <c r="AH49" s="21">
        <f t="shared" si="48"/>
        <v>381058</v>
      </c>
      <c r="AI49" s="17">
        <f t="shared" si="48"/>
        <v>381058</v>
      </c>
      <c r="AJ49" s="18">
        <f t="shared" si="48"/>
        <v>2592058</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562"/>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67"/>
      <c r="IK49" s="467"/>
      <c r="IL49" s="467"/>
      <c r="IM49" s="467"/>
      <c r="IN49" s="467"/>
      <c r="IO49" s="467"/>
    </row>
    <row r="50" spans="1:249" s="514" customFormat="1" ht="15" x14ac:dyDescent="0.2">
      <c r="A50" s="188" t="str">
        <f>+IF(NOVIEMBRE!A50=0,"",NOVIEMBRE!A50)</f>
        <v>1130108-2</v>
      </c>
      <c r="B50" s="189" t="str">
        <f>+IF(NOVIEMBRE!B50=0,"",NOVIEMBRE!B50)</f>
        <v>Vigencias Anteriores</v>
      </c>
      <c r="C50" s="456">
        <f>+ENERO!C50</f>
        <v>0</v>
      </c>
      <c r="D50" s="456">
        <f>NOVIEMBRE!D50+DICIEMBRE!P50</f>
        <v>0</v>
      </c>
      <c r="E50" s="456">
        <f>NOVIEMBRE!E50+DICIEMBRE!Q50</f>
        <v>0</v>
      </c>
      <c r="F50" s="170">
        <f>SUM(C50:E50)</f>
        <v>0</v>
      </c>
      <c r="G50" s="283">
        <f>NOVIEMBRE!I50</f>
        <v>0</v>
      </c>
      <c r="H50" s="457">
        <v>0</v>
      </c>
      <c r="I50" s="170">
        <f>SUM(G50:H50)</f>
        <v>0</v>
      </c>
      <c r="J50" s="283">
        <f>NOVIEMBRE!L50</f>
        <v>0</v>
      </c>
      <c r="K50" s="457">
        <v>0</v>
      </c>
      <c r="L50" s="170">
        <f>SUM(J50:K50)</f>
        <v>0</v>
      </c>
      <c r="M50" s="283">
        <f>F50-I50</f>
        <v>0</v>
      </c>
      <c r="N50" s="170">
        <f>F50-L50</f>
        <v>0</v>
      </c>
      <c r="O50" s="467"/>
      <c r="P50" s="455">
        <v>0</v>
      </c>
      <c r="Q50" s="458">
        <v>0</v>
      </c>
      <c r="R50" s="10"/>
      <c r="S50" s="156" t="str">
        <f>+IF(NOVIEMBRE!S50=0,"",NOVIEMBRE!S50)</f>
        <v>1010302-1</v>
      </c>
      <c r="T50" s="55" t="str">
        <f>+IF(NOVIEMBRE!T50=0,"",NOVIEMBRE!T50)</f>
        <v>Aportes a E.P.S.- Con sit. Fondos</v>
      </c>
      <c r="U50" s="29">
        <f>+ENERO!U50</f>
        <v>4719263</v>
      </c>
      <c r="V50" s="17">
        <f>NOVIEMBRE!V50+DICIEMBRE!AL50</f>
        <v>0</v>
      </c>
      <c r="W50" s="17">
        <f>NOVIEMBRE!W50+DICIEMBRE!AM50</f>
        <v>0</v>
      </c>
      <c r="X50" s="20">
        <f t="shared" ref="X50:X55" si="49">SUM(U50:W50)</f>
        <v>4719263</v>
      </c>
      <c r="Y50" s="21">
        <f>NOVIEMBRE!AA50</f>
        <v>4318160</v>
      </c>
      <c r="Z50" s="457">
        <v>401000</v>
      </c>
      <c r="AA50" s="20">
        <f t="shared" ref="AA50:AA55" si="50">SUM(Y50:Z50)</f>
        <v>4719160</v>
      </c>
      <c r="AB50" s="21">
        <f>NOVIEMBRE!AD50</f>
        <v>4318160</v>
      </c>
      <c r="AC50" s="457">
        <v>401000</v>
      </c>
      <c r="AD50" s="20">
        <f t="shared" ref="AD50:AD55" si="51">SUM(AB50:AC50)</f>
        <v>4719160</v>
      </c>
      <c r="AE50" s="21">
        <f>NOVIEMBRE!AG50</f>
        <v>4318160</v>
      </c>
      <c r="AF50" s="457">
        <v>0</v>
      </c>
      <c r="AG50" s="20">
        <f t="shared" ref="AG50:AG55" si="52">SUM(AE50:AF50)</f>
        <v>4318160</v>
      </c>
      <c r="AH50" s="21">
        <f t="shared" ref="AH50:AH55" si="53">X50-AA50</f>
        <v>103</v>
      </c>
      <c r="AI50" s="17">
        <f t="shared" ref="AI50:AI55" si="54">X50-AD50</f>
        <v>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562"/>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67"/>
      <c r="IK50" s="467"/>
      <c r="IL50" s="467"/>
      <c r="IM50" s="467"/>
      <c r="IN50" s="467"/>
      <c r="IO50" s="467"/>
    </row>
    <row r="51" spans="1:249" s="467" customFormat="1" x14ac:dyDescent="0.2">
      <c r="A51" s="57">
        <f>+IF(NOVIEMBRE!A51=0,"",NOVIEMBRE!A51)</f>
        <v>1130109</v>
      </c>
      <c r="B51" s="45" t="str">
        <f>+IF(NOVIEMBRE!B51=0,"",NOVIEMBRE!B51)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+IF(NOVIEMBRE!S51=0,"",NOVIEMBRE!S51)</f>
        <v>1010302-2</v>
      </c>
      <c r="T51" s="55" t="str">
        <f>+IF(NOVIEMBRE!T51=0,"",NOVIEMBRE!T51)</f>
        <v>Aportes Fondos Pensionales - Con Sit. Fondos</v>
      </c>
      <c r="U51" s="29">
        <f>+ENERO!U51</f>
        <v>14856625</v>
      </c>
      <c r="V51" s="17">
        <f>NOVIEMBRE!V51+DICIEMBRE!AL51</f>
        <v>0</v>
      </c>
      <c r="W51" s="17">
        <f>NOVIEMBRE!W51+DICIEMBRE!AM51</f>
        <v>0</v>
      </c>
      <c r="X51" s="20">
        <f t="shared" si="49"/>
        <v>14856625</v>
      </c>
      <c r="Y51" s="21">
        <f>NOVIEMBRE!AA51</f>
        <v>14765076</v>
      </c>
      <c r="Z51" s="457">
        <v>91000</v>
      </c>
      <c r="AA51" s="20">
        <f t="shared" si="50"/>
        <v>14856076</v>
      </c>
      <c r="AB51" s="21">
        <f>NOVIEMBRE!AD51</f>
        <v>14765076</v>
      </c>
      <c r="AC51" s="457">
        <v>91000</v>
      </c>
      <c r="AD51" s="20">
        <f t="shared" si="51"/>
        <v>14856076</v>
      </c>
      <c r="AE51" s="21">
        <f>NOVIEMBRE!AG51</f>
        <v>14765076</v>
      </c>
      <c r="AF51" s="457">
        <v>0</v>
      </c>
      <c r="AG51" s="20">
        <f t="shared" si="52"/>
        <v>14765076</v>
      </c>
      <c r="AH51" s="21">
        <f t="shared" si="53"/>
        <v>549</v>
      </c>
      <c r="AI51" s="17">
        <f t="shared" si="54"/>
        <v>549</v>
      </c>
      <c r="AJ51" s="18">
        <f t="shared" si="55"/>
        <v>91549</v>
      </c>
      <c r="AK51" s="10"/>
      <c r="AL51" s="455">
        <v>0</v>
      </c>
      <c r="AM51" s="458">
        <v>0</v>
      </c>
      <c r="AN51" s="10"/>
      <c r="AO51" s="365"/>
      <c r="AP51" s="365"/>
      <c r="AQ51" s="365"/>
      <c r="AR51" s="365"/>
      <c r="AS51" s="365"/>
      <c r="AT51" s="365"/>
      <c r="AU51" s="365"/>
      <c r="AV51" s="365"/>
      <c r="AW51" s="365"/>
      <c r="AX51" s="365"/>
      <c r="AY51" s="365"/>
      <c r="AZ51" s="365"/>
      <c r="BQ51" s="562"/>
    </row>
    <row r="52" spans="1:249" s="514" customFormat="1" ht="15" x14ac:dyDescent="0.2">
      <c r="A52" s="188" t="str">
        <f>+IF(NOVIEMBRE!A52=0,"",NOVIEMBRE!A52)</f>
        <v>1130109-1</v>
      </c>
      <c r="B52" s="189" t="str">
        <f>+CONCATENATE("Vigencia ",INSTRUCCIONES!$F$3)</f>
        <v>Vigencia 2014</v>
      </c>
      <c r="C52" s="456">
        <f>+ENERO!C52</f>
        <v>0</v>
      </c>
      <c r="D52" s="456">
        <f>NOVIEMBRE!D52+DICIEMBRE!P52</f>
        <v>0</v>
      </c>
      <c r="E52" s="456">
        <f>NOVIEMBRE!E52+DICIEMBRE!Q52</f>
        <v>0</v>
      </c>
      <c r="F52" s="170">
        <f>SUM(C52:E52)</f>
        <v>0</v>
      </c>
      <c r="G52" s="283">
        <f>NOVIEMBRE!I52</f>
        <v>0</v>
      </c>
      <c r="H52" s="457">
        <v>0</v>
      </c>
      <c r="I52" s="170">
        <f>SUM(G52:H52)</f>
        <v>0</v>
      </c>
      <c r="J52" s="283">
        <f>NOVIEMBRE!L52</f>
        <v>0</v>
      </c>
      <c r="K52" s="457">
        <v>0</v>
      </c>
      <c r="L52" s="170">
        <f>SUM(J52:K52)</f>
        <v>0</v>
      </c>
      <c r="M52" s="283">
        <f>F52-I52</f>
        <v>0</v>
      </c>
      <c r="N52" s="170">
        <f>F52-L52</f>
        <v>0</v>
      </c>
      <c r="O52" s="467"/>
      <c r="P52" s="455">
        <v>0</v>
      </c>
      <c r="Q52" s="458">
        <v>0</v>
      </c>
      <c r="R52" s="10"/>
      <c r="S52" s="156" t="str">
        <f>+IF(NOVIEMBRE!S52=0,"",NOVIEMBRE!S52)</f>
        <v>1010302-3</v>
      </c>
      <c r="T52" s="55" t="str">
        <f>+IF(NOVIEMBRE!T52=0,"",NOVIEMBRE!T52)</f>
        <v xml:space="preserve">Aportes a Fondos de Cesantia - Con Sit. de Fondos </v>
      </c>
      <c r="U52" s="29">
        <f>+ENERO!U52</f>
        <v>26296821</v>
      </c>
      <c r="V52" s="17">
        <f>NOVIEMBRE!V52+DICIEMBRE!AL52</f>
        <v>0</v>
      </c>
      <c r="W52" s="17">
        <f>NOVIEMBRE!W52+DICIEMBRE!AM52</f>
        <v>0</v>
      </c>
      <c r="X52" s="20">
        <f t="shared" si="49"/>
        <v>26296821</v>
      </c>
      <c r="Y52" s="21">
        <f>NOVIEMBRE!AA52</f>
        <v>25977938</v>
      </c>
      <c r="Z52" s="457">
        <v>0</v>
      </c>
      <c r="AA52" s="20">
        <f t="shared" si="50"/>
        <v>25977938</v>
      </c>
      <c r="AB52" s="21">
        <f>NOVIEMBRE!AD52</f>
        <v>25977938</v>
      </c>
      <c r="AC52" s="457">
        <v>0</v>
      </c>
      <c r="AD52" s="20">
        <f t="shared" si="51"/>
        <v>25977938</v>
      </c>
      <c r="AE52" s="21">
        <f>NOVIEMBRE!AG52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562"/>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67"/>
      <c r="IK52" s="467"/>
      <c r="IL52" s="467"/>
      <c r="IM52" s="467"/>
      <c r="IN52" s="467"/>
      <c r="IO52" s="467"/>
    </row>
    <row r="53" spans="1:249" s="514" customFormat="1" ht="15" x14ac:dyDescent="0.2">
      <c r="A53" s="188" t="str">
        <f>+IF(NOVIEMBRE!A53=0,"",NOVIEMBRE!A53)</f>
        <v>1130109-2</v>
      </c>
      <c r="B53" s="189" t="str">
        <f>+IF(NOVIEMBRE!B53=0,"",NOVIEMBRE!B53)</f>
        <v>Vigencias Anteriores</v>
      </c>
      <c r="C53" s="456">
        <f>+ENERO!C53</f>
        <v>0</v>
      </c>
      <c r="D53" s="456">
        <f>NOVIEMBRE!D53+DICIEMBRE!P53</f>
        <v>0</v>
      </c>
      <c r="E53" s="456">
        <f>NOVIEMBRE!E53+DICIEMBRE!Q53</f>
        <v>0</v>
      </c>
      <c r="F53" s="170">
        <f>SUM(C53:E53)</f>
        <v>0</v>
      </c>
      <c r="G53" s="283">
        <f>NOVIEMBRE!I53</f>
        <v>0</v>
      </c>
      <c r="H53" s="457">
        <v>0</v>
      </c>
      <c r="I53" s="170">
        <f>SUM(G53:H53)</f>
        <v>0</v>
      </c>
      <c r="J53" s="283">
        <f>NOVIEMBRE!L53</f>
        <v>0</v>
      </c>
      <c r="K53" s="457">
        <v>0</v>
      </c>
      <c r="L53" s="170">
        <f>SUM(J53:K53)</f>
        <v>0</v>
      </c>
      <c r="M53" s="283">
        <f>F53-I53</f>
        <v>0</v>
      </c>
      <c r="N53" s="170">
        <f>F53-L53</f>
        <v>0</v>
      </c>
      <c r="O53" s="467"/>
      <c r="P53" s="455">
        <v>0</v>
      </c>
      <c r="Q53" s="458">
        <v>0</v>
      </c>
      <c r="R53" s="10"/>
      <c r="S53" s="156" t="str">
        <f>+IF(NOVIEMBRE!S53=0,"",NOVIEMBRE!S53)</f>
        <v>1010302-4</v>
      </c>
      <c r="T53" s="55" t="str">
        <f>+IF(NOVIEMBRE!T53=0,"",NOVIEMBRE!T53)</f>
        <v>Aporte a ARL. - Con Sit. de Fondos</v>
      </c>
      <c r="U53" s="29">
        <f>+ENERO!U53</f>
        <v>1807452</v>
      </c>
      <c r="V53" s="17">
        <f>NOVIEMBRE!V53+DICIEMBRE!AL53</f>
        <v>0</v>
      </c>
      <c r="W53" s="17">
        <f>NOVIEMBRE!W53+DICIEMBRE!AM53</f>
        <v>0</v>
      </c>
      <c r="X53" s="20">
        <f t="shared" si="49"/>
        <v>1807452</v>
      </c>
      <c r="Y53" s="21">
        <f>NOVIEMBRE!AA53</f>
        <v>1788400</v>
      </c>
      <c r="Z53" s="457">
        <v>19000</v>
      </c>
      <c r="AA53" s="20">
        <f t="shared" si="50"/>
        <v>1807400</v>
      </c>
      <c r="AB53" s="21">
        <f>NOVIEMBRE!AD53</f>
        <v>1788400</v>
      </c>
      <c r="AC53" s="457">
        <v>19000</v>
      </c>
      <c r="AD53" s="20">
        <f t="shared" si="51"/>
        <v>1807400</v>
      </c>
      <c r="AE53" s="21">
        <f>NOVIEMBRE!AG53</f>
        <v>1788400</v>
      </c>
      <c r="AF53" s="457">
        <v>0</v>
      </c>
      <c r="AG53" s="20">
        <f t="shared" si="52"/>
        <v>1788400</v>
      </c>
      <c r="AH53" s="21">
        <f t="shared" si="53"/>
        <v>52</v>
      </c>
      <c r="AI53" s="17">
        <f t="shared" si="54"/>
        <v>52</v>
      </c>
      <c r="AJ53" s="18">
        <f t="shared" si="55"/>
        <v>19052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562"/>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67"/>
      <c r="IK53" s="467"/>
      <c r="IL53" s="467"/>
      <c r="IM53" s="467"/>
      <c r="IN53" s="467"/>
      <c r="IO53" s="467"/>
    </row>
    <row r="54" spans="1:249" s="467" customFormat="1" x14ac:dyDescent="0.2">
      <c r="A54" s="57">
        <f>+IF(NOVIEMBRE!A54=0,"",NOVIEMBRE!A54)</f>
        <v>1130110</v>
      </c>
      <c r="B54" s="45" t="str">
        <f>+IF(NOVIEMBRE!B54=0,"",NOVIEMBRE!B54)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+IF(NOVIEMBRE!S54=0,"",NOVIEMBRE!S54)</f>
        <v>1010302-5</v>
      </c>
      <c r="T54" s="55" t="str">
        <f>+IF(NOVIEMBRE!T54=0,"",NOVIEMBRE!T54)</f>
        <v>Aporte a Caja Compensación Familiar</v>
      </c>
      <c r="U54" s="29">
        <f>+ENERO!U54</f>
        <v>15565867</v>
      </c>
      <c r="V54" s="17">
        <f>NOVIEMBRE!V54+DICIEMBRE!AL54</f>
        <v>0</v>
      </c>
      <c r="W54" s="17">
        <f>NOVIEMBRE!W54+DICIEMBRE!AM54</f>
        <v>0</v>
      </c>
      <c r="X54" s="20">
        <f t="shared" si="49"/>
        <v>15565867</v>
      </c>
      <c r="Y54" s="21">
        <f>NOVIEMBRE!AA54</f>
        <v>13804396</v>
      </c>
      <c r="Z54" s="457">
        <v>1700000</v>
      </c>
      <c r="AA54" s="20">
        <f t="shared" si="50"/>
        <v>15504396</v>
      </c>
      <c r="AB54" s="21">
        <f>NOVIEMBRE!AD54</f>
        <v>13804396</v>
      </c>
      <c r="AC54" s="457">
        <v>1700000</v>
      </c>
      <c r="AD54" s="20">
        <f t="shared" si="51"/>
        <v>15504396</v>
      </c>
      <c r="AE54" s="21">
        <f>NOVIEMBRE!AG54</f>
        <v>12624396</v>
      </c>
      <c r="AF54" s="457">
        <v>1180000</v>
      </c>
      <c r="AG54" s="20">
        <f t="shared" si="52"/>
        <v>13804396</v>
      </c>
      <c r="AH54" s="21">
        <f t="shared" si="53"/>
        <v>61471</v>
      </c>
      <c r="AI54" s="17">
        <f t="shared" si="54"/>
        <v>61471</v>
      </c>
      <c r="AJ54" s="18">
        <f t="shared" si="55"/>
        <v>1761471</v>
      </c>
      <c r="AK54" s="10"/>
      <c r="AL54" s="455">
        <v>0</v>
      </c>
      <c r="AM54" s="458">
        <v>0</v>
      </c>
      <c r="AN54" s="10"/>
      <c r="AO54" s="365"/>
      <c r="AP54" s="365"/>
      <c r="AQ54" s="365"/>
      <c r="AR54" s="365"/>
      <c r="AS54" s="365"/>
      <c r="AT54" s="365"/>
      <c r="AU54" s="365"/>
      <c r="AV54" s="365"/>
      <c r="AW54" s="365"/>
      <c r="AX54" s="365"/>
      <c r="AY54" s="365"/>
      <c r="AZ54" s="365"/>
      <c r="BQ54" s="562"/>
    </row>
    <row r="55" spans="1:249" s="514" customFormat="1" ht="15" x14ac:dyDescent="0.2">
      <c r="A55" s="188" t="str">
        <f>+IF(NOVIEMBRE!A55=0,"",NOVIEMBRE!A55)</f>
        <v>1130110-1</v>
      </c>
      <c r="B55" s="189" t="str">
        <f>+CONCATENATE("Vigencia ",INSTRUCCIONES!$F$3)</f>
        <v>Vigencia 2014</v>
      </c>
      <c r="C55" s="456">
        <f>+ENERO!C55</f>
        <v>0</v>
      </c>
      <c r="D55" s="456">
        <f>NOVIEMBRE!D55+DICIEMBRE!P55</f>
        <v>0</v>
      </c>
      <c r="E55" s="456">
        <f>NOVIEMBRE!E55+DICIEMBRE!Q55</f>
        <v>0</v>
      </c>
      <c r="F55" s="170">
        <f>SUM(C55:E55)</f>
        <v>0</v>
      </c>
      <c r="G55" s="283">
        <f>NOVIEMBRE!I55</f>
        <v>0</v>
      </c>
      <c r="H55" s="457">
        <v>0</v>
      </c>
      <c r="I55" s="170">
        <f>SUM(G55:H55)</f>
        <v>0</v>
      </c>
      <c r="J55" s="283">
        <f>NOVIEMBRE!L55</f>
        <v>0</v>
      </c>
      <c r="K55" s="457">
        <v>0</v>
      </c>
      <c r="L55" s="170">
        <f>SUM(J55:K55)</f>
        <v>0</v>
      </c>
      <c r="M55" s="283">
        <f>F55-I55</f>
        <v>0</v>
      </c>
      <c r="N55" s="170">
        <f>F55-L55</f>
        <v>0</v>
      </c>
      <c r="O55" s="467"/>
      <c r="P55" s="455">
        <v>0</v>
      </c>
      <c r="Q55" s="458">
        <v>0</v>
      </c>
      <c r="R55" s="10"/>
      <c r="S55" s="155">
        <f>+IF(NOVIEMBRE!S55=0,"",NOVIEMBRE!S55)</f>
        <v>1010399</v>
      </c>
      <c r="T55" s="159" t="str">
        <f>+IF(NOVIEMBRE!T55=0,"",NOVIEMBRE!T55)</f>
        <v>Vigencias Anteriores</v>
      </c>
      <c r="U55" s="29">
        <f>+ENERO!U55</f>
        <v>0</v>
      </c>
      <c r="V55" s="17">
        <f>NOVIEMBRE!V55+DICIEMBRE!AL55</f>
        <v>487148</v>
      </c>
      <c r="W55" s="17">
        <f>NOVIEMBRE!W55+DICIEMBRE!AM55</f>
        <v>0</v>
      </c>
      <c r="X55" s="20">
        <f t="shared" si="49"/>
        <v>487148</v>
      </c>
      <c r="Y55" s="21">
        <f>NOVIEMBRE!AA55</f>
        <v>487148</v>
      </c>
      <c r="Z55" s="457">
        <v>0</v>
      </c>
      <c r="AA55" s="20">
        <f t="shared" si="50"/>
        <v>487148</v>
      </c>
      <c r="AB55" s="21">
        <f>NOVIEMBRE!AD55</f>
        <v>487148</v>
      </c>
      <c r="AC55" s="457">
        <v>0</v>
      </c>
      <c r="AD55" s="20">
        <f t="shared" si="51"/>
        <v>487148</v>
      </c>
      <c r="AE55" s="21">
        <f>NOVIEMBRE!AG55</f>
        <v>487148</v>
      </c>
      <c r="AF55" s="457">
        <v>0</v>
      </c>
      <c r="AG55" s="20">
        <f t="shared" si="52"/>
        <v>487148</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562"/>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67"/>
      <c r="IK55" s="467"/>
      <c r="IL55" s="467"/>
      <c r="IM55" s="467"/>
      <c r="IN55" s="467"/>
      <c r="IO55" s="467"/>
    </row>
    <row r="56" spans="1:249" s="514" customFormat="1" ht="15.75" x14ac:dyDescent="0.2">
      <c r="A56" s="188" t="str">
        <f>+IF(NOVIEMBRE!A56=0,"",NOVIEMBRE!A56)</f>
        <v>1130110-2</v>
      </c>
      <c r="B56" s="189" t="str">
        <f>+IF(NOVIEMBRE!B56=0,"",NOVIEMBRE!B56)</f>
        <v>Vigencias Anteriores</v>
      </c>
      <c r="C56" s="456">
        <f>+ENERO!C56</f>
        <v>0</v>
      </c>
      <c r="D56" s="456">
        <f>NOVIEMBRE!D56+DICIEMBRE!P56</f>
        <v>0</v>
      </c>
      <c r="E56" s="456">
        <f>NOVIEMBRE!E56+DICIEMBRE!Q56</f>
        <v>0</v>
      </c>
      <c r="F56" s="170">
        <f>SUM(C56:E56)</f>
        <v>0</v>
      </c>
      <c r="G56" s="283">
        <f>NOVIEMBRE!I56</f>
        <v>0</v>
      </c>
      <c r="H56" s="457">
        <v>0</v>
      </c>
      <c r="I56" s="170">
        <f>SUM(G56:H56)</f>
        <v>0</v>
      </c>
      <c r="J56" s="283">
        <f>NOVIEMBRE!L56</f>
        <v>0</v>
      </c>
      <c r="K56" s="457">
        <v>0</v>
      </c>
      <c r="L56" s="170">
        <f>SUM(J56:K56)</f>
        <v>0</v>
      </c>
      <c r="M56" s="283">
        <f>F56-I56</f>
        <v>0</v>
      </c>
      <c r="N56" s="170">
        <f>F56-L56</f>
        <v>0</v>
      </c>
      <c r="O56" s="467"/>
      <c r="P56" s="455">
        <v>0</v>
      </c>
      <c r="Q56" s="458">
        <v>0</v>
      </c>
      <c r="R56" s="10"/>
      <c r="S56" s="448" t="str">
        <f>+IF(NOVIEMBRE!S56=0,"",NOVIEMBRE!S56)</f>
        <v/>
      </c>
      <c r="T56" s="649" t="str">
        <f>+IF(NOVIEMBRE!T56=0,"",NOVIEMBRE!T56)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562"/>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67"/>
      <c r="IK56" s="467"/>
      <c r="IL56" s="467"/>
      <c r="IM56" s="467"/>
      <c r="IN56" s="467"/>
      <c r="IO56" s="467"/>
    </row>
    <row r="57" spans="1:249" s="467" customFormat="1" ht="15" x14ac:dyDescent="0.2">
      <c r="A57" s="57">
        <f>+IF(NOVIEMBRE!A57=0,"",NOVIEMBRE!A57)</f>
        <v>1130111</v>
      </c>
      <c r="B57" s="45" t="str">
        <f>+IF(NOVIEMBRE!B57=0,"",NOVIEMBRE!B57)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+IF(NOVIEMBRE!S57=0,"",NOVIEMBRE!S57)</f>
        <v>1010400</v>
      </c>
      <c r="T57" s="158" t="str">
        <f>+IF(NOVIEMBRE!T57=0,"",NOVIEMBRE!T57)</f>
        <v>Contribuciones Inherentes nómina del Sector Publico</v>
      </c>
      <c r="U57" s="157">
        <f t="shared" ref="U57:AJ57" si="59">U58+U61</f>
        <v>19457334</v>
      </c>
      <c r="V57" s="144">
        <f t="shared" si="59"/>
        <v>0</v>
      </c>
      <c r="W57" s="144">
        <f t="shared" si="59"/>
        <v>0</v>
      </c>
      <c r="X57" s="152">
        <f t="shared" si="59"/>
        <v>19457334</v>
      </c>
      <c r="Y57" s="151">
        <f t="shared" si="59"/>
        <v>16521272</v>
      </c>
      <c r="Z57" s="144">
        <f t="shared" si="59"/>
        <v>2900000</v>
      </c>
      <c r="AA57" s="152">
        <f t="shared" si="59"/>
        <v>19421272</v>
      </c>
      <c r="AB57" s="151">
        <f t="shared" si="59"/>
        <v>16521272</v>
      </c>
      <c r="AC57" s="144">
        <f t="shared" si="59"/>
        <v>2900000</v>
      </c>
      <c r="AD57" s="152">
        <f t="shared" si="59"/>
        <v>19421272</v>
      </c>
      <c r="AE57" s="151">
        <f t="shared" si="59"/>
        <v>15046972</v>
      </c>
      <c r="AF57" s="144">
        <f t="shared" si="59"/>
        <v>1474300</v>
      </c>
      <c r="AG57" s="152">
        <f t="shared" si="59"/>
        <v>16521272</v>
      </c>
      <c r="AH57" s="151">
        <f t="shared" si="59"/>
        <v>36062</v>
      </c>
      <c r="AI57" s="144">
        <f t="shared" si="59"/>
        <v>36062</v>
      </c>
      <c r="AJ57" s="153">
        <f t="shared" si="59"/>
        <v>2936062</v>
      </c>
      <c r="AK57" s="10"/>
      <c r="AL57" s="151">
        <f>AL58+AL61</f>
        <v>0</v>
      </c>
      <c r="AM57" s="153">
        <f>AM58+AM61</f>
        <v>0</v>
      </c>
      <c r="AN57" s="10"/>
      <c r="AO57" s="365"/>
      <c r="AP57" s="365"/>
      <c r="AQ57" s="365"/>
      <c r="AR57" s="365"/>
      <c r="AS57" s="365"/>
      <c r="AT57" s="365"/>
      <c r="AU57" s="365"/>
      <c r="AV57" s="365"/>
      <c r="AW57" s="365"/>
      <c r="AX57" s="365"/>
      <c r="AY57" s="365"/>
      <c r="AZ57" s="365"/>
      <c r="BQ57" s="562"/>
    </row>
    <row r="58" spans="1:249" s="514" customFormat="1" ht="15" x14ac:dyDescent="0.2">
      <c r="A58" s="188" t="str">
        <f>+IF(NOVIEMBRE!A58=0,"",NOVIEMBRE!A58)</f>
        <v>1130111-1</v>
      </c>
      <c r="B58" s="189" t="str">
        <f>+CONCATENATE("Vigencia ",INSTRUCCIONES!$F$3)</f>
        <v>Vigencia 2014</v>
      </c>
      <c r="C58" s="456">
        <f>+ENERO!C58</f>
        <v>0</v>
      </c>
      <c r="D58" s="456">
        <f>NOVIEMBRE!D58+DICIEMBRE!P58</f>
        <v>0</v>
      </c>
      <c r="E58" s="456">
        <f>NOVIEMBRE!E58+DICIEMBRE!Q58</f>
        <v>0</v>
      </c>
      <c r="F58" s="170">
        <f>SUM(C58:E58)</f>
        <v>0</v>
      </c>
      <c r="G58" s="283">
        <f>NOVIEMBRE!I58</f>
        <v>0</v>
      </c>
      <c r="H58" s="457">
        <v>0</v>
      </c>
      <c r="I58" s="170">
        <f>SUM(G58:H58)</f>
        <v>0</v>
      </c>
      <c r="J58" s="283">
        <f>NOVIEMBRE!L58</f>
        <v>0</v>
      </c>
      <c r="K58" s="457">
        <v>0</v>
      </c>
      <c r="L58" s="170">
        <f>SUM(J58:K58)</f>
        <v>0</v>
      </c>
      <c r="M58" s="283">
        <f>F58-I58</f>
        <v>0</v>
      </c>
      <c r="N58" s="170">
        <f>F58-L58</f>
        <v>0</v>
      </c>
      <c r="O58" s="467"/>
      <c r="P58" s="455">
        <v>0</v>
      </c>
      <c r="Q58" s="458">
        <v>0</v>
      </c>
      <c r="R58" s="10"/>
      <c r="S58" s="155">
        <f>+IF(NOVIEMBRE!S58=0,"",NOVIEMBRE!S58)</f>
        <v>1010402</v>
      </c>
      <c r="T58" s="159" t="str">
        <f>+IF(NOVIEMBRE!T58=0,"",NOVIEMBRE!T58)</f>
        <v>Contribuciones - Otros</v>
      </c>
      <c r="U58" s="29">
        <f t="shared" ref="U58:AJ58" si="60">SUM(U59:U60)</f>
        <v>19457334</v>
      </c>
      <c r="V58" s="17">
        <f t="shared" si="60"/>
        <v>0</v>
      </c>
      <c r="W58" s="17">
        <f t="shared" si="60"/>
        <v>0</v>
      </c>
      <c r="X58" s="20">
        <f t="shared" si="60"/>
        <v>19457334</v>
      </c>
      <c r="Y58" s="21">
        <f t="shared" si="60"/>
        <v>16521272</v>
      </c>
      <c r="Z58" s="169">
        <f t="shared" si="60"/>
        <v>2900000</v>
      </c>
      <c r="AA58" s="20">
        <f t="shared" si="60"/>
        <v>19421272</v>
      </c>
      <c r="AB58" s="21">
        <f t="shared" si="60"/>
        <v>16521272</v>
      </c>
      <c r="AC58" s="169">
        <f t="shared" si="60"/>
        <v>2900000</v>
      </c>
      <c r="AD58" s="20">
        <f t="shared" si="60"/>
        <v>19421272</v>
      </c>
      <c r="AE58" s="21">
        <f t="shared" si="60"/>
        <v>15046972</v>
      </c>
      <c r="AF58" s="169">
        <f t="shared" si="60"/>
        <v>1474300</v>
      </c>
      <c r="AG58" s="20">
        <f t="shared" si="60"/>
        <v>16521272</v>
      </c>
      <c r="AH58" s="21">
        <f t="shared" si="60"/>
        <v>36062</v>
      </c>
      <c r="AI58" s="17">
        <f t="shared" si="60"/>
        <v>36062</v>
      </c>
      <c r="AJ58" s="18">
        <f t="shared" si="60"/>
        <v>2936062</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562"/>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67"/>
      <c r="IK58" s="467"/>
      <c r="IL58" s="467"/>
      <c r="IM58" s="467"/>
      <c r="IN58" s="467"/>
      <c r="IO58" s="467"/>
    </row>
    <row r="59" spans="1:249" s="514" customFormat="1" ht="15" x14ac:dyDescent="0.2">
      <c r="A59" s="188" t="str">
        <f>+IF(NOVIEMBRE!A59=0,"",NOVIEMBRE!A59)</f>
        <v>1130111-2</v>
      </c>
      <c r="B59" s="189" t="str">
        <f>+IF(NOVIEMBRE!B59=0,"",NOVIEMBRE!B59)</f>
        <v>Vigencias Anteriores</v>
      </c>
      <c r="C59" s="456">
        <f>+ENERO!C59</f>
        <v>0</v>
      </c>
      <c r="D59" s="456">
        <f>NOVIEMBRE!D59+DICIEMBRE!P59</f>
        <v>0</v>
      </c>
      <c r="E59" s="456">
        <f>NOVIEMBRE!E59+DICIEMBRE!Q59</f>
        <v>0</v>
      </c>
      <c r="F59" s="170">
        <f>SUM(C59:E59)</f>
        <v>0</v>
      </c>
      <c r="G59" s="283">
        <f>NOVIEMBRE!I59</f>
        <v>0</v>
      </c>
      <c r="H59" s="457">
        <v>0</v>
      </c>
      <c r="I59" s="170">
        <f>SUM(G59:H59)</f>
        <v>0</v>
      </c>
      <c r="J59" s="283">
        <f>NOVIEMBRE!L59</f>
        <v>0</v>
      </c>
      <c r="K59" s="457">
        <v>0</v>
      </c>
      <c r="L59" s="170">
        <f>SUM(J59:K59)</f>
        <v>0</v>
      </c>
      <c r="M59" s="283">
        <f>F59-I59</f>
        <v>0</v>
      </c>
      <c r="N59" s="170">
        <f>F59-L59</f>
        <v>0</v>
      </c>
      <c r="O59" s="467"/>
      <c r="P59" s="455">
        <v>0</v>
      </c>
      <c r="Q59" s="458">
        <v>0</v>
      </c>
      <c r="R59" s="10"/>
      <c r="S59" s="156" t="str">
        <f>+IF(NOVIEMBRE!S59=0,"",NOVIEMBRE!S59)</f>
        <v>1010402-1</v>
      </c>
      <c r="T59" s="55" t="str">
        <f>+IF(NOVIEMBRE!T59=0,"",NOVIEMBRE!T59)</f>
        <v>S.E.N.A.</v>
      </c>
      <c r="U59" s="29">
        <f>+ENERO!U59</f>
        <v>7782934</v>
      </c>
      <c r="V59" s="17">
        <f>NOVIEMBRE!V59+DICIEMBRE!AL59</f>
        <v>0</v>
      </c>
      <c r="W59" s="17">
        <f>NOVIEMBRE!W59+DICIEMBRE!AM59</f>
        <v>0</v>
      </c>
      <c r="X59" s="20">
        <f>SUM(U59:W59)</f>
        <v>7782934</v>
      </c>
      <c r="Y59" s="21">
        <f>NOVIEMBRE!AA59</f>
        <v>6456234</v>
      </c>
      <c r="Z59" s="457">
        <v>1300000</v>
      </c>
      <c r="AA59" s="20">
        <f>SUM(Y59:Z59)</f>
        <v>7756234</v>
      </c>
      <c r="AB59" s="21">
        <f>NOVIEMBRE!AD59</f>
        <v>6456234</v>
      </c>
      <c r="AC59" s="457">
        <v>1300000</v>
      </c>
      <c r="AD59" s="20">
        <f>SUM(AB59:AC59)</f>
        <v>7756234</v>
      </c>
      <c r="AE59" s="21">
        <f>NOVIEMBRE!AG59</f>
        <v>5866534</v>
      </c>
      <c r="AF59" s="457">
        <v>589700</v>
      </c>
      <c r="AG59" s="20">
        <f>SUM(AE59:AF59)</f>
        <v>6456234</v>
      </c>
      <c r="AH59" s="21">
        <f>X59-AA59</f>
        <v>26700</v>
      </c>
      <c r="AI59" s="17">
        <f>X59-AD59</f>
        <v>26700</v>
      </c>
      <c r="AJ59" s="18">
        <f>X59-AG59</f>
        <v>1326700</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562"/>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67"/>
      <c r="IK59" s="467"/>
      <c r="IL59" s="467"/>
      <c r="IM59" s="467"/>
      <c r="IN59" s="467"/>
      <c r="IO59" s="467"/>
    </row>
    <row r="60" spans="1:249" s="467" customFormat="1" x14ac:dyDescent="0.2">
      <c r="A60" s="57">
        <f>+IF(NOVIEMBRE!A60=0,"",NOVIEMBRE!A60)</f>
        <v>1130112</v>
      </c>
      <c r="B60" s="45" t="str">
        <f>+IF(NOVIEMBRE!B60=0,"",NOVIEMBRE!B60)</f>
        <v>IPS PUBLICAS</v>
      </c>
      <c r="C60" s="53">
        <f t="shared" ref="C60:N60" si="61">SUM(C61:C62)</f>
        <v>8883897</v>
      </c>
      <c r="D60" s="53">
        <f t="shared" si="61"/>
        <v>0</v>
      </c>
      <c r="E60" s="53">
        <f t="shared" si="61"/>
        <v>0</v>
      </c>
      <c r="F60" s="54">
        <f t="shared" si="61"/>
        <v>8883897</v>
      </c>
      <c r="G60" s="52">
        <f t="shared" si="61"/>
        <v>4960465</v>
      </c>
      <c r="H60" s="53">
        <f t="shared" si="61"/>
        <v>0</v>
      </c>
      <c r="I60" s="54">
        <f t="shared" si="61"/>
        <v>4960465</v>
      </c>
      <c r="J60" s="52">
        <f t="shared" si="61"/>
        <v>2973011</v>
      </c>
      <c r="K60" s="53">
        <f t="shared" si="61"/>
        <v>0</v>
      </c>
      <c r="L60" s="54">
        <f t="shared" si="61"/>
        <v>2973011</v>
      </c>
      <c r="M60" s="52">
        <f t="shared" si="61"/>
        <v>3923432</v>
      </c>
      <c r="N60" s="54">
        <f t="shared" si="61"/>
        <v>5910886</v>
      </c>
      <c r="P60" s="52">
        <f>SUM(P61:P62)</f>
        <v>0</v>
      </c>
      <c r="Q60" s="54">
        <f>SUM(Q61:Q62)</f>
        <v>0</v>
      </c>
      <c r="R60" s="10"/>
      <c r="S60" s="156" t="str">
        <f>+IF(NOVIEMBRE!S60=0,"",NOVIEMBRE!S60)</f>
        <v>1010402-2</v>
      </c>
      <c r="T60" s="55" t="str">
        <f>+IF(NOVIEMBRE!T60=0,"",NOVIEMBRE!T60)</f>
        <v>I.C.B.F.</v>
      </c>
      <c r="U60" s="29">
        <f>+ENERO!U60</f>
        <v>11674400</v>
      </c>
      <c r="V60" s="17">
        <f>NOVIEMBRE!V60+DICIEMBRE!AL60</f>
        <v>0</v>
      </c>
      <c r="W60" s="17">
        <f>NOVIEMBRE!W60+DICIEMBRE!AM60</f>
        <v>0</v>
      </c>
      <c r="X60" s="20">
        <f>SUM(U60:W60)</f>
        <v>11674400</v>
      </c>
      <c r="Y60" s="21">
        <f>NOVIEMBRE!AA60</f>
        <v>10065038</v>
      </c>
      <c r="Z60" s="457">
        <v>1600000</v>
      </c>
      <c r="AA60" s="20">
        <f>SUM(Y60:Z60)</f>
        <v>11665038</v>
      </c>
      <c r="AB60" s="21">
        <f>NOVIEMBRE!AD60</f>
        <v>10065038</v>
      </c>
      <c r="AC60" s="457">
        <v>1600000</v>
      </c>
      <c r="AD60" s="20">
        <f>SUM(AB60:AC60)</f>
        <v>11665038</v>
      </c>
      <c r="AE60" s="21">
        <f>NOVIEMBRE!AG60</f>
        <v>9180438</v>
      </c>
      <c r="AF60" s="457">
        <v>884600</v>
      </c>
      <c r="AG60" s="20">
        <f>SUM(AE60:AF60)</f>
        <v>10065038</v>
      </c>
      <c r="AH60" s="21">
        <f>X60-AA60</f>
        <v>9362</v>
      </c>
      <c r="AI60" s="17">
        <f>X60-AD60</f>
        <v>9362</v>
      </c>
      <c r="AJ60" s="18">
        <f>X60-AG60</f>
        <v>1609362</v>
      </c>
      <c r="AK60" s="10"/>
      <c r="AL60" s="455">
        <v>0</v>
      </c>
      <c r="AM60" s="458">
        <v>0</v>
      </c>
      <c r="AN60" s="10"/>
      <c r="AO60" s="365"/>
      <c r="AP60" s="365"/>
      <c r="AQ60" s="365"/>
      <c r="AR60" s="365"/>
      <c r="AS60" s="365"/>
      <c r="AT60" s="365"/>
      <c r="AU60" s="365"/>
      <c r="AV60" s="365"/>
      <c r="AW60" s="365"/>
      <c r="AX60" s="365"/>
      <c r="AY60" s="365"/>
      <c r="AZ60" s="365"/>
      <c r="BQ60" s="562"/>
    </row>
    <row r="61" spans="1:249" s="514" customFormat="1" ht="15" x14ac:dyDescent="0.2">
      <c r="A61" s="188" t="str">
        <f>+IF(NOVIEMBRE!A61=0,"",NOVIEMBRE!A61)</f>
        <v>1130112-1</v>
      </c>
      <c r="B61" s="189" t="str">
        <f>+CONCATENATE("Vigencia ",INSTRUCCIONES!$F$3)</f>
        <v>Vigencia 2014</v>
      </c>
      <c r="C61" s="456">
        <f>+ENERO!C61</f>
        <v>5883897</v>
      </c>
      <c r="D61" s="456">
        <f>NOVIEMBRE!D61+DICIEMBRE!P61</f>
        <v>0</v>
      </c>
      <c r="E61" s="456">
        <f>NOVIEMBRE!E61+DICIEMBRE!Q61</f>
        <v>0</v>
      </c>
      <c r="F61" s="170">
        <f>SUM(C61:E61)</f>
        <v>5883897</v>
      </c>
      <c r="G61" s="283">
        <f>NOVIEMBRE!I61</f>
        <v>2202029</v>
      </c>
      <c r="H61" s="457">
        <v>0</v>
      </c>
      <c r="I61" s="170">
        <f>SUM(G61:H61)</f>
        <v>2202029</v>
      </c>
      <c r="J61" s="283">
        <f>NOVIEMBRE!L61</f>
        <v>214572</v>
      </c>
      <c r="K61" s="457">
        <v>0</v>
      </c>
      <c r="L61" s="170">
        <f>SUM(J61:K61)</f>
        <v>214572</v>
      </c>
      <c r="M61" s="283">
        <f>F61-I61</f>
        <v>3681868</v>
      </c>
      <c r="N61" s="170">
        <f>F61-L61</f>
        <v>5669325</v>
      </c>
      <c r="O61" s="467"/>
      <c r="P61" s="455">
        <v>0</v>
      </c>
      <c r="Q61" s="458">
        <v>0</v>
      </c>
      <c r="R61" s="10"/>
      <c r="S61" s="155">
        <f>+IF(NOVIEMBRE!S61=0,"",NOVIEMBRE!S61)</f>
        <v>1010499</v>
      </c>
      <c r="T61" s="159" t="str">
        <f>+IF(NOVIEMBRE!T61=0,"",NOVIEMBRE!T61)</f>
        <v>Vigencias Anteriores</v>
      </c>
      <c r="U61" s="29">
        <f>+ENERO!U61</f>
        <v>0</v>
      </c>
      <c r="V61" s="17">
        <f>NOVIEMBRE!V61+DICIEMBRE!AL61</f>
        <v>0</v>
      </c>
      <c r="W61" s="17">
        <f>NOVIEMBRE!W61+DICIEMBRE!AM61</f>
        <v>0</v>
      </c>
      <c r="X61" s="20">
        <f>SUM(U61:W61)</f>
        <v>0</v>
      </c>
      <c r="Y61" s="21">
        <f>NOVIEMBRE!AA61</f>
        <v>0</v>
      </c>
      <c r="Z61" s="457">
        <v>0</v>
      </c>
      <c r="AA61" s="20">
        <f>SUM(Y61:Z61)</f>
        <v>0</v>
      </c>
      <c r="AB61" s="21">
        <f>NOVIEMBRE!AD61</f>
        <v>0</v>
      </c>
      <c r="AC61" s="457">
        <v>0</v>
      </c>
      <c r="AD61" s="20">
        <f>SUM(AB61:AC61)</f>
        <v>0</v>
      </c>
      <c r="AE61" s="21">
        <f>NOVIEMBRE!AG61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562"/>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67"/>
      <c r="IK61" s="467"/>
      <c r="IL61" s="467"/>
      <c r="IM61" s="467"/>
      <c r="IN61" s="467"/>
      <c r="IO61" s="467"/>
    </row>
    <row r="62" spans="1:249" s="514" customFormat="1" ht="15.75" x14ac:dyDescent="0.2">
      <c r="A62" s="188" t="str">
        <f>+IF(NOVIEMBRE!A62=0,"",NOVIEMBRE!A62)</f>
        <v>1130112-2</v>
      </c>
      <c r="B62" s="189" t="str">
        <f>+IF(NOVIEMBRE!B62=0,"",NOVIEMBRE!B62)</f>
        <v>Vigencias Anteriores</v>
      </c>
      <c r="C62" s="456">
        <f>+ENERO!C62</f>
        <v>3000000</v>
      </c>
      <c r="D62" s="456">
        <f>NOVIEMBRE!D62+DICIEMBRE!P62</f>
        <v>0</v>
      </c>
      <c r="E62" s="456">
        <f>NOVIEMBRE!E62+DICIEMBRE!Q62</f>
        <v>0</v>
      </c>
      <c r="F62" s="170">
        <f>SUM(C62:E62)</f>
        <v>3000000</v>
      </c>
      <c r="G62" s="283">
        <f>NOVIEMBRE!I62</f>
        <v>2758436</v>
      </c>
      <c r="H62" s="457">
        <v>0</v>
      </c>
      <c r="I62" s="170">
        <f>SUM(G62:H62)</f>
        <v>2758436</v>
      </c>
      <c r="J62" s="283">
        <f>NOVIEMBRE!L62</f>
        <v>2758439</v>
      </c>
      <c r="K62" s="457">
        <v>0</v>
      </c>
      <c r="L62" s="170">
        <f>SUM(J62:K62)</f>
        <v>2758439</v>
      </c>
      <c r="M62" s="283">
        <f>F62-I62</f>
        <v>241564</v>
      </c>
      <c r="N62" s="170">
        <f>F62-L62</f>
        <v>241561</v>
      </c>
      <c r="O62" s="467"/>
      <c r="P62" s="455">
        <v>0</v>
      </c>
      <c r="Q62" s="458">
        <v>0</v>
      </c>
      <c r="R62" s="10"/>
      <c r="S62" s="448" t="str">
        <f>+IF(NOVIEMBRE!S62=0,"",NOVIEMBRE!S62)</f>
        <v/>
      </c>
      <c r="T62" s="649" t="str">
        <f>+IF(NOVIEMBRE!T62=0,"",NOVIEMBRE!T62)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562"/>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67"/>
      <c r="IK62" s="467"/>
      <c r="IL62" s="467"/>
      <c r="IM62" s="467"/>
      <c r="IN62" s="467"/>
      <c r="IO62" s="467"/>
    </row>
    <row r="63" spans="1:249" s="467" customFormat="1" ht="15.75" x14ac:dyDescent="0.2">
      <c r="A63" s="57">
        <f>+IF(NOVIEMBRE!A63=0,"",NOVIEMBRE!A63)</f>
        <v>1130113</v>
      </c>
      <c r="B63" s="45" t="str">
        <f>+IF(NOVIEMBRE!B63=0,"",NOVIEMBRE!B63)</f>
        <v>COMPAÑIAS DE SEGUROS  - ACCIDENTES DE TRANSITO (SOAT)</v>
      </c>
      <c r="C63" s="53">
        <f t="shared" ref="C63:N63" si="62">SUM(C64:C65)</f>
        <v>52973202</v>
      </c>
      <c r="D63" s="53">
        <f t="shared" si="62"/>
        <v>0</v>
      </c>
      <c r="E63" s="53">
        <f t="shared" si="62"/>
        <v>0</v>
      </c>
      <c r="F63" s="54">
        <f t="shared" si="62"/>
        <v>52973202</v>
      </c>
      <c r="G63" s="52">
        <f t="shared" si="62"/>
        <v>44859983</v>
      </c>
      <c r="H63" s="53">
        <f t="shared" si="62"/>
        <v>4948430</v>
      </c>
      <c r="I63" s="54">
        <f t="shared" si="62"/>
        <v>49808413</v>
      </c>
      <c r="J63" s="52">
        <f t="shared" si="62"/>
        <v>35726287</v>
      </c>
      <c r="K63" s="53">
        <f t="shared" si="62"/>
        <v>2568163</v>
      </c>
      <c r="L63" s="54">
        <f t="shared" si="62"/>
        <v>38294450</v>
      </c>
      <c r="M63" s="52">
        <f t="shared" si="62"/>
        <v>3164789</v>
      </c>
      <c r="N63" s="54">
        <f t="shared" si="62"/>
        <v>14678752</v>
      </c>
      <c r="P63" s="52">
        <f>SUM(P64:P65)</f>
        <v>0</v>
      </c>
      <c r="Q63" s="54">
        <f>SUM(Q64:Q65)</f>
        <v>0</v>
      </c>
      <c r="R63" s="10"/>
      <c r="S63" s="469">
        <f>+IF(NOVIEMBRE!S63=0,"",NOVIEMBRE!S63)</f>
        <v>1020010</v>
      </c>
      <c r="T63" s="470" t="str">
        <f>+IF(NOVIEMBRE!T63=0,"",NOVIEMBRE!T63)</f>
        <v>Gastos de Operación</v>
      </c>
      <c r="U63" s="157">
        <f t="shared" ref="U63:AJ63" si="63">U65+U83+U90+U104</f>
        <v>1656122409</v>
      </c>
      <c r="V63" s="144">
        <f t="shared" si="63"/>
        <v>5657703</v>
      </c>
      <c r="W63" s="144">
        <f t="shared" si="63"/>
        <v>48789110</v>
      </c>
      <c r="X63" s="152">
        <f t="shared" si="63"/>
        <v>1710569222</v>
      </c>
      <c r="Y63" s="151">
        <f t="shared" si="63"/>
        <v>1398860550</v>
      </c>
      <c r="Z63" s="144">
        <f t="shared" si="63"/>
        <v>216420828</v>
      </c>
      <c r="AA63" s="152">
        <f t="shared" si="63"/>
        <v>1615281378</v>
      </c>
      <c r="AB63" s="151">
        <f t="shared" si="63"/>
        <v>1398860550</v>
      </c>
      <c r="AC63" s="144">
        <f t="shared" si="63"/>
        <v>216420828</v>
      </c>
      <c r="AD63" s="152">
        <f t="shared" si="63"/>
        <v>1615281378</v>
      </c>
      <c r="AE63" s="151">
        <f t="shared" si="63"/>
        <v>1326751301</v>
      </c>
      <c r="AF63" s="144">
        <f t="shared" si="63"/>
        <v>191182675</v>
      </c>
      <c r="AG63" s="152">
        <f t="shared" si="63"/>
        <v>1517933976</v>
      </c>
      <c r="AH63" s="151">
        <f t="shared" si="63"/>
        <v>95287844</v>
      </c>
      <c r="AI63" s="144">
        <f t="shared" si="63"/>
        <v>95287844</v>
      </c>
      <c r="AJ63" s="153">
        <f t="shared" si="63"/>
        <v>192635246</v>
      </c>
      <c r="AK63" s="10"/>
      <c r="AL63" s="151">
        <f>AL65+AL83+AL90+AL104</f>
        <v>0</v>
      </c>
      <c r="AM63" s="153">
        <f>AM65+AM83+AM90+AM104</f>
        <v>0</v>
      </c>
      <c r="AN63" s="10"/>
      <c r="AO63" s="365"/>
      <c r="AP63" s="365"/>
      <c r="AQ63" s="365"/>
      <c r="AR63" s="365"/>
      <c r="AS63" s="365"/>
      <c r="AT63" s="365"/>
      <c r="AU63" s="365"/>
      <c r="AV63" s="365"/>
      <c r="AW63" s="365"/>
      <c r="AX63" s="365"/>
      <c r="AY63" s="365"/>
      <c r="AZ63" s="365"/>
      <c r="BQ63" s="562"/>
    </row>
    <row r="64" spans="1:249" s="514" customFormat="1" ht="15.75" x14ac:dyDescent="0.2">
      <c r="A64" s="188" t="str">
        <f>+IF(NOVIEMBRE!A64=0,"",NOVIEMBRE!A64)</f>
        <v>1130113-1</v>
      </c>
      <c r="B64" s="189" t="str">
        <f>+CONCATENATE("Vigencia ",INSTRUCCIONES!$F$3)</f>
        <v>Vigencia 2014</v>
      </c>
      <c r="C64" s="456">
        <f>+ENERO!C64</f>
        <v>40103182</v>
      </c>
      <c r="D64" s="456">
        <f>NOVIEMBRE!D64+DICIEMBRE!P64</f>
        <v>0</v>
      </c>
      <c r="E64" s="456">
        <f>NOVIEMBRE!E64+DICIEMBRE!Q64</f>
        <v>0</v>
      </c>
      <c r="F64" s="170">
        <f>SUM(C64:E64)</f>
        <v>40103182</v>
      </c>
      <c r="G64" s="283">
        <f>NOVIEMBRE!I64</f>
        <v>36710057</v>
      </c>
      <c r="H64" s="457">
        <v>4948430</v>
      </c>
      <c r="I64" s="170">
        <f>SUM(G64:H64)</f>
        <v>41658487</v>
      </c>
      <c r="J64" s="283">
        <f>NOVIEMBRE!L64</f>
        <v>27576361</v>
      </c>
      <c r="K64" s="457">
        <v>2568163</v>
      </c>
      <c r="L64" s="170">
        <f>SUM(J64:K64)</f>
        <v>30144524</v>
      </c>
      <c r="M64" s="283">
        <f>F64-I64</f>
        <v>-1555305</v>
      </c>
      <c r="N64" s="170">
        <f>F64-L64</f>
        <v>9958658</v>
      </c>
      <c r="O64" s="467"/>
      <c r="P64" s="455">
        <v>0</v>
      </c>
      <c r="Q64" s="458">
        <v>0</v>
      </c>
      <c r="R64" s="10"/>
      <c r="S64" s="448" t="str">
        <f>+IF(NOVIEMBRE!S64=0,"",NOVIEMBRE!S64)</f>
        <v/>
      </c>
      <c r="T64" s="649" t="str">
        <f>+IF(NOVIEMBRE!T64=0,"",NOVIEMBRE!T64)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562"/>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67"/>
      <c r="IK64" s="467"/>
      <c r="IL64" s="467"/>
      <c r="IM64" s="467"/>
      <c r="IN64" s="467"/>
      <c r="IO64" s="467"/>
    </row>
    <row r="65" spans="1:249" s="514" customFormat="1" ht="15" x14ac:dyDescent="0.2">
      <c r="A65" s="188" t="str">
        <f>+IF(NOVIEMBRE!A65=0,"",NOVIEMBRE!A65)</f>
        <v>1130113-2</v>
      </c>
      <c r="B65" s="189" t="str">
        <f>+IF(NOVIEMBRE!B65=0,"",NOVIEMBRE!B65)</f>
        <v>Vigencias Anteriores</v>
      </c>
      <c r="C65" s="456">
        <f>+ENERO!C65</f>
        <v>12870020</v>
      </c>
      <c r="D65" s="456">
        <f>NOVIEMBRE!D65+DICIEMBRE!P65</f>
        <v>0</v>
      </c>
      <c r="E65" s="456">
        <f>NOVIEMBRE!E65+DICIEMBRE!Q65</f>
        <v>0</v>
      </c>
      <c r="F65" s="170">
        <f>SUM(C65:E65)</f>
        <v>12870020</v>
      </c>
      <c r="G65" s="283">
        <f>NOVIEMBRE!I65</f>
        <v>8149926</v>
      </c>
      <c r="H65" s="457">
        <v>0</v>
      </c>
      <c r="I65" s="170">
        <f>SUM(G65:H65)</f>
        <v>8149926</v>
      </c>
      <c r="J65" s="283">
        <f>NOVIEMBRE!L65</f>
        <v>8149926</v>
      </c>
      <c r="K65" s="457">
        <v>0</v>
      </c>
      <c r="L65" s="170">
        <f>SUM(J65:K65)</f>
        <v>8149926</v>
      </c>
      <c r="M65" s="283">
        <f>F65-I65</f>
        <v>4720094</v>
      </c>
      <c r="N65" s="170">
        <f>F65-L65</f>
        <v>4720094</v>
      </c>
      <c r="O65" s="467"/>
      <c r="P65" s="455">
        <v>0</v>
      </c>
      <c r="Q65" s="458">
        <v>0</v>
      </c>
      <c r="R65" s="10"/>
      <c r="S65" s="34">
        <f>+IF(NOVIEMBRE!S65=0,"",NOVIEMBRE!S65)</f>
        <v>1020100</v>
      </c>
      <c r="T65" s="158" t="str">
        <f>+IF(NOVIEMBRE!T65=0,"",NOVIEMBRE!T65)</f>
        <v>Servicios Personales Asociados a Nómina</v>
      </c>
      <c r="U65" s="157">
        <f t="shared" ref="U65:AJ65" si="64">SUM(U66:U69)+U81</f>
        <v>1157487731</v>
      </c>
      <c r="V65" s="144">
        <f t="shared" si="64"/>
        <v>5657703</v>
      </c>
      <c r="W65" s="144">
        <f t="shared" si="64"/>
        <v>13749212</v>
      </c>
      <c r="X65" s="152">
        <f t="shared" si="64"/>
        <v>1176894646</v>
      </c>
      <c r="Y65" s="151">
        <f t="shared" si="64"/>
        <v>1012759801</v>
      </c>
      <c r="Z65" s="144">
        <f t="shared" si="64"/>
        <v>121038014</v>
      </c>
      <c r="AA65" s="152">
        <f t="shared" si="64"/>
        <v>1133797815</v>
      </c>
      <c r="AB65" s="151">
        <f t="shared" si="64"/>
        <v>1012759801</v>
      </c>
      <c r="AC65" s="144">
        <f t="shared" si="64"/>
        <v>121038014</v>
      </c>
      <c r="AD65" s="152">
        <f t="shared" si="64"/>
        <v>1133797815</v>
      </c>
      <c r="AE65" s="151">
        <f t="shared" si="64"/>
        <v>961752346</v>
      </c>
      <c r="AF65" s="144">
        <f t="shared" si="64"/>
        <v>122654481</v>
      </c>
      <c r="AG65" s="152">
        <f t="shared" si="64"/>
        <v>1084406827</v>
      </c>
      <c r="AH65" s="151">
        <f t="shared" si="64"/>
        <v>43096831</v>
      </c>
      <c r="AI65" s="144">
        <f t="shared" si="64"/>
        <v>43096831</v>
      </c>
      <c r="AJ65" s="153">
        <f t="shared" si="64"/>
        <v>92487819</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562"/>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67"/>
      <c r="IK65" s="467"/>
      <c r="IL65" s="467"/>
      <c r="IM65" s="467"/>
      <c r="IN65" s="467"/>
      <c r="IO65" s="467"/>
    </row>
    <row r="66" spans="1:249" s="467" customFormat="1" x14ac:dyDescent="0.2">
      <c r="A66" s="57">
        <f>+IF(NOVIEMBRE!A66=0,"",NOVIEMBRE!A66)</f>
        <v>1130114</v>
      </c>
      <c r="B66" s="45" t="str">
        <f>+IF(NOVIEMBRE!B66=0,"",NOVIEMBRE!B66)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+IF(NOVIEMBRE!S66=0,"",NOVIEMBRE!S66)</f>
        <v>1020101</v>
      </c>
      <c r="T66" s="159" t="str">
        <f>+IF(NOVIEMBRE!T66=0,"",NOVIEMBRE!T66)</f>
        <v>Sueldos del Personal de nómina</v>
      </c>
      <c r="U66" s="29">
        <f>+ENERO!U66</f>
        <v>901111176</v>
      </c>
      <c r="V66" s="17">
        <f>NOVIEMBRE!V66+DICIEMBRE!AL66</f>
        <v>0</v>
      </c>
      <c r="W66" s="17">
        <f>NOVIEMBRE!W66+DICIEMBRE!AM66</f>
        <v>0</v>
      </c>
      <c r="X66" s="20">
        <f>SUM(U66:W66)</f>
        <v>901111176</v>
      </c>
      <c r="Y66" s="21">
        <f>NOVIEMBRE!AA66</f>
        <v>851921281</v>
      </c>
      <c r="Z66" s="457">
        <v>13881185</v>
      </c>
      <c r="AA66" s="20">
        <f>SUM(Y66:Z66)</f>
        <v>865802466</v>
      </c>
      <c r="AB66" s="21">
        <f>NOVIEMBRE!AD66</f>
        <v>851921281</v>
      </c>
      <c r="AC66" s="457">
        <v>13881185</v>
      </c>
      <c r="AD66" s="20">
        <f>SUM(AB66:AC66)</f>
        <v>865802466</v>
      </c>
      <c r="AE66" s="21">
        <f>NOVIEMBRE!AG66</f>
        <v>819409957</v>
      </c>
      <c r="AF66" s="457">
        <v>27228330</v>
      </c>
      <c r="AG66" s="20">
        <f>SUM(AE66:AF66)</f>
        <v>846638287</v>
      </c>
      <c r="AH66" s="21">
        <f>X66-AA66</f>
        <v>35308710</v>
      </c>
      <c r="AI66" s="17">
        <f>X66-AD66</f>
        <v>35308710</v>
      </c>
      <c r="AJ66" s="18">
        <f>X66-AG66</f>
        <v>54472889</v>
      </c>
      <c r="AK66" s="10"/>
      <c r="AL66" s="455">
        <v>0</v>
      </c>
      <c r="AM66" s="458">
        <v>0</v>
      </c>
      <c r="AN66" s="10"/>
      <c r="AO66" s="365"/>
      <c r="AP66" s="365"/>
      <c r="AQ66" s="365"/>
      <c r="AR66" s="365"/>
      <c r="AS66" s="365"/>
      <c r="AT66" s="365"/>
      <c r="AU66" s="365"/>
      <c r="AV66" s="365"/>
      <c r="AW66" s="365"/>
      <c r="AX66" s="365"/>
      <c r="AY66" s="365"/>
      <c r="AZ66" s="365"/>
      <c r="BQ66" s="562"/>
    </row>
    <row r="67" spans="1:249" s="514" customFormat="1" ht="15" x14ac:dyDescent="0.2">
      <c r="A67" s="188" t="str">
        <f>+IF(NOVIEMBRE!A67=0,"",NOVIEMBRE!A67)</f>
        <v>1130114-1</v>
      </c>
      <c r="B67" s="189" t="str">
        <f>+CONCATENATE("Vigencia ",INSTRUCCIONES!$F$3)</f>
        <v>Vigencia 2014</v>
      </c>
      <c r="C67" s="456">
        <f>+ENERO!C67</f>
        <v>0</v>
      </c>
      <c r="D67" s="456">
        <f>NOVIEMBRE!D67+DICIEMBRE!P67</f>
        <v>0</v>
      </c>
      <c r="E67" s="456">
        <f>NOVIEMBRE!E67+DICIEMBRE!Q67</f>
        <v>0</v>
      </c>
      <c r="F67" s="170">
        <f>SUM(C67:E67)</f>
        <v>0</v>
      </c>
      <c r="G67" s="283">
        <f>NOVIEMBRE!I67</f>
        <v>0</v>
      </c>
      <c r="H67" s="457">
        <v>0</v>
      </c>
      <c r="I67" s="170">
        <f>SUM(G67:H67)</f>
        <v>0</v>
      </c>
      <c r="J67" s="283">
        <f>NOVIEMBRE!L67</f>
        <v>0</v>
      </c>
      <c r="K67" s="457">
        <v>0</v>
      </c>
      <c r="L67" s="170">
        <f>SUM(J67:K67)</f>
        <v>0</v>
      </c>
      <c r="M67" s="283">
        <f>F67-I67</f>
        <v>0</v>
      </c>
      <c r="N67" s="170">
        <f>F67-L67</f>
        <v>0</v>
      </c>
      <c r="O67" s="467"/>
      <c r="P67" s="455">
        <v>0</v>
      </c>
      <c r="Q67" s="458">
        <v>0</v>
      </c>
      <c r="R67" s="10"/>
      <c r="S67" s="155">
        <f>+IF(NOVIEMBRE!S67=0,"",NOVIEMBRE!S67)</f>
        <v>1020102</v>
      </c>
      <c r="T67" s="159" t="str">
        <f>+IF(NOVIEMBRE!T67=0,"",NOVIEMBRE!T67)</f>
        <v>Horas Extras,Dominic.,Festivos y Rec. Nocturnos</v>
      </c>
      <c r="U67" s="29">
        <f>+ENERO!U67</f>
        <v>116857377</v>
      </c>
      <c r="V67" s="17">
        <f>NOVIEMBRE!V67+DICIEMBRE!AL67</f>
        <v>0</v>
      </c>
      <c r="W67" s="17">
        <f>NOVIEMBRE!W67+DICIEMBRE!AM67</f>
        <v>0</v>
      </c>
      <c r="X67" s="20">
        <f>SUM(U67:W67)</f>
        <v>116857377</v>
      </c>
      <c r="Y67" s="21">
        <f>NOVIEMBRE!AA67</f>
        <v>84772909</v>
      </c>
      <c r="Z67" s="457">
        <v>31695379</v>
      </c>
      <c r="AA67" s="20">
        <f>SUM(Y67:Z67)</f>
        <v>116468288</v>
      </c>
      <c r="AB67" s="21">
        <f>NOVIEMBRE!AD67</f>
        <v>84772909</v>
      </c>
      <c r="AC67" s="457">
        <v>31695379</v>
      </c>
      <c r="AD67" s="20">
        <f>SUM(AB67:AC67)</f>
        <v>116468288</v>
      </c>
      <c r="AE67" s="21">
        <f>NOVIEMBRE!AG67</f>
        <v>83601102</v>
      </c>
      <c r="AF67" s="457">
        <v>28148650</v>
      </c>
      <c r="AG67" s="20">
        <f>SUM(AE67:AF67)</f>
        <v>111749752</v>
      </c>
      <c r="AH67" s="21">
        <f>X67-AA67</f>
        <v>389089</v>
      </c>
      <c r="AI67" s="17">
        <f>X67-AD67</f>
        <v>389089</v>
      </c>
      <c r="AJ67" s="18">
        <f>X67-AG67</f>
        <v>5107625</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562"/>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67"/>
      <c r="IK67" s="467"/>
      <c r="IL67" s="467"/>
      <c r="IM67" s="467"/>
      <c r="IN67" s="467"/>
      <c r="IO67" s="467"/>
    </row>
    <row r="68" spans="1:249" s="514" customFormat="1" ht="15" x14ac:dyDescent="0.2">
      <c r="A68" s="188" t="str">
        <f>+IF(NOVIEMBRE!A68=0,"",NOVIEMBRE!A68)</f>
        <v>1130114-2</v>
      </c>
      <c r="B68" s="189" t="str">
        <f>+IF(NOVIEMBRE!B68=0,"",NOVIEMBRE!B68)</f>
        <v>Vigencias Anteriores</v>
      </c>
      <c r="C68" s="456">
        <f>+ENERO!C68</f>
        <v>0</v>
      </c>
      <c r="D68" s="456">
        <f>NOVIEMBRE!D68+DICIEMBRE!P68</f>
        <v>0</v>
      </c>
      <c r="E68" s="456">
        <f>NOVIEMBRE!E68+DICIEMBRE!Q68</f>
        <v>0</v>
      </c>
      <c r="F68" s="170">
        <f>SUM(C68:E68)</f>
        <v>0</v>
      </c>
      <c r="G68" s="283">
        <f>NOVIEMBRE!I68</f>
        <v>0</v>
      </c>
      <c r="H68" s="457">
        <v>0</v>
      </c>
      <c r="I68" s="170">
        <f>SUM(G68:H68)</f>
        <v>0</v>
      </c>
      <c r="J68" s="283">
        <f>NOVIEMBRE!L68</f>
        <v>0</v>
      </c>
      <c r="K68" s="457">
        <v>0</v>
      </c>
      <c r="L68" s="170">
        <f>SUM(J68:K68)</f>
        <v>0</v>
      </c>
      <c r="M68" s="283">
        <f>F68-I68</f>
        <v>0</v>
      </c>
      <c r="N68" s="170">
        <f>F68-L68</f>
        <v>0</v>
      </c>
      <c r="O68" s="467"/>
      <c r="P68" s="455">
        <v>0</v>
      </c>
      <c r="Q68" s="458">
        <v>0</v>
      </c>
      <c r="R68" s="10"/>
      <c r="S68" s="155">
        <f>+IF(NOVIEMBRE!S68=0,"",NOVIEMBRE!S68)</f>
        <v>1020103</v>
      </c>
      <c r="T68" s="159" t="str">
        <f>+IF(NOVIEMBRE!T68=0,"",NOVIEMBRE!T68)</f>
        <v>Prima Técnica</v>
      </c>
      <c r="U68" s="29">
        <f>+ENERO!U68</f>
        <v>0</v>
      </c>
      <c r="V68" s="17">
        <f>NOVIEMBRE!V68+DICIEMBRE!AL68</f>
        <v>0</v>
      </c>
      <c r="W68" s="17">
        <f>NOVIEMBRE!W68+DICIEMBRE!AM68</f>
        <v>0</v>
      </c>
      <c r="X68" s="20">
        <f>SUM(U68:W68)</f>
        <v>0</v>
      </c>
      <c r="Y68" s="21">
        <f>NOVIEMBRE!AA68</f>
        <v>0</v>
      </c>
      <c r="Z68" s="457">
        <v>0</v>
      </c>
      <c r="AA68" s="20">
        <f>SUM(Y68:Z68)</f>
        <v>0</v>
      </c>
      <c r="AB68" s="21">
        <f>NOVIEMBRE!AD68</f>
        <v>0</v>
      </c>
      <c r="AC68" s="457">
        <v>0</v>
      </c>
      <c r="AD68" s="20">
        <f>SUM(AB68:AC68)</f>
        <v>0</v>
      </c>
      <c r="AE68" s="21">
        <f>NOVIEMBRE!AG68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562"/>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67"/>
      <c r="IK68" s="467"/>
      <c r="IL68" s="467"/>
      <c r="IM68" s="467"/>
      <c r="IN68" s="467"/>
      <c r="IO68" s="467"/>
    </row>
    <row r="69" spans="1:249" s="467" customFormat="1" x14ac:dyDescent="0.2">
      <c r="A69" s="57">
        <f>+IF(NOVIEMBRE!A69=0,"",NOVIEMBRE!A69)</f>
        <v>1130115</v>
      </c>
      <c r="B69" s="45" t="str">
        <f>+IF(NOVIEMBRE!B69=0,"",NOVIEMBRE!B69)</f>
        <v>ENTIDADES DE REGIMEN ESPECIAL (Magisterio, Fuerza Pca.)</v>
      </c>
      <c r="C69" s="53">
        <f t="shared" ref="C69:N69" si="66">SUM(C70:C71)</f>
        <v>111446544</v>
      </c>
      <c r="D69" s="53">
        <f t="shared" si="66"/>
        <v>0</v>
      </c>
      <c r="E69" s="53">
        <f t="shared" si="66"/>
        <v>0</v>
      </c>
      <c r="F69" s="54">
        <f t="shared" si="66"/>
        <v>111446544</v>
      </c>
      <c r="G69" s="52">
        <f t="shared" si="66"/>
        <v>100626165</v>
      </c>
      <c r="H69" s="53">
        <f t="shared" si="66"/>
        <v>5014034</v>
      </c>
      <c r="I69" s="54">
        <f t="shared" si="66"/>
        <v>105640199</v>
      </c>
      <c r="J69" s="52">
        <f t="shared" si="66"/>
        <v>70456882</v>
      </c>
      <c r="K69" s="53">
        <f t="shared" si="66"/>
        <v>1022929</v>
      </c>
      <c r="L69" s="54">
        <f t="shared" si="66"/>
        <v>71479811</v>
      </c>
      <c r="M69" s="52">
        <f t="shared" si="66"/>
        <v>5806345</v>
      </c>
      <c r="N69" s="54">
        <f t="shared" si="66"/>
        <v>39966733</v>
      </c>
      <c r="P69" s="52">
        <f>SUM(P70:P71)</f>
        <v>0</v>
      </c>
      <c r="Q69" s="54">
        <f>SUM(Q70:Q71)</f>
        <v>0</v>
      </c>
      <c r="R69" s="10"/>
      <c r="S69" s="155">
        <f>+IF(NOVIEMBRE!S69=0,"",NOVIEMBRE!S69)</f>
        <v>1020104</v>
      </c>
      <c r="T69" s="159" t="str">
        <f>+IF(NOVIEMBRE!T69=0,"",NOVIEMBRE!T69)</f>
        <v>Otros</v>
      </c>
      <c r="U69" s="29">
        <f t="shared" ref="U69:AJ69" si="67">SUM(U70:U80)</f>
        <v>130781064</v>
      </c>
      <c r="V69" s="17">
        <f t="shared" si="67"/>
        <v>0</v>
      </c>
      <c r="W69" s="17">
        <f t="shared" si="67"/>
        <v>5000000</v>
      </c>
      <c r="X69" s="20">
        <f t="shared" si="67"/>
        <v>135781064</v>
      </c>
      <c r="Y69" s="21">
        <f t="shared" si="67"/>
        <v>53385582</v>
      </c>
      <c r="Z69" s="169">
        <f t="shared" si="67"/>
        <v>75461450</v>
      </c>
      <c r="AA69" s="20">
        <f t="shared" si="67"/>
        <v>128847032</v>
      </c>
      <c r="AB69" s="21">
        <f t="shared" si="67"/>
        <v>53385582</v>
      </c>
      <c r="AC69" s="169">
        <f t="shared" si="67"/>
        <v>75461450</v>
      </c>
      <c r="AD69" s="20">
        <f t="shared" si="67"/>
        <v>128847032</v>
      </c>
      <c r="AE69" s="21">
        <f t="shared" si="67"/>
        <v>36061258</v>
      </c>
      <c r="AF69" s="169">
        <f t="shared" si="67"/>
        <v>67277501</v>
      </c>
      <c r="AG69" s="20">
        <f t="shared" si="67"/>
        <v>103338759</v>
      </c>
      <c r="AH69" s="21">
        <f t="shared" si="67"/>
        <v>6934032</v>
      </c>
      <c r="AI69" s="17">
        <f t="shared" si="67"/>
        <v>6934032</v>
      </c>
      <c r="AJ69" s="18">
        <f t="shared" si="67"/>
        <v>32442305</v>
      </c>
      <c r="AK69" s="10"/>
      <c r="AL69" s="31">
        <f>SUM(AL70:AL80)</f>
        <v>0</v>
      </c>
      <c r="AM69" s="28">
        <f>SUM(AM70:AM80)</f>
        <v>0</v>
      </c>
      <c r="AN69" s="10"/>
      <c r="AO69" s="365"/>
      <c r="AP69" s="365"/>
      <c r="AQ69" s="365"/>
      <c r="AR69" s="365"/>
      <c r="AS69" s="365"/>
      <c r="AT69" s="365"/>
      <c r="AU69" s="365"/>
      <c r="AV69" s="365"/>
      <c r="AW69" s="365"/>
      <c r="AX69" s="365"/>
      <c r="AY69" s="365"/>
      <c r="AZ69" s="365"/>
      <c r="BQ69" s="562"/>
    </row>
    <row r="70" spans="1:249" s="514" customFormat="1" ht="15" x14ac:dyDescent="0.2">
      <c r="A70" s="188" t="str">
        <f>+IF(NOVIEMBRE!A70=0,"",NOVIEMBRE!A70)</f>
        <v>1130115-1</v>
      </c>
      <c r="B70" s="189" t="str">
        <f>+CONCATENATE("Vigencia ",INSTRUCCIONES!$F$3)</f>
        <v>Vigencia 2014</v>
      </c>
      <c r="C70" s="456">
        <f>+ENERO!C70</f>
        <v>75639118</v>
      </c>
      <c r="D70" s="456">
        <f>NOVIEMBRE!D70+DICIEMBRE!P70</f>
        <v>0</v>
      </c>
      <c r="E70" s="456">
        <f>NOVIEMBRE!E70+DICIEMBRE!Q70</f>
        <v>0</v>
      </c>
      <c r="F70" s="170">
        <f>SUM(C70:E70)</f>
        <v>75639118</v>
      </c>
      <c r="G70" s="283">
        <f>NOVIEMBRE!I70</f>
        <v>49596183</v>
      </c>
      <c r="H70" s="457">
        <v>5014034</v>
      </c>
      <c r="I70" s="170">
        <f>SUM(G70:H70)</f>
        <v>54610217</v>
      </c>
      <c r="J70" s="283">
        <f>NOVIEMBRE!L70</f>
        <v>19426900</v>
      </c>
      <c r="K70" s="457">
        <v>1022929</v>
      </c>
      <c r="L70" s="170">
        <f>SUM(J70:K70)</f>
        <v>20449829</v>
      </c>
      <c r="M70" s="283">
        <f>F70-I70</f>
        <v>21028901</v>
      </c>
      <c r="N70" s="170">
        <f>F70-L70</f>
        <v>55189289</v>
      </c>
      <c r="O70" s="467"/>
      <c r="P70" s="455">
        <v>0</v>
      </c>
      <c r="Q70" s="458">
        <v>0</v>
      </c>
      <c r="R70" s="10"/>
      <c r="S70" s="156" t="str">
        <f>+IF(NOVIEMBRE!S70=0,"",NOVIEMBRE!S70)</f>
        <v>1020104-1</v>
      </c>
      <c r="T70" s="55" t="str">
        <f>+IF(NOVIEMBRE!T70=0,"",NOVIEMBRE!T70)</f>
        <v xml:space="preserve">Prima de Navidad </v>
      </c>
      <c r="U70" s="29">
        <f>+ENERO!U70</f>
        <v>78694383</v>
      </c>
      <c r="V70" s="17">
        <f>NOVIEMBRE!V70+DICIEMBRE!AL70</f>
        <v>0</v>
      </c>
      <c r="W70" s="17">
        <f>NOVIEMBRE!W70+DICIEMBRE!AM70</f>
        <v>5000000</v>
      </c>
      <c r="X70" s="20">
        <f t="shared" ref="X70:X81" si="68">SUM(U70:W70)</f>
        <v>83694383</v>
      </c>
      <c r="Y70" s="21">
        <f>NOVIEMBRE!AA70</f>
        <v>11922994</v>
      </c>
      <c r="Z70" s="457">
        <v>65314254</v>
      </c>
      <c r="AA70" s="20">
        <f t="shared" ref="AA70:AA81" si="69">SUM(Y70:Z70)</f>
        <v>77237248</v>
      </c>
      <c r="AB70" s="21">
        <f>NOVIEMBRE!AD70</f>
        <v>11922994</v>
      </c>
      <c r="AC70" s="457">
        <v>65314254</v>
      </c>
      <c r="AD70" s="20">
        <f t="shared" ref="AD70:AD81" si="70">SUM(AB70:AC70)</f>
        <v>77237248</v>
      </c>
      <c r="AE70" s="21">
        <f>NOVIEMBRE!AG70</f>
        <v>2408058</v>
      </c>
      <c r="AF70" s="457">
        <v>59443559</v>
      </c>
      <c r="AG70" s="20">
        <f t="shared" ref="AG70:AG81" si="71">SUM(AE70:AF70)</f>
        <v>61851617</v>
      </c>
      <c r="AH70" s="21">
        <f t="shared" ref="AH70:AH81" si="72">X70-AA70</f>
        <v>6457135</v>
      </c>
      <c r="AI70" s="17">
        <f t="shared" ref="AI70:AI81" si="73">X70-AD70</f>
        <v>6457135</v>
      </c>
      <c r="AJ70" s="18">
        <f t="shared" ref="AJ70:AJ81" si="74">X70-AG70</f>
        <v>21842766</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562"/>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67"/>
      <c r="IK70" s="467"/>
      <c r="IL70" s="467"/>
      <c r="IM70" s="467"/>
      <c r="IN70" s="467"/>
      <c r="IO70" s="467"/>
    </row>
    <row r="71" spans="1:249" s="514" customFormat="1" ht="15" x14ac:dyDescent="0.2">
      <c r="A71" s="188" t="str">
        <f>+IF(NOVIEMBRE!A71=0,"",NOVIEMBRE!A71)</f>
        <v>1130115-2</v>
      </c>
      <c r="B71" s="189" t="str">
        <f>+IF(NOVIEMBRE!B71=0,"",NOVIEMBRE!B71)</f>
        <v>Vigencias Anteriores</v>
      </c>
      <c r="C71" s="456">
        <f>+ENERO!C71</f>
        <v>35807426</v>
      </c>
      <c r="D71" s="456">
        <f>NOVIEMBRE!D71+DICIEMBRE!P71</f>
        <v>0</v>
      </c>
      <c r="E71" s="456">
        <f>NOVIEMBRE!E71+DICIEMBRE!Q71</f>
        <v>0</v>
      </c>
      <c r="F71" s="170">
        <f>SUM(C71:E71)</f>
        <v>35807426</v>
      </c>
      <c r="G71" s="283">
        <f>NOVIEMBRE!I71</f>
        <v>51029982</v>
      </c>
      <c r="H71" s="457">
        <v>0</v>
      </c>
      <c r="I71" s="170">
        <f>SUM(G71:H71)</f>
        <v>51029982</v>
      </c>
      <c r="J71" s="283">
        <f>NOVIEMBRE!L71</f>
        <v>51029982</v>
      </c>
      <c r="K71" s="457">
        <v>0</v>
      </c>
      <c r="L71" s="170">
        <f>SUM(J71:K71)</f>
        <v>51029982</v>
      </c>
      <c r="M71" s="283">
        <f>F71-I71</f>
        <v>-15222556</v>
      </c>
      <c r="N71" s="170">
        <f>F71-L71</f>
        <v>-15222556</v>
      </c>
      <c r="O71" s="467"/>
      <c r="P71" s="455">
        <v>0</v>
      </c>
      <c r="Q71" s="458">
        <v>0</v>
      </c>
      <c r="R71" s="10"/>
      <c r="S71" s="156" t="str">
        <f>+IF(NOVIEMBRE!S71=0,"",NOVIEMBRE!S71)</f>
        <v>1020104-2</v>
      </c>
      <c r="T71" s="55" t="str">
        <f>+IF(NOVIEMBRE!T71=0,"",NOVIEMBRE!T71)</f>
        <v>Prima Vida Cara</v>
      </c>
      <c r="U71" s="29">
        <f>+ENERO!U71</f>
        <v>0</v>
      </c>
      <c r="V71" s="17">
        <f>NOVIEMBRE!V71+DICIEMBRE!AL71</f>
        <v>0</v>
      </c>
      <c r="W71" s="17">
        <f>NOVIEMBRE!W71+DICIEMBRE!AM71</f>
        <v>0</v>
      </c>
      <c r="X71" s="20">
        <f t="shared" si="68"/>
        <v>0</v>
      </c>
      <c r="Y71" s="21">
        <f>NOVIEMBRE!AA71</f>
        <v>0</v>
      </c>
      <c r="Z71" s="457">
        <v>0</v>
      </c>
      <c r="AA71" s="20">
        <f t="shared" si="69"/>
        <v>0</v>
      </c>
      <c r="AB71" s="21">
        <f>NOVIEMBRE!AD71</f>
        <v>0</v>
      </c>
      <c r="AC71" s="457">
        <v>0</v>
      </c>
      <c r="AD71" s="20">
        <f t="shared" si="70"/>
        <v>0</v>
      </c>
      <c r="AE71" s="21">
        <f>NOVIEMBRE!AG71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562"/>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67"/>
      <c r="IK71" s="467"/>
      <c r="IL71" s="467"/>
      <c r="IM71" s="467"/>
      <c r="IN71" s="467"/>
      <c r="IO71" s="467"/>
    </row>
    <row r="72" spans="1:249" s="467" customFormat="1" x14ac:dyDescent="0.2">
      <c r="A72" s="57">
        <f>+IF(NOVIEMBRE!A72=0,"",NOVIEMBRE!A72)</f>
        <v>1130116</v>
      </c>
      <c r="B72" s="45" t="str">
        <f>+IF(NOVIEMBRE!B72=0,"",NOVIEMBRE!B72)</f>
        <v>ADMINISTRADORAS DE RIESGOS PROFESIONALES</v>
      </c>
      <c r="C72" s="53">
        <f t="shared" ref="C72:N72" si="75">SUM(C73:C74)</f>
        <v>17675457</v>
      </c>
      <c r="D72" s="53">
        <f t="shared" si="75"/>
        <v>0</v>
      </c>
      <c r="E72" s="53">
        <f t="shared" si="75"/>
        <v>0</v>
      </c>
      <c r="F72" s="54">
        <f t="shared" si="75"/>
        <v>17675457</v>
      </c>
      <c r="G72" s="52">
        <f t="shared" si="75"/>
        <v>23606161</v>
      </c>
      <c r="H72" s="53">
        <f t="shared" si="75"/>
        <v>677339</v>
      </c>
      <c r="I72" s="54">
        <f t="shared" si="75"/>
        <v>24283500</v>
      </c>
      <c r="J72" s="52">
        <f t="shared" si="75"/>
        <v>18632450</v>
      </c>
      <c r="K72" s="53">
        <f t="shared" si="75"/>
        <v>1905535</v>
      </c>
      <c r="L72" s="54">
        <f t="shared" si="75"/>
        <v>20537985</v>
      </c>
      <c r="M72" s="52">
        <f t="shared" si="75"/>
        <v>-6608043</v>
      </c>
      <c r="N72" s="54">
        <f t="shared" si="75"/>
        <v>-2862528</v>
      </c>
      <c r="P72" s="52">
        <f>SUM(P73:P74)</f>
        <v>0</v>
      </c>
      <c r="Q72" s="54">
        <f>SUM(Q73:Q74)</f>
        <v>0</v>
      </c>
      <c r="R72" s="10"/>
      <c r="S72" s="156" t="str">
        <f>+IF(NOVIEMBRE!S72=0,"",NOVIEMBRE!S72)</f>
        <v>1020104-3</v>
      </c>
      <c r="T72" s="55" t="str">
        <f>+IF(NOVIEMBRE!T72=0,"",NOVIEMBRE!T72)</f>
        <v>Prima de Vacaciones</v>
      </c>
      <c r="U72" s="29">
        <f>+ENERO!U72</f>
        <v>37546299</v>
      </c>
      <c r="V72" s="17">
        <f>NOVIEMBRE!V72+DICIEMBRE!AL72</f>
        <v>0</v>
      </c>
      <c r="W72" s="17">
        <f>NOVIEMBRE!W72+DICIEMBRE!AM72</f>
        <v>0</v>
      </c>
      <c r="X72" s="20">
        <f t="shared" si="68"/>
        <v>37546299</v>
      </c>
      <c r="Y72" s="21">
        <f>NOVIEMBRE!AA72</f>
        <v>28590027</v>
      </c>
      <c r="Z72" s="457">
        <v>8717267</v>
      </c>
      <c r="AA72" s="20">
        <f t="shared" si="69"/>
        <v>37307294</v>
      </c>
      <c r="AB72" s="21">
        <f>NOVIEMBRE!AD72</f>
        <v>28590027</v>
      </c>
      <c r="AC72" s="457">
        <v>8717267</v>
      </c>
      <c r="AD72" s="20">
        <f t="shared" si="70"/>
        <v>37307294</v>
      </c>
      <c r="AE72" s="21">
        <f>NOVIEMBRE!AG72</f>
        <v>21699390</v>
      </c>
      <c r="AF72" s="457">
        <v>6673190</v>
      </c>
      <c r="AG72" s="20">
        <f t="shared" si="71"/>
        <v>28372580</v>
      </c>
      <c r="AH72" s="21">
        <f t="shared" si="72"/>
        <v>239005</v>
      </c>
      <c r="AI72" s="17">
        <f t="shared" si="73"/>
        <v>239005</v>
      </c>
      <c r="AJ72" s="18">
        <f t="shared" si="74"/>
        <v>9173719</v>
      </c>
      <c r="AK72" s="10"/>
      <c r="AL72" s="455">
        <v>0</v>
      </c>
      <c r="AM72" s="458">
        <v>0</v>
      </c>
      <c r="AN72" s="10"/>
      <c r="AO72" s="365"/>
      <c r="AP72" s="365"/>
      <c r="AQ72" s="365"/>
      <c r="AR72" s="365"/>
      <c r="AS72" s="365"/>
      <c r="AT72" s="365"/>
      <c r="AU72" s="365"/>
      <c r="AV72" s="365"/>
      <c r="AW72" s="365"/>
      <c r="AX72" s="365"/>
      <c r="AY72" s="365"/>
      <c r="AZ72" s="365"/>
      <c r="BQ72" s="562"/>
    </row>
    <row r="73" spans="1:249" s="514" customFormat="1" ht="15" x14ac:dyDescent="0.2">
      <c r="A73" s="188" t="str">
        <f>+IF(NOVIEMBRE!A73=0,"",NOVIEMBRE!A73)</f>
        <v>1130116-1</v>
      </c>
      <c r="B73" s="189" t="str">
        <f>+CONCATENATE("Vigencia ",INSTRUCCIONES!$F$3)</f>
        <v>Vigencia 2014</v>
      </c>
      <c r="C73" s="456">
        <f>+ENERO!C73</f>
        <v>13187137</v>
      </c>
      <c r="D73" s="456">
        <f>NOVIEMBRE!D73+DICIEMBRE!P73</f>
        <v>0</v>
      </c>
      <c r="E73" s="456">
        <f>NOVIEMBRE!E73+DICIEMBRE!Q73</f>
        <v>0</v>
      </c>
      <c r="F73" s="170">
        <f>SUM(C73:E73)</f>
        <v>13187137</v>
      </c>
      <c r="G73" s="283">
        <f>NOVIEMBRE!I73</f>
        <v>20758996</v>
      </c>
      <c r="H73" s="457">
        <v>677339</v>
      </c>
      <c r="I73" s="170">
        <f>SUM(G73:H73)</f>
        <v>21436335</v>
      </c>
      <c r="J73" s="283">
        <f>NOVIEMBRE!L73</f>
        <v>15785285</v>
      </c>
      <c r="K73" s="457">
        <v>1905535</v>
      </c>
      <c r="L73" s="170">
        <f>SUM(J73:K73)</f>
        <v>17690820</v>
      </c>
      <c r="M73" s="283">
        <f>F73-I73</f>
        <v>-8249198</v>
      </c>
      <c r="N73" s="170">
        <f>F73-L73</f>
        <v>-4503683</v>
      </c>
      <c r="O73" s="467"/>
      <c r="P73" s="455">
        <v>0</v>
      </c>
      <c r="Q73" s="458">
        <v>0</v>
      </c>
      <c r="R73" s="10"/>
      <c r="S73" s="156" t="str">
        <f>+IF(NOVIEMBRE!S73=0,"",NOVIEMBRE!S73)</f>
        <v>1020104-4</v>
      </c>
      <c r="T73" s="55" t="str">
        <f>+IF(NOVIEMBRE!T73=0,"",NOVIEMBRE!T73)</f>
        <v>Prima Clima</v>
      </c>
      <c r="U73" s="29">
        <f>+ENERO!U73</f>
        <v>0</v>
      </c>
      <c r="V73" s="17">
        <f>NOVIEMBRE!V73+DICIEMBRE!AL73</f>
        <v>0</v>
      </c>
      <c r="W73" s="17">
        <f>NOVIEMBRE!W73+DICIEMBRE!AM73</f>
        <v>0</v>
      </c>
      <c r="X73" s="20">
        <f t="shared" si="68"/>
        <v>0</v>
      </c>
      <c r="Y73" s="21">
        <f>NOVIEMBRE!AA73</f>
        <v>0</v>
      </c>
      <c r="Z73" s="457">
        <v>0</v>
      </c>
      <c r="AA73" s="20">
        <f t="shared" si="69"/>
        <v>0</v>
      </c>
      <c r="AB73" s="21">
        <f>NOVIEMBRE!AD73</f>
        <v>0</v>
      </c>
      <c r="AC73" s="457">
        <v>0</v>
      </c>
      <c r="AD73" s="20">
        <f t="shared" si="70"/>
        <v>0</v>
      </c>
      <c r="AE73" s="21">
        <f>NOVIEMBRE!AG73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562"/>
      <c r="BR73" s="467"/>
      <c r="BS73" s="467"/>
      <c r="BT73" s="467"/>
      <c r="BU73" s="467"/>
      <c r="BV73" s="467"/>
      <c r="BW73" s="467"/>
      <c r="BX73" s="467"/>
      <c r="BY73" s="467"/>
      <c r="BZ73" s="467"/>
      <c r="CA73" s="467"/>
      <c r="CB73" s="467"/>
      <c r="CC73" s="467"/>
      <c r="CD73" s="467"/>
      <c r="CE73" s="467"/>
      <c r="CF73" s="467"/>
      <c r="CG73" s="467"/>
      <c r="CH73" s="467"/>
      <c r="CI73" s="467"/>
      <c r="CJ73" s="467"/>
      <c r="CK73" s="467"/>
      <c r="CL73" s="467"/>
      <c r="CM73" s="467"/>
      <c r="CN73" s="467"/>
      <c r="CO73" s="467"/>
      <c r="CP73" s="467"/>
      <c r="CQ73" s="467"/>
      <c r="CR73" s="467"/>
      <c r="CS73" s="467"/>
      <c r="CT73" s="467"/>
      <c r="CU73" s="467"/>
      <c r="CV73" s="467"/>
      <c r="CW73" s="467"/>
      <c r="CX73" s="467"/>
      <c r="CY73" s="467"/>
      <c r="CZ73" s="467"/>
      <c r="DA73" s="467"/>
      <c r="DB73" s="467"/>
      <c r="DC73" s="467"/>
      <c r="DD73" s="467"/>
      <c r="DE73" s="467"/>
      <c r="DF73" s="467"/>
      <c r="DG73" s="467"/>
      <c r="DH73" s="467"/>
      <c r="DI73" s="467"/>
      <c r="DJ73" s="467"/>
      <c r="DK73" s="467"/>
      <c r="DL73" s="467"/>
      <c r="DM73" s="467"/>
      <c r="DN73" s="467"/>
      <c r="DO73" s="467"/>
      <c r="DP73" s="467"/>
      <c r="DQ73" s="467"/>
      <c r="DR73" s="467"/>
      <c r="DS73" s="467"/>
      <c r="DT73" s="467"/>
      <c r="DU73" s="467"/>
      <c r="DV73" s="467"/>
      <c r="DW73" s="467"/>
      <c r="DX73" s="467"/>
      <c r="DY73" s="467"/>
      <c r="DZ73" s="467"/>
      <c r="EA73" s="467"/>
      <c r="EB73" s="467"/>
      <c r="EC73" s="467"/>
      <c r="ED73" s="467"/>
      <c r="EE73" s="467"/>
      <c r="EF73" s="467"/>
      <c r="EG73" s="467"/>
      <c r="EH73" s="467"/>
      <c r="EI73" s="467"/>
      <c r="EJ73" s="467"/>
      <c r="EK73" s="467"/>
      <c r="EL73" s="467"/>
      <c r="EM73" s="467"/>
      <c r="EN73" s="467"/>
      <c r="EO73" s="467"/>
      <c r="EP73" s="467"/>
      <c r="EQ73" s="467"/>
      <c r="ER73" s="467"/>
      <c r="ES73" s="467"/>
      <c r="ET73" s="467"/>
      <c r="EU73" s="467"/>
      <c r="EV73" s="467"/>
      <c r="EW73" s="467"/>
      <c r="EX73" s="467"/>
      <c r="EY73" s="467"/>
      <c r="EZ73" s="467"/>
      <c r="FA73" s="467"/>
      <c r="FB73" s="467"/>
      <c r="FC73" s="467"/>
      <c r="FD73" s="467"/>
      <c r="FE73" s="467"/>
      <c r="FF73" s="467"/>
      <c r="FG73" s="467"/>
      <c r="FH73" s="467"/>
      <c r="FI73" s="467"/>
      <c r="FJ73" s="467"/>
      <c r="FK73" s="467"/>
      <c r="FL73" s="467"/>
      <c r="FM73" s="467"/>
      <c r="FN73" s="467"/>
      <c r="FO73" s="467"/>
      <c r="FP73" s="467"/>
      <c r="FQ73" s="467"/>
      <c r="FR73" s="467"/>
      <c r="FS73" s="467"/>
      <c r="FT73" s="467"/>
      <c r="FU73" s="467"/>
      <c r="FV73" s="467"/>
      <c r="FW73" s="467"/>
      <c r="FX73" s="467"/>
      <c r="FY73" s="467"/>
      <c r="FZ73" s="467"/>
      <c r="GA73" s="467"/>
      <c r="GB73" s="467"/>
      <c r="GC73" s="467"/>
      <c r="GD73" s="467"/>
      <c r="GE73" s="467"/>
      <c r="GF73" s="467"/>
      <c r="GG73" s="467"/>
      <c r="GH73" s="467"/>
      <c r="GI73" s="467"/>
      <c r="GJ73" s="467"/>
      <c r="GK73" s="467"/>
      <c r="GL73" s="467"/>
      <c r="GM73" s="467"/>
      <c r="GN73" s="467"/>
      <c r="GO73" s="467"/>
      <c r="GP73" s="467"/>
      <c r="GQ73" s="467"/>
      <c r="GR73" s="467"/>
      <c r="GS73" s="467"/>
      <c r="GT73" s="467"/>
      <c r="GU73" s="467"/>
      <c r="GV73" s="467"/>
      <c r="GW73" s="467"/>
      <c r="GX73" s="467"/>
      <c r="GY73" s="467"/>
      <c r="GZ73" s="467"/>
      <c r="HA73" s="467"/>
      <c r="HB73" s="467"/>
      <c r="HC73" s="467"/>
      <c r="HD73" s="467"/>
      <c r="HE73" s="467"/>
      <c r="HF73" s="467"/>
      <c r="HG73" s="467"/>
      <c r="HH73" s="467"/>
      <c r="HI73" s="467"/>
      <c r="HJ73" s="467"/>
      <c r="HK73" s="467"/>
      <c r="HL73" s="467"/>
      <c r="HM73" s="467"/>
      <c r="HN73" s="467"/>
      <c r="HO73" s="467"/>
      <c r="HP73" s="467"/>
      <c r="HQ73" s="467"/>
      <c r="HR73" s="467"/>
      <c r="HS73" s="467"/>
      <c r="HT73" s="467"/>
      <c r="HU73" s="467"/>
      <c r="HV73" s="467"/>
      <c r="HW73" s="467"/>
      <c r="HX73" s="467"/>
      <c r="HY73" s="467"/>
      <c r="HZ73" s="467"/>
      <c r="IA73" s="467"/>
      <c r="IB73" s="467"/>
      <c r="IC73" s="467"/>
      <c r="ID73" s="467"/>
      <c r="IE73" s="467"/>
      <c r="IF73" s="467"/>
      <c r="IG73" s="467"/>
      <c r="IH73" s="467"/>
      <c r="II73" s="467"/>
      <c r="IJ73" s="467"/>
      <c r="IK73" s="467"/>
      <c r="IL73" s="467"/>
      <c r="IM73" s="467"/>
      <c r="IN73" s="467"/>
      <c r="IO73" s="467"/>
    </row>
    <row r="74" spans="1:249" s="514" customFormat="1" ht="15" x14ac:dyDescent="0.2">
      <c r="A74" s="188" t="str">
        <f>+IF(NOVIEMBRE!A74=0,"",NOVIEMBRE!A74)</f>
        <v>1130116-2</v>
      </c>
      <c r="B74" s="189" t="str">
        <f>+IF(NOVIEMBRE!B74=0,"",NOVIEMBRE!B74)</f>
        <v>Vigencias Anteriores</v>
      </c>
      <c r="C74" s="456">
        <f>+ENERO!C74</f>
        <v>4488320</v>
      </c>
      <c r="D74" s="456">
        <f>NOVIEMBRE!D74+DICIEMBRE!P74</f>
        <v>0</v>
      </c>
      <c r="E74" s="456">
        <f>NOVIEMBRE!E74+DICIEMBRE!Q74</f>
        <v>0</v>
      </c>
      <c r="F74" s="170">
        <f>SUM(C74:E74)</f>
        <v>4488320</v>
      </c>
      <c r="G74" s="283">
        <f>NOVIEMBRE!I74</f>
        <v>2847165</v>
      </c>
      <c r="H74" s="457">
        <v>0</v>
      </c>
      <c r="I74" s="170">
        <f>SUM(G74:H74)</f>
        <v>2847165</v>
      </c>
      <c r="J74" s="283">
        <f>NOVIEMBRE!L74</f>
        <v>2847165</v>
      </c>
      <c r="K74" s="457">
        <v>0</v>
      </c>
      <c r="L74" s="170">
        <f>SUM(J74:K74)</f>
        <v>2847165</v>
      </c>
      <c r="M74" s="283">
        <f>F74-I74</f>
        <v>1641155</v>
      </c>
      <c r="N74" s="170">
        <f>F74-L74</f>
        <v>1641155</v>
      </c>
      <c r="O74" s="467"/>
      <c r="P74" s="455">
        <v>0</v>
      </c>
      <c r="Q74" s="458">
        <v>0</v>
      </c>
      <c r="R74" s="10"/>
      <c r="S74" s="156" t="str">
        <f>+IF(NOVIEMBRE!S74=0,"",NOVIEMBRE!S74)</f>
        <v>1020104-5</v>
      </c>
      <c r="T74" s="55" t="str">
        <f>+IF(NOVIEMBRE!T74=0,"",NOVIEMBRE!T74)</f>
        <v>Prima de Servicios</v>
      </c>
      <c r="U74" s="29">
        <f>+ENERO!U74</f>
        <v>5675116</v>
      </c>
      <c r="V74" s="17">
        <f>NOVIEMBRE!V74+DICIEMBRE!AL74</f>
        <v>0</v>
      </c>
      <c r="W74" s="17">
        <f>NOVIEMBRE!W74+DICIEMBRE!AM74</f>
        <v>0</v>
      </c>
      <c r="X74" s="20">
        <f t="shared" si="68"/>
        <v>5675116</v>
      </c>
      <c r="Y74" s="21">
        <f>NOVIEMBRE!AA74</f>
        <v>5675116</v>
      </c>
      <c r="Z74" s="457">
        <v>0</v>
      </c>
      <c r="AA74" s="20">
        <f t="shared" si="69"/>
        <v>5675116</v>
      </c>
      <c r="AB74" s="21">
        <f>NOVIEMBRE!AD74</f>
        <v>5675116</v>
      </c>
      <c r="AC74" s="457">
        <v>0</v>
      </c>
      <c r="AD74" s="20">
        <f t="shared" si="70"/>
        <v>5675116</v>
      </c>
      <c r="AE74" s="21">
        <f>NOVIEMBRE!AG74</f>
        <v>5675116</v>
      </c>
      <c r="AF74" s="457">
        <v>0</v>
      </c>
      <c r="AG74" s="20">
        <f t="shared" si="71"/>
        <v>5675116</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562"/>
      <c r="BR74" s="467"/>
      <c r="BS74" s="467"/>
      <c r="BT74" s="467"/>
      <c r="BU74" s="467"/>
      <c r="BV74" s="467"/>
      <c r="BW74" s="467"/>
      <c r="BX74" s="467"/>
      <c r="BY74" s="467"/>
      <c r="BZ74" s="467"/>
      <c r="CA74" s="467"/>
      <c r="CB74" s="467"/>
      <c r="CC74" s="467"/>
      <c r="CD74" s="467"/>
      <c r="CE74" s="467"/>
      <c r="CF74" s="467"/>
      <c r="CG74" s="467"/>
      <c r="CH74" s="467"/>
      <c r="CI74" s="467"/>
      <c r="CJ74" s="467"/>
      <c r="CK74" s="467"/>
      <c r="CL74" s="467"/>
      <c r="CM74" s="467"/>
      <c r="CN74" s="467"/>
      <c r="CO74" s="467"/>
      <c r="CP74" s="467"/>
      <c r="CQ74" s="467"/>
      <c r="CR74" s="467"/>
      <c r="CS74" s="467"/>
      <c r="CT74" s="467"/>
      <c r="CU74" s="467"/>
      <c r="CV74" s="467"/>
      <c r="CW74" s="467"/>
      <c r="CX74" s="467"/>
      <c r="CY74" s="467"/>
      <c r="CZ74" s="467"/>
      <c r="DA74" s="467"/>
      <c r="DB74" s="467"/>
      <c r="DC74" s="467"/>
      <c r="DD74" s="467"/>
      <c r="DE74" s="467"/>
      <c r="DF74" s="467"/>
      <c r="DG74" s="467"/>
      <c r="DH74" s="467"/>
      <c r="DI74" s="467"/>
      <c r="DJ74" s="467"/>
      <c r="DK74" s="467"/>
      <c r="DL74" s="467"/>
      <c r="DM74" s="467"/>
      <c r="DN74" s="467"/>
      <c r="DO74" s="467"/>
      <c r="DP74" s="467"/>
      <c r="DQ74" s="467"/>
      <c r="DR74" s="467"/>
      <c r="DS74" s="467"/>
      <c r="DT74" s="467"/>
      <c r="DU74" s="467"/>
      <c r="DV74" s="467"/>
      <c r="DW74" s="467"/>
      <c r="DX74" s="467"/>
      <c r="DY74" s="467"/>
      <c r="DZ74" s="467"/>
      <c r="EA74" s="467"/>
      <c r="EB74" s="467"/>
      <c r="EC74" s="467"/>
      <c r="ED74" s="467"/>
      <c r="EE74" s="467"/>
      <c r="EF74" s="467"/>
      <c r="EG74" s="467"/>
      <c r="EH74" s="467"/>
      <c r="EI74" s="467"/>
      <c r="EJ74" s="467"/>
      <c r="EK74" s="467"/>
      <c r="EL74" s="467"/>
      <c r="EM74" s="467"/>
      <c r="EN74" s="467"/>
      <c r="EO74" s="467"/>
      <c r="EP74" s="467"/>
      <c r="EQ74" s="467"/>
      <c r="ER74" s="467"/>
      <c r="ES74" s="467"/>
      <c r="ET74" s="467"/>
      <c r="EU74" s="467"/>
      <c r="EV74" s="467"/>
      <c r="EW74" s="467"/>
      <c r="EX74" s="467"/>
      <c r="EY74" s="467"/>
      <c r="EZ74" s="467"/>
      <c r="FA74" s="467"/>
      <c r="FB74" s="467"/>
      <c r="FC74" s="467"/>
      <c r="FD74" s="467"/>
      <c r="FE74" s="467"/>
      <c r="FF74" s="467"/>
      <c r="FG74" s="467"/>
      <c r="FH74" s="467"/>
      <c r="FI74" s="467"/>
      <c r="FJ74" s="467"/>
      <c r="FK74" s="467"/>
      <c r="FL74" s="467"/>
      <c r="FM74" s="467"/>
      <c r="FN74" s="467"/>
      <c r="FO74" s="467"/>
      <c r="FP74" s="467"/>
      <c r="FQ74" s="467"/>
      <c r="FR74" s="467"/>
      <c r="FS74" s="467"/>
      <c r="FT74" s="467"/>
      <c r="FU74" s="467"/>
      <c r="FV74" s="467"/>
      <c r="FW74" s="467"/>
      <c r="FX74" s="467"/>
      <c r="FY74" s="467"/>
      <c r="FZ74" s="467"/>
      <c r="GA74" s="467"/>
      <c r="GB74" s="467"/>
      <c r="GC74" s="467"/>
      <c r="GD74" s="467"/>
      <c r="GE74" s="467"/>
      <c r="GF74" s="467"/>
      <c r="GG74" s="467"/>
      <c r="GH74" s="467"/>
      <c r="GI74" s="467"/>
      <c r="GJ74" s="467"/>
      <c r="GK74" s="467"/>
      <c r="GL74" s="467"/>
      <c r="GM74" s="467"/>
      <c r="GN74" s="467"/>
      <c r="GO74" s="467"/>
      <c r="GP74" s="467"/>
      <c r="GQ74" s="467"/>
      <c r="GR74" s="467"/>
      <c r="GS74" s="467"/>
      <c r="GT74" s="467"/>
      <c r="GU74" s="467"/>
      <c r="GV74" s="467"/>
      <c r="GW74" s="467"/>
      <c r="GX74" s="467"/>
      <c r="GY74" s="467"/>
      <c r="GZ74" s="467"/>
      <c r="HA74" s="467"/>
      <c r="HB74" s="467"/>
      <c r="HC74" s="467"/>
      <c r="HD74" s="467"/>
      <c r="HE74" s="467"/>
      <c r="HF74" s="467"/>
      <c r="HG74" s="467"/>
      <c r="HH74" s="467"/>
      <c r="HI74" s="467"/>
      <c r="HJ74" s="467"/>
      <c r="HK74" s="467"/>
      <c r="HL74" s="467"/>
      <c r="HM74" s="467"/>
      <c r="HN74" s="467"/>
      <c r="HO74" s="467"/>
      <c r="HP74" s="467"/>
      <c r="HQ74" s="467"/>
      <c r="HR74" s="467"/>
      <c r="HS74" s="467"/>
      <c r="HT74" s="467"/>
      <c r="HU74" s="467"/>
      <c r="HV74" s="467"/>
      <c r="HW74" s="467"/>
      <c r="HX74" s="467"/>
      <c r="HY74" s="467"/>
      <c r="HZ74" s="467"/>
      <c r="IA74" s="467"/>
      <c r="IB74" s="467"/>
      <c r="IC74" s="467"/>
      <c r="ID74" s="467"/>
      <c r="IE74" s="467"/>
      <c r="IF74" s="467"/>
      <c r="IG74" s="467"/>
      <c r="IH74" s="467"/>
      <c r="II74" s="467"/>
      <c r="IJ74" s="467"/>
      <c r="IK74" s="467"/>
      <c r="IL74" s="467"/>
      <c r="IM74" s="467"/>
      <c r="IN74" s="467"/>
      <c r="IO74" s="467"/>
    </row>
    <row r="75" spans="1:249" s="467" customFormat="1" x14ac:dyDescent="0.2">
      <c r="A75" s="57">
        <f>+IF(NOVIEMBRE!A75=0,"",NOVIEMBRE!A75)</f>
        <v>1130117</v>
      </c>
      <c r="B75" s="45" t="str">
        <f>+IF(NOVIEMBRE!B75=0,"",NOVIEMBRE!B75)</f>
        <v>CUOTAS DE RECUPERACION</v>
      </c>
      <c r="C75" s="53">
        <f t="shared" ref="C75:N75" si="76">SUM(C76:C77)</f>
        <v>1100000</v>
      </c>
      <c r="D75" s="53">
        <f t="shared" si="76"/>
        <v>0</v>
      </c>
      <c r="E75" s="53">
        <f t="shared" si="76"/>
        <v>31700000</v>
      </c>
      <c r="F75" s="54">
        <f t="shared" si="76"/>
        <v>32800000</v>
      </c>
      <c r="G75" s="52">
        <f t="shared" si="76"/>
        <v>32860005</v>
      </c>
      <c r="H75" s="53">
        <f t="shared" si="76"/>
        <v>0</v>
      </c>
      <c r="I75" s="54">
        <f t="shared" si="76"/>
        <v>32860005</v>
      </c>
      <c r="J75" s="52">
        <f t="shared" si="76"/>
        <v>32880625</v>
      </c>
      <c r="K75" s="53">
        <f t="shared" si="76"/>
        <v>0</v>
      </c>
      <c r="L75" s="54">
        <f t="shared" si="76"/>
        <v>32880625</v>
      </c>
      <c r="M75" s="52">
        <f t="shared" si="76"/>
        <v>-60005</v>
      </c>
      <c r="N75" s="54">
        <f t="shared" si="76"/>
        <v>-80625</v>
      </c>
      <c r="P75" s="52">
        <f>SUM(P76:P77)</f>
        <v>0</v>
      </c>
      <c r="Q75" s="54">
        <f>SUM(Q76:Q77)</f>
        <v>0</v>
      </c>
      <c r="R75" s="10"/>
      <c r="S75" s="156" t="str">
        <f>+IF(NOVIEMBRE!S75=0,"",NOVIEMBRE!S75)</f>
        <v>1020104-8</v>
      </c>
      <c r="T75" s="55" t="str">
        <f>+IF(NOVIEMBRE!T75=0,"",NOVIEMBRE!T75)</f>
        <v>Bonific. por Servicios Prestados (Convencional)</v>
      </c>
      <c r="U75" s="29">
        <f>+ENERO!U75</f>
        <v>0</v>
      </c>
      <c r="V75" s="17">
        <f>NOVIEMBRE!V75+DICIEMBRE!AL75</f>
        <v>0</v>
      </c>
      <c r="W75" s="17">
        <f>NOVIEMBRE!W75+DICIEMBRE!AM75</f>
        <v>0</v>
      </c>
      <c r="X75" s="20">
        <f t="shared" si="68"/>
        <v>0</v>
      </c>
      <c r="Y75" s="21">
        <f>NOVIEMBRE!AA75</f>
        <v>0</v>
      </c>
      <c r="Z75" s="457">
        <v>0</v>
      </c>
      <c r="AA75" s="20">
        <f t="shared" si="69"/>
        <v>0</v>
      </c>
      <c r="AB75" s="21">
        <f>NOVIEMBRE!AD75</f>
        <v>0</v>
      </c>
      <c r="AC75" s="457">
        <v>0</v>
      </c>
      <c r="AD75" s="20">
        <f t="shared" si="70"/>
        <v>0</v>
      </c>
      <c r="AE75" s="21">
        <f>NOVIEMBRE!AG75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c r="BQ75" s="562"/>
    </row>
    <row r="76" spans="1:249" s="514" customFormat="1" ht="15" x14ac:dyDescent="0.2">
      <c r="A76" s="188" t="str">
        <f>+IF(NOVIEMBRE!A76=0,"",NOVIEMBRE!A76)</f>
        <v>1130117-1</v>
      </c>
      <c r="B76" s="189" t="str">
        <f>+CONCATENATE("Vigencia ",INSTRUCCIONES!$F$3)</f>
        <v>Vigencia 2014</v>
      </c>
      <c r="C76" s="456">
        <f>+ENERO!C76</f>
        <v>1100000</v>
      </c>
      <c r="D76" s="456">
        <f>NOVIEMBRE!D76+DICIEMBRE!P76</f>
        <v>0</v>
      </c>
      <c r="E76" s="456">
        <f>NOVIEMBRE!E76+DICIEMBRE!Q76</f>
        <v>31700000</v>
      </c>
      <c r="F76" s="170">
        <f t="shared" ref="F76:F83" si="77">SUM(C76:E76)</f>
        <v>32800000</v>
      </c>
      <c r="G76" s="283">
        <f>NOVIEMBRE!I76</f>
        <v>32860005</v>
      </c>
      <c r="H76" s="457">
        <v>0</v>
      </c>
      <c r="I76" s="170">
        <f t="shared" ref="I76:I83" si="78">SUM(G76:H76)</f>
        <v>32860005</v>
      </c>
      <c r="J76" s="283">
        <f>NOVIEMBRE!L76</f>
        <v>32880625</v>
      </c>
      <c r="K76" s="457">
        <v>0</v>
      </c>
      <c r="L76" s="170">
        <f t="shared" ref="L76:L83" si="79">SUM(J76:K76)</f>
        <v>32880625</v>
      </c>
      <c r="M76" s="283">
        <f t="shared" ref="M76:M83" si="80">F76-I76</f>
        <v>-60005</v>
      </c>
      <c r="N76" s="170">
        <f t="shared" ref="N76:N83" si="81">F76-L76</f>
        <v>-80625</v>
      </c>
      <c r="O76" s="467"/>
      <c r="P76" s="455">
        <v>0</v>
      </c>
      <c r="Q76" s="458">
        <v>0</v>
      </c>
      <c r="R76" s="10"/>
      <c r="S76" s="156" t="str">
        <f>+IF(NOVIEMBRE!S76=0,"",NOVIEMBRE!S76)</f>
        <v>1020104-9</v>
      </c>
      <c r="T76" s="55" t="str">
        <f>+IF(NOVIEMBRE!T76=0,"",NOVIEMBRE!T76)</f>
        <v>Auxilio de Transporte</v>
      </c>
      <c r="U76" s="29">
        <f>+ENERO!U76</f>
        <v>0</v>
      </c>
      <c r="V76" s="17">
        <f>NOVIEMBRE!V76+DICIEMBRE!AL76</f>
        <v>0</v>
      </c>
      <c r="W76" s="17">
        <f>NOVIEMBRE!W76+DICIEMBRE!AM76</f>
        <v>0</v>
      </c>
      <c r="X76" s="20">
        <f t="shared" si="68"/>
        <v>0</v>
      </c>
      <c r="Y76" s="21">
        <f>NOVIEMBRE!AA76</f>
        <v>0</v>
      </c>
      <c r="Z76" s="457">
        <v>0</v>
      </c>
      <c r="AA76" s="20">
        <f t="shared" si="69"/>
        <v>0</v>
      </c>
      <c r="AB76" s="21">
        <f>NOVIEMBRE!AD76</f>
        <v>0</v>
      </c>
      <c r="AC76" s="457">
        <v>0</v>
      </c>
      <c r="AD76" s="20">
        <f t="shared" si="70"/>
        <v>0</v>
      </c>
      <c r="AE76" s="21">
        <f>NOVIEMBRE!AG76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562"/>
      <c r="BR76" s="467"/>
      <c r="BS76" s="467"/>
      <c r="BT76" s="467"/>
      <c r="BU76" s="467"/>
      <c r="BV76" s="467"/>
      <c r="BW76" s="467"/>
      <c r="BX76" s="467"/>
      <c r="BY76" s="467"/>
      <c r="BZ76" s="467"/>
      <c r="CA76" s="467"/>
      <c r="CB76" s="467"/>
      <c r="CC76" s="467"/>
      <c r="CD76" s="467"/>
      <c r="CE76" s="467"/>
      <c r="CF76" s="467"/>
      <c r="CG76" s="467"/>
      <c r="CH76" s="467"/>
      <c r="CI76" s="467"/>
      <c r="CJ76" s="467"/>
      <c r="CK76" s="467"/>
      <c r="CL76" s="467"/>
      <c r="CM76" s="467"/>
      <c r="CN76" s="467"/>
      <c r="CO76" s="467"/>
      <c r="CP76" s="467"/>
      <c r="CQ76" s="467"/>
      <c r="CR76" s="467"/>
      <c r="CS76" s="467"/>
      <c r="CT76" s="467"/>
      <c r="CU76" s="467"/>
      <c r="CV76" s="467"/>
      <c r="CW76" s="467"/>
      <c r="CX76" s="467"/>
      <c r="CY76" s="467"/>
      <c r="CZ76" s="467"/>
      <c r="DA76" s="467"/>
      <c r="DB76" s="467"/>
      <c r="DC76" s="467"/>
      <c r="DD76" s="467"/>
      <c r="DE76" s="467"/>
      <c r="DF76" s="467"/>
      <c r="DG76" s="467"/>
      <c r="DH76" s="467"/>
      <c r="DI76" s="467"/>
      <c r="DJ76" s="467"/>
      <c r="DK76" s="467"/>
      <c r="DL76" s="467"/>
      <c r="DM76" s="467"/>
      <c r="DN76" s="467"/>
      <c r="DO76" s="467"/>
      <c r="DP76" s="467"/>
      <c r="DQ76" s="467"/>
      <c r="DR76" s="467"/>
      <c r="DS76" s="467"/>
      <c r="DT76" s="467"/>
      <c r="DU76" s="467"/>
      <c r="DV76" s="467"/>
      <c r="DW76" s="467"/>
      <c r="DX76" s="467"/>
      <c r="DY76" s="467"/>
      <c r="DZ76" s="467"/>
      <c r="EA76" s="467"/>
      <c r="EB76" s="467"/>
      <c r="EC76" s="467"/>
      <c r="ED76" s="467"/>
      <c r="EE76" s="467"/>
      <c r="EF76" s="467"/>
      <c r="EG76" s="467"/>
      <c r="EH76" s="467"/>
      <c r="EI76" s="467"/>
      <c r="EJ76" s="467"/>
      <c r="EK76" s="467"/>
      <c r="EL76" s="467"/>
      <c r="EM76" s="467"/>
      <c r="EN76" s="467"/>
      <c r="EO76" s="467"/>
      <c r="EP76" s="467"/>
      <c r="EQ76" s="467"/>
      <c r="ER76" s="467"/>
      <c r="ES76" s="467"/>
      <c r="ET76" s="467"/>
      <c r="EU76" s="467"/>
      <c r="EV76" s="467"/>
      <c r="EW76" s="467"/>
      <c r="EX76" s="467"/>
      <c r="EY76" s="467"/>
      <c r="EZ76" s="467"/>
      <c r="FA76" s="467"/>
      <c r="FB76" s="467"/>
      <c r="FC76" s="467"/>
      <c r="FD76" s="467"/>
      <c r="FE76" s="467"/>
      <c r="FF76" s="467"/>
      <c r="FG76" s="467"/>
      <c r="FH76" s="467"/>
      <c r="FI76" s="467"/>
      <c r="FJ76" s="467"/>
      <c r="FK76" s="467"/>
      <c r="FL76" s="467"/>
      <c r="FM76" s="467"/>
      <c r="FN76" s="467"/>
      <c r="FO76" s="467"/>
      <c r="FP76" s="467"/>
      <c r="FQ76" s="467"/>
      <c r="FR76" s="467"/>
      <c r="FS76" s="467"/>
      <c r="FT76" s="467"/>
      <c r="FU76" s="467"/>
      <c r="FV76" s="467"/>
      <c r="FW76" s="467"/>
      <c r="FX76" s="467"/>
      <c r="FY76" s="467"/>
      <c r="FZ76" s="467"/>
      <c r="GA76" s="467"/>
      <c r="GB76" s="467"/>
      <c r="GC76" s="467"/>
      <c r="GD76" s="467"/>
      <c r="GE76" s="467"/>
      <c r="GF76" s="467"/>
      <c r="GG76" s="467"/>
      <c r="GH76" s="467"/>
      <c r="GI76" s="467"/>
      <c r="GJ76" s="467"/>
      <c r="GK76" s="467"/>
      <c r="GL76" s="467"/>
      <c r="GM76" s="467"/>
      <c r="GN76" s="467"/>
      <c r="GO76" s="467"/>
      <c r="GP76" s="467"/>
      <c r="GQ76" s="467"/>
      <c r="GR76" s="467"/>
      <c r="GS76" s="467"/>
      <c r="GT76" s="467"/>
      <c r="GU76" s="467"/>
      <c r="GV76" s="467"/>
      <c r="GW76" s="467"/>
      <c r="GX76" s="467"/>
      <c r="GY76" s="467"/>
      <c r="GZ76" s="467"/>
      <c r="HA76" s="467"/>
      <c r="HB76" s="467"/>
      <c r="HC76" s="467"/>
      <c r="HD76" s="467"/>
      <c r="HE76" s="467"/>
      <c r="HF76" s="467"/>
      <c r="HG76" s="467"/>
      <c r="HH76" s="467"/>
      <c r="HI76" s="467"/>
      <c r="HJ76" s="467"/>
      <c r="HK76" s="467"/>
      <c r="HL76" s="467"/>
      <c r="HM76" s="467"/>
      <c r="HN76" s="467"/>
      <c r="HO76" s="467"/>
      <c r="HP76" s="467"/>
      <c r="HQ76" s="467"/>
      <c r="HR76" s="467"/>
      <c r="HS76" s="467"/>
      <c r="HT76" s="467"/>
      <c r="HU76" s="467"/>
      <c r="HV76" s="467"/>
      <c r="HW76" s="467"/>
      <c r="HX76" s="467"/>
      <c r="HY76" s="467"/>
      <c r="HZ76" s="467"/>
      <c r="IA76" s="467"/>
      <c r="IB76" s="467"/>
      <c r="IC76" s="467"/>
      <c r="ID76" s="467"/>
      <c r="IE76" s="467"/>
      <c r="IF76" s="467"/>
      <c r="IG76" s="467"/>
      <c r="IH76" s="467"/>
      <c r="II76" s="467"/>
      <c r="IJ76" s="467"/>
      <c r="IK76" s="467"/>
      <c r="IL76" s="467"/>
      <c r="IM76" s="467"/>
      <c r="IN76" s="467"/>
      <c r="IO76" s="467"/>
    </row>
    <row r="77" spans="1:249" s="514" customFormat="1" ht="15" x14ac:dyDescent="0.2">
      <c r="A77" s="188" t="str">
        <f>+IF(NOVIEMBRE!A77=0,"",NOVIEMBRE!A77)</f>
        <v>1130117-2</v>
      </c>
      <c r="B77" s="189" t="str">
        <f>+IF(NOVIEMBRE!B77=0,"",NOVIEMBRE!B77)</f>
        <v>Vigencias Anteriores</v>
      </c>
      <c r="C77" s="456">
        <f>+ENERO!C77</f>
        <v>0</v>
      </c>
      <c r="D77" s="456">
        <f>NOVIEMBRE!D77+DICIEMBRE!P77</f>
        <v>0</v>
      </c>
      <c r="E77" s="456">
        <f>NOVIEMBRE!E77+DICIEMBRE!Q77</f>
        <v>0</v>
      </c>
      <c r="F77" s="170">
        <f t="shared" si="77"/>
        <v>0</v>
      </c>
      <c r="G77" s="283">
        <f>NOVIEMBRE!I77</f>
        <v>0</v>
      </c>
      <c r="H77" s="457">
        <v>0</v>
      </c>
      <c r="I77" s="170">
        <f t="shared" si="78"/>
        <v>0</v>
      </c>
      <c r="J77" s="283">
        <f>NOVIEMBRE!L77</f>
        <v>0</v>
      </c>
      <c r="K77" s="457">
        <v>0</v>
      </c>
      <c r="L77" s="170">
        <f t="shared" si="79"/>
        <v>0</v>
      </c>
      <c r="M77" s="283">
        <f t="shared" si="80"/>
        <v>0</v>
      </c>
      <c r="N77" s="170">
        <f t="shared" si="81"/>
        <v>0</v>
      </c>
      <c r="O77" s="467"/>
      <c r="P77" s="455">
        <v>0</v>
      </c>
      <c r="Q77" s="458">
        <v>0</v>
      </c>
      <c r="R77" s="10"/>
      <c r="S77" s="156" t="str">
        <f>+IF(NOVIEMBRE!S77=0,"",NOVIEMBRE!S77)</f>
        <v>1020104-10</v>
      </c>
      <c r="T77" s="55" t="str">
        <f>+IF(NOVIEMBRE!T77=0,"",NOVIEMBRE!T77)</f>
        <v>Subsidio de Alimentación</v>
      </c>
      <c r="U77" s="29">
        <f>+ENERO!U77</f>
        <v>3859093</v>
      </c>
      <c r="V77" s="17">
        <f>NOVIEMBRE!V77+DICIEMBRE!AL77</f>
        <v>0</v>
      </c>
      <c r="W77" s="17">
        <f>NOVIEMBRE!W77+DICIEMBRE!AM77</f>
        <v>0</v>
      </c>
      <c r="X77" s="20">
        <f t="shared" si="68"/>
        <v>3859093</v>
      </c>
      <c r="Y77" s="21">
        <f>NOVIEMBRE!AA77</f>
        <v>3390322</v>
      </c>
      <c r="Z77" s="457">
        <v>270994</v>
      </c>
      <c r="AA77" s="20">
        <f t="shared" si="69"/>
        <v>3661316</v>
      </c>
      <c r="AB77" s="21">
        <f>NOVIEMBRE!AD77</f>
        <v>3390322</v>
      </c>
      <c r="AC77" s="457">
        <v>270994</v>
      </c>
      <c r="AD77" s="20">
        <f t="shared" si="70"/>
        <v>3661316</v>
      </c>
      <c r="AE77" s="21">
        <f>NOVIEMBRE!AG77</f>
        <v>3390322</v>
      </c>
      <c r="AF77" s="457">
        <v>270994</v>
      </c>
      <c r="AG77" s="20">
        <f t="shared" si="71"/>
        <v>3661316</v>
      </c>
      <c r="AH77" s="21">
        <f t="shared" si="72"/>
        <v>197777</v>
      </c>
      <c r="AI77" s="17">
        <f t="shared" si="73"/>
        <v>197777</v>
      </c>
      <c r="AJ77" s="18">
        <f t="shared" si="74"/>
        <v>197777</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562"/>
      <c r="BR77" s="467"/>
      <c r="BS77" s="467"/>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7"/>
      <c r="DU77" s="467"/>
      <c r="DV77" s="467"/>
      <c r="DW77" s="467"/>
      <c r="DX77" s="467"/>
      <c r="DY77" s="467"/>
      <c r="DZ77" s="467"/>
      <c r="EA77" s="467"/>
      <c r="EB77" s="467"/>
      <c r="EC77" s="467"/>
      <c r="ED77" s="467"/>
      <c r="EE77" s="467"/>
      <c r="EF77" s="467"/>
      <c r="EG77" s="467"/>
      <c r="EH77" s="467"/>
      <c r="EI77" s="467"/>
      <c r="EJ77" s="467"/>
      <c r="EK77" s="467"/>
      <c r="EL77" s="467"/>
      <c r="EM77" s="467"/>
      <c r="EN77" s="467"/>
      <c r="EO77" s="467"/>
      <c r="EP77" s="467"/>
      <c r="EQ77" s="467"/>
      <c r="ER77" s="467"/>
      <c r="ES77" s="467"/>
      <c r="ET77" s="467"/>
      <c r="EU77" s="467"/>
      <c r="EV77" s="467"/>
      <c r="EW77" s="467"/>
      <c r="EX77" s="467"/>
      <c r="EY77" s="467"/>
      <c r="EZ77" s="467"/>
      <c r="FA77" s="467"/>
      <c r="FB77" s="467"/>
      <c r="FC77" s="467"/>
      <c r="FD77" s="467"/>
      <c r="FE77" s="467"/>
      <c r="FF77" s="467"/>
      <c r="FG77" s="467"/>
      <c r="FH77" s="467"/>
      <c r="FI77" s="467"/>
      <c r="FJ77" s="467"/>
      <c r="FK77" s="467"/>
      <c r="FL77" s="467"/>
      <c r="FM77" s="467"/>
      <c r="FN77" s="467"/>
      <c r="FO77" s="467"/>
      <c r="FP77" s="467"/>
      <c r="FQ77" s="467"/>
      <c r="FR77" s="467"/>
      <c r="FS77" s="467"/>
      <c r="FT77" s="467"/>
      <c r="FU77" s="467"/>
      <c r="FV77" s="467"/>
      <c r="FW77" s="467"/>
      <c r="FX77" s="467"/>
      <c r="FY77" s="467"/>
      <c r="FZ77" s="467"/>
      <c r="GA77" s="467"/>
      <c r="GB77" s="467"/>
      <c r="GC77" s="467"/>
      <c r="GD77" s="467"/>
      <c r="GE77" s="467"/>
      <c r="GF77" s="467"/>
      <c r="GG77" s="467"/>
      <c r="GH77" s="467"/>
      <c r="GI77" s="467"/>
      <c r="GJ77" s="467"/>
      <c r="GK77" s="467"/>
      <c r="GL77" s="467"/>
      <c r="GM77" s="467"/>
      <c r="GN77" s="467"/>
      <c r="GO77" s="467"/>
      <c r="GP77" s="467"/>
      <c r="GQ77" s="467"/>
      <c r="GR77" s="467"/>
      <c r="GS77" s="467"/>
      <c r="GT77" s="467"/>
      <c r="GU77" s="467"/>
      <c r="GV77" s="467"/>
      <c r="GW77" s="467"/>
      <c r="GX77" s="467"/>
      <c r="GY77" s="467"/>
      <c r="GZ77" s="467"/>
      <c r="HA77" s="467"/>
      <c r="HB77" s="467"/>
      <c r="HC77" s="467"/>
      <c r="HD77" s="467"/>
      <c r="HE77" s="467"/>
      <c r="HF77" s="467"/>
      <c r="HG77" s="467"/>
      <c r="HH77" s="467"/>
      <c r="HI77" s="467"/>
      <c r="HJ77" s="467"/>
      <c r="HK77" s="467"/>
      <c r="HL77" s="467"/>
      <c r="HM77" s="467"/>
      <c r="HN77" s="467"/>
      <c r="HO77" s="467"/>
      <c r="HP77" s="467"/>
      <c r="HQ77" s="467"/>
      <c r="HR77" s="467"/>
      <c r="HS77" s="467"/>
      <c r="HT77" s="467"/>
      <c r="HU77" s="467"/>
      <c r="HV77" s="467"/>
      <c r="HW77" s="467"/>
      <c r="HX77" s="467"/>
      <c r="HY77" s="467"/>
      <c r="HZ77" s="467"/>
      <c r="IA77" s="467"/>
      <c r="IB77" s="467"/>
      <c r="IC77" s="467"/>
      <c r="ID77" s="467"/>
      <c r="IE77" s="467"/>
      <c r="IF77" s="467"/>
      <c r="IG77" s="467"/>
      <c r="IH77" s="467"/>
      <c r="II77" s="467"/>
      <c r="IJ77" s="467"/>
      <c r="IK77" s="467"/>
      <c r="IL77" s="467"/>
      <c r="IM77" s="467"/>
      <c r="IN77" s="467"/>
      <c r="IO77" s="467"/>
    </row>
    <row r="78" spans="1:249" s="514" customFormat="1" x14ac:dyDescent="0.2">
      <c r="A78" s="57">
        <f>+IF(NOVIEMBRE!A78=0,"",NOVIEMBRE!A78)</f>
        <v>1130118</v>
      </c>
      <c r="B78" s="45" t="str">
        <f>+IF(NOVIEMBRE!B78=0,"",NOVIEMBRE!B78)</f>
        <v>PARTICULARES   (Venta de Contado)</v>
      </c>
      <c r="C78" s="53">
        <f>SUM(C79:C80)</f>
        <v>81679743</v>
      </c>
      <c r="D78" s="53">
        <f>SUM(D79:D80)</f>
        <v>0</v>
      </c>
      <c r="E78" s="53">
        <f>SUM(E79:E80)</f>
        <v>0</v>
      </c>
      <c r="F78" s="54">
        <f t="shared" si="77"/>
        <v>81679743</v>
      </c>
      <c r="G78" s="52">
        <f>SUM(G79:G80)</f>
        <v>40747703</v>
      </c>
      <c r="H78" s="53">
        <f>SUM(H79:H80)</f>
        <v>5194039</v>
      </c>
      <c r="I78" s="54">
        <f t="shared" si="78"/>
        <v>45941742</v>
      </c>
      <c r="J78" s="52">
        <f>SUM(J79:J80)</f>
        <v>60615648</v>
      </c>
      <c r="K78" s="53">
        <f>SUM(K79:K80)</f>
        <v>5024768</v>
      </c>
      <c r="L78" s="54">
        <f t="shared" si="79"/>
        <v>65640416</v>
      </c>
      <c r="M78" s="52">
        <f t="shared" si="80"/>
        <v>35738001</v>
      </c>
      <c r="N78" s="54">
        <f t="shared" si="81"/>
        <v>16039327</v>
      </c>
      <c r="O78" s="467"/>
      <c r="P78" s="52">
        <f>SUM(P79:P80)</f>
        <v>0</v>
      </c>
      <c r="Q78" s="54">
        <f>SUM(Q79:Q80)</f>
        <v>0</v>
      </c>
      <c r="R78" s="10"/>
      <c r="S78" s="156" t="str">
        <f>+IF(NOVIEMBRE!S78=0,"",NOVIEMBRE!S78)</f>
        <v>1020104-12</v>
      </c>
      <c r="T78" s="55" t="str">
        <f>+IF(NOVIEMBRE!T78=0,"",NOVIEMBRE!T78)</f>
        <v>Indemnizaciones por Vacaciones o Supresión de Cargos por Reestructuración</v>
      </c>
      <c r="U78" s="29">
        <f>+ENERO!U78</f>
        <v>0</v>
      </c>
      <c r="V78" s="17">
        <f>NOVIEMBRE!V78+DICIEMBRE!AL78</f>
        <v>0</v>
      </c>
      <c r="W78" s="17">
        <f>NOVIEMBRE!W78+DICIEMBRE!AM78</f>
        <v>0</v>
      </c>
      <c r="X78" s="20">
        <f t="shared" si="68"/>
        <v>0</v>
      </c>
      <c r="Y78" s="21">
        <f>NOVIEMBRE!AA78</f>
        <v>0</v>
      </c>
      <c r="Z78" s="457">
        <v>0</v>
      </c>
      <c r="AA78" s="20">
        <f t="shared" si="69"/>
        <v>0</v>
      </c>
      <c r="AB78" s="21">
        <f>NOVIEMBRE!AD78</f>
        <v>0</v>
      </c>
      <c r="AC78" s="457">
        <v>0</v>
      </c>
      <c r="AD78" s="20">
        <f t="shared" si="70"/>
        <v>0</v>
      </c>
      <c r="AE78" s="21">
        <f>NOVIEMBRE!AG78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562"/>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467"/>
      <c r="CR78" s="467"/>
      <c r="CS78" s="467"/>
      <c r="CT78" s="467"/>
      <c r="CU78" s="467"/>
      <c r="CV78" s="467"/>
      <c r="CW78" s="467"/>
      <c r="CX78" s="467"/>
      <c r="CY78" s="467"/>
      <c r="CZ78" s="467"/>
      <c r="DA78" s="467"/>
      <c r="DB78" s="467"/>
      <c r="DC78" s="467"/>
      <c r="DD78" s="467"/>
      <c r="DE78" s="467"/>
      <c r="DF78" s="467"/>
      <c r="DG78" s="467"/>
      <c r="DH78" s="467"/>
      <c r="DI78" s="467"/>
      <c r="DJ78" s="467"/>
      <c r="DK78" s="467"/>
      <c r="DL78" s="467"/>
      <c r="DM78" s="467"/>
      <c r="DN78" s="467"/>
      <c r="DO78" s="467"/>
      <c r="DP78" s="467"/>
      <c r="DQ78" s="467"/>
      <c r="DR78" s="467"/>
      <c r="DS78" s="467"/>
      <c r="DT78" s="467"/>
      <c r="DU78" s="467"/>
      <c r="DV78" s="467"/>
      <c r="DW78" s="467"/>
      <c r="DX78" s="467"/>
      <c r="DY78" s="467"/>
      <c r="DZ78" s="467"/>
      <c r="EA78" s="467"/>
      <c r="EB78" s="467"/>
      <c r="EC78" s="467"/>
      <c r="ED78" s="467"/>
      <c r="EE78" s="467"/>
      <c r="EF78" s="467"/>
      <c r="EG78" s="467"/>
      <c r="EH78" s="467"/>
      <c r="EI78" s="467"/>
      <c r="EJ78" s="467"/>
      <c r="EK78" s="467"/>
      <c r="EL78" s="467"/>
      <c r="EM78" s="467"/>
      <c r="EN78" s="467"/>
      <c r="EO78" s="467"/>
      <c r="EP78" s="467"/>
      <c r="EQ78" s="467"/>
      <c r="ER78" s="467"/>
      <c r="ES78" s="467"/>
      <c r="ET78" s="467"/>
      <c r="EU78" s="467"/>
      <c r="EV78" s="467"/>
      <c r="EW78" s="467"/>
      <c r="EX78" s="467"/>
      <c r="EY78" s="467"/>
      <c r="EZ78" s="467"/>
      <c r="FA78" s="467"/>
      <c r="FB78" s="467"/>
      <c r="FC78" s="467"/>
      <c r="FD78" s="467"/>
      <c r="FE78" s="467"/>
      <c r="FF78" s="467"/>
      <c r="FG78" s="467"/>
      <c r="FH78" s="467"/>
      <c r="FI78" s="467"/>
      <c r="FJ78" s="467"/>
      <c r="FK78" s="467"/>
      <c r="FL78" s="467"/>
      <c r="FM78" s="467"/>
      <c r="FN78" s="467"/>
      <c r="FO78" s="467"/>
      <c r="FP78" s="467"/>
      <c r="FQ78" s="467"/>
      <c r="FR78" s="467"/>
      <c r="FS78" s="467"/>
      <c r="FT78" s="467"/>
      <c r="FU78" s="467"/>
      <c r="FV78" s="467"/>
      <c r="FW78" s="467"/>
      <c r="FX78" s="467"/>
      <c r="FY78" s="467"/>
      <c r="FZ78" s="467"/>
      <c r="GA78" s="467"/>
      <c r="GB78" s="467"/>
      <c r="GC78" s="467"/>
      <c r="GD78" s="467"/>
      <c r="GE78" s="467"/>
      <c r="GF78" s="467"/>
      <c r="GG78" s="467"/>
      <c r="GH78" s="467"/>
      <c r="GI78" s="467"/>
      <c r="GJ78" s="467"/>
      <c r="GK78" s="467"/>
      <c r="GL78" s="467"/>
      <c r="GM78" s="467"/>
      <c r="GN78" s="467"/>
      <c r="GO78" s="467"/>
      <c r="GP78" s="467"/>
      <c r="GQ78" s="467"/>
      <c r="GR78" s="467"/>
      <c r="GS78" s="467"/>
      <c r="GT78" s="467"/>
      <c r="GU78" s="467"/>
      <c r="GV78" s="467"/>
      <c r="GW78" s="467"/>
      <c r="GX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E78" s="467"/>
      <c r="IF78" s="467"/>
      <c r="IG78" s="467"/>
      <c r="IH78" s="467"/>
      <c r="II78" s="467"/>
      <c r="IJ78" s="467"/>
      <c r="IK78" s="467"/>
      <c r="IL78" s="467"/>
      <c r="IM78" s="467"/>
      <c r="IN78" s="467"/>
      <c r="IO78" s="467"/>
    </row>
    <row r="79" spans="1:249" s="467" customFormat="1" ht="15" x14ac:dyDescent="0.2">
      <c r="A79" s="188" t="str">
        <f>+IF(NOVIEMBRE!A79=0,"",NOVIEMBRE!A79)</f>
        <v>1130118-1</v>
      </c>
      <c r="B79" s="189" t="str">
        <f>+CONCATENATE("Vigencia ",INSTRUCCIONES!$F$3)</f>
        <v>Vigencia 2014</v>
      </c>
      <c r="C79" s="456">
        <f>+ENERO!C79</f>
        <v>81679743</v>
      </c>
      <c r="D79" s="456">
        <f>NOVIEMBRE!D79+DICIEMBRE!P79</f>
        <v>0</v>
      </c>
      <c r="E79" s="456">
        <f>NOVIEMBRE!E79+DICIEMBRE!Q79</f>
        <v>0</v>
      </c>
      <c r="F79" s="170">
        <f t="shared" si="77"/>
        <v>81679743</v>
      </c>
      <c r="G79" s="283">
        <f>NOVIEMBRE!I79</f>
        <v>40747703</v>
      </c>
      <c r="H79" s="457">
        <v>5194039</v>
      </c>
      <c r="I79" s="170">
        <f t="shared" si="78"/>
        <v>45941742</v>
      </c>
      <c r="J79" s="283">
        <f>NOVIEMBRE!L79</f>
        <v>60615648</v>
      </c>
      <c r="K79" s="457">
        <v>5024768</v>
      </c>
      <c r="L79" s="170">
        <f t="shared" si="79"/>
        <v>65640416</v>
      </c>
      <c r="M79" s="283">
        <f t="shared" si="80"/>
        <v>35738001</v>
      </c>
      <c r="N79" s="170">
        <f t="shared" si="81"/>
        <v>16039327</v>
      </c>
      <c r="P79" s="455">
        <v>0</v>
      </c>
      <c r="Q79" s="458">
        <v>0</v>
      </c>
      <c r="R79" s="10"/>
      <c r="S79" s="156" t="str">
        <f>+IF(NOVIEMBRE!S79=0,"",NOVIEMBRE!S79)</f>
        <v>1020104-13</v>
      </c>
      <c r="T79" s="55" t="str">
        <f>+IF(NOVIEMBRE!T79=0,"",NOVIEMBRE!T79)</f>
        <v>Bonificación Especial por Recreación</v>
      </c>
      <c r="U79" s="29">
        <f>+ENERO!U79</f>
        <v>5006173</v>
      </c>
      <c r="V79" s="17">
        <f>NOVIEMBRE!V79+DICIEMBRE!AL79</f>
        <v>0</v>
      </c>
      <c r="W79" s="17">
        <f>NOVIEMBRE!W79+DICIEMBRE!AM79</f>
        <v>0</v>
      </c>
      <c r="X79" s="20">
        <f t="shared" si="68"/>
        <v>5006173</v>
      </c>
      <c r="Y79" s="21">
        <f>NOVIEMBRE!AA79</f>
        <v>3807123</v>
      </c>
      <c r="Z79" s="457">
        <v>1158935</v>
      </c>
      <c r="AA79" s="20">
        <f t="shared" si="69"/>
        <v>4966058</v>
      </c>
      <c r="AB79" s="21">
        <f>NOVIEMBRE!AD79</f>
        <v>3807123</v>
      </c>
      <c r="AC79" s="457">
        <v>1158935</v>
      </c>
      <c r="AD79" s="20">
        <f t="shared" si="70"/>
        <v>4966058</v>
      </c>
      <c r="AE79" s="21">
        <f>NOVIEMBRE!AG79</f>
        <v>2888372</v>
      </c>
      <c r="AF79" s="457">
        <v>889758</v>
      </c>
      <c r="AG79" s="20">
        <f t="shared" si="71"/>
        <v>3778130</v>
      </c>
      <c r="AH79" s="21">
        <f t="shared" si="72"/>
        <v>40115</v>
      </c>
      <c r="AI79" s="17">
        <f t="shared" si="73"/>
        <v>40115</v>
      </c>
      <c r="AJ79" s="18">
        <f t="shared" si="74"/>
        <v>1228043</v>
      </c>
      <c r="AK79" s="10"/>
      <c r="AL79" s="455">
        <v>0</v>
      </c>
      <c r="AM79" s="458">
        <v>0</v>
      </c>
      <c r="AN79" s="10"/>
      <c r="AO79" s="365"/>
      <c r="AP79" s="365"/>
      <c r="AQ79" s="365"/>
      <c r="AR79" s="365"/>
      <c r="AS79" s="365"/>
      <c r="AT79" s="365"/>
      <c r="AU79" s="365"/>
      <c r="AV79" s="365"/>
      <c r="AW79" s="365"/>
      <c r="AX79" s="365"/>
      <c r="AY79" s="365"/>
      <c r="AZ79" s="365"/>
      <c r="BL79" s="10"/>
      <c r="BQ79" s="562"/>
    </row>
    <row r="80" spans="1:249" s="10" customFormat="1" ht="15" x14ac:dyDescent="0.2">
      <c r="A80" s="188" t="str">
        <f>+IF(NOVIEMBRE!A80=0,"",NOVIEMBRE!A80)</f>
        <v>1130118-2</v>
      </c>
      <c r="B80" s="189" t="str">
        <f>+IF(NOVIEMBRE!B80=0,"",NOVIEMBRE!B80)</f>
        <v>Vigencias Anteriores</v>
      </c>
      <c r="C80" s="456">
        <f>+ENERO!C80</f>
        <v>0</v>
      </c>
      <c r="D80" s="456">
        <f>NOVIEMBRE!D80+DICIEMBRE!P80</f>
        <v>0</v>
      </c>
      <c r="E80" s="456">
        <f>NOVIEMBRE!E80+DICIEMBRE!Q80</f>
        <v>0</v>
      </c>
      <c r="F80" s="170">
        <f t="shared" si="77"/>
        <v>0</v>
      </c>
      <c r="G80" s="283">
        <f>NOVIEMBRE!I80</f>
        <v>0</v>
      </c>
      <c r="H80" s="457">
        <v>0</v>
      </c>
      <c r="I80" s="170">
        <f t="shared" si="78"/>
        <v>0</v>
      </c>
      <c r="J80" s="283">
        <f>NOVIEMBRE!L80</f>
        <v>0</v>
      </c>
      <c r="K80" s="457">
        <v>0</v>
      </c>
      <c r="L80" s="170">
        <f t="shared" si="79"/>
        <v>0</v>
      </c>
      <c r="M80" s="283">
        <f t="shared" si="80"/>
        <v>0</v>
      </c>
      <c r="N80" s="170">
        <f t="shared" si="81"/>
        <v>0</v>
      </c>
      <c r="O80" s="467"/>
      <c r="P80" s="455">
        <v>0</v>
      </c>
      <c r="Q80" s="458">
        <v>0</v>
      </c>
      <c r="S80" s="156" t="str">
        <f>+IF(NOVIEMBRE!S80=0,"",NOVIEMBRE!S80)</f>
        <v>1020104-14</v>
      </c>
      <c r="T80" s="55" t="str">
        <f>+IF(NOVIEMBRE!T80=0,"",NOVIEMBRE!T80)</f>
        <v/>
      </c>
      <c r="U80" s="29">
        <f>+ENERO!U80</f>
        <v>0</v>
      </c>
      <c r="V80" s="17">
        <f>NOVIEMBRE!V80+DICIEMBRE!AL80</f>
        <v>0</v>
      </c>
      <c r="W80" s="17">
        <f>NOVIEMBRE!W80+DICIEMBRE!AM80</f>
        <v>0</v>
      </c>
      <c r="X80" s="20">
        <f t="shared" si="68"/>
        <v>0</v>
      </c>
      <c r="Y80" s="21">
        <f>NOVIEMBRE!AA80</f>
        <v>0</v>
      </c>
      <c r="Z80" s="457">
        <v>0</v>
      </c>
      <c r="AA80" s="20">
        <f t="shared" si="69"/>
        <v>0</v>
      </c>
      <c r="AB80" s="21">
        <f>NOVIEMBRE!AD80</f>
        <v>0</v>
      </c>
      <c r="AC80" s="457">
        <v>0</v>
      </c>
      <c r="AD80" s="20">
        <f t="shared" si="70"/>
        <v>0</v>
      </c>
      <c r="AE80" s="21">
        <f>NOVIEMBRE!AG80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562"/>
      <c r="BR80" s="467"/>
    </row>
    <row r="81" spans="1:70" s="467" customFormat="1" x14ac:dyDescent="0.2">
      <c r="A81" s="57">
        <f>+IF(NOVIEMBRE!A81=0,"",NOVIEMBRE!A81)</f>
        <v>1130119</v>
      </c>
      <c r="B81" s="45" t="str">
        <f>+IF(NOVIEMBRE!B81=0,"",NOVIEMBRE!B81)</f>
        <v>Digitar nombre de Nuevo Rubro. Si lo Requiere</v>
      </c>
      <c r="C81" s="53">
        <f>SUM(C82:C83)</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+IF(NOVIEMBRE!S81=0,"",NOVIEMBRE!S81)</f>
        <v>1020199</v>
      </c>
      <c r="T81" s="159" t="str">
        <f>+IF(NOVIEMBRE!T81=0,"",NOVIEMBRE!T81)</f>
        <v>Vigencias Anteriores</v>
      </c>
      <c r="U81" s="29">
        <f>+ENERO!U81</f>
        <v>8738114</v>
      </c>
      <c r="V81" s="17">
        <f>NOVIEMBRE!V81+DICIEMBRE!AL81</f>
        <v>5657703</v>
      </c>
      <c r="W81" s="17">
        <f>NOVIEMBRE!W81+DICIEMBRE!AM81</f>
        <v>8749212</v>
      </c>
      <c r="X81" s="20">
        <f t="shared" si="68"/>
        <v>23145029</v>
      </c>
      <c r="Y81" s="21">
        <f>NOVIEMBRE!AA81</f>
        <v>22680029</v>
      </c>
      <c r="Z81" s="457">
        <v>0</v>
      </c>
      <c r="AA81" s="20">
        <f t="shared" si="69"/>
        <v>22680029</v>
      </c>
      <c r="AB81" s="21">
        <f>NOVIEMBRE!AD81</f>
        <v>22680029</v>
      </c>
      <c r="AC81" s="457">
        <v>0</v>
      </c>
      <c r="AD81" s="20">
        <f t="shared" si="70"/>
        <v>22680029</v>
      </c>
      <c r="AE81" s="21">
        <f>NOVIEMBRE!AG81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c r="BQ81" s="562"/>
    </row>
    <row r="82" spans="1:70" s="467" customFormat="1" ht="15.75" x14ac:dyDescent="0.2">
      <c r="A82" s="188" t="str">
        <f>+IF(NOVIEMBRE!A82=0,"",NOVIEMBRE!A82)</f>
        <v>1130119-1</v>
      </c>
      <c r="B82" s="189" t="str">
        <f>+CONCATENATE("Vigencia ",INSTRUCCIONES!$F$3)</f>
        <v>Vigencia 2014</v>
      </c>
      <c r="C82" s="456">
        <f>+ENERO!C82</f>
        <v>0</v>
      </c>
      <c r="D82" s="456">
        <f>NOVIEMBRE!D82+DICIEMBRE!P82</f>
        <v>0</v>
      </c>
      <c r="E82" s="456">
        <f>NOVIEMBRE!E82+DICIEMBRE!Q82</f>
        <v>0</v>
      </c>
      <c r="F82" s="170">
        <f t="shared" si="77"/>
        <v>0</v>
      </c>
      <c r="G82" s="283">
        <f>NOVIEMBRE!I82</f>
        <v>0</v>
      </c>
      <c r="H82" s="457">
        <v>0</v>
      </c>
      <c r="I82" s="170">
        <f t="shared" si="78"/>
        <v>0</v>
      </c>
      <c r="J82" s="283">
        <f>NOVIEMBRE!L82</f>
        <v>0</v>
      </c>
      <c r="K82" s="457">
        <v>0</v>
      </c>
      <c r="L82" s="170">
        <f t="shared" si="79"/>
        <v>0</v>
      </c>
      <c r="M82" s="283">
        <f t="shared" si="80"/>
        <v>0</v>
      </c>
      <c r="N82" s="170">
        <f t="shared" si="81"/>
        <v>0</v>
      </c>
      <c r="P82" s="455">
        <v>0</v>
      </c>
      <c r="Q82" s="458">
        <v>0</v>
      </c>
      <c r="R82" s="10"/>
      <c r="S82" s="448" t="str">
        <f>+IF(NOVIEMBRE!S82=0,"",NOVIEMBRE!S82)</f>
        <v/>
      </c>
      <c r="T82" s="649" t="str">
        <f>+IF(NOVIEMBRE!T82=0,"",NOVIEMBRE!T82)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32"/>
      <c r="BR82" s="10"/>
    </row>
    <row r="83" spans="1:70" s="467" customFormat="1" ht="15" x14ac:dyDescent="0.2">
      <c r="A83" s="188" t="str">
        <f>+IF(NOVIEMBRE!A83=0,"",NOVIEMBRE!A83)</f>
        <v>1130119-2</v>
      </c>
      <c r="B83" s="189" t="str">
        <f>+IF(NOVIEMBRE!B83=0,"",NOVIEMBRE!B83)</f>
        <v>Vigencias Anteriores</v>
      </c>
      <c r="C83" s="456">
        <f>+ENERO!C83</f>
        <v>0</v>
      </c>
      <c r="D83" s="456">
        <f>NOVIEMBRE!D83+DICIEMBRE!P83</f>
        <v>0</v>
      </c>
      <c r="E83" s="456">
        <f>NOVIEMBRE!E83+DICIEMBRE!Q83</f>
        <v>0</v>
      </c>
      <c r="F83" s="170">
        <f t="shared" si="77"/>
        <v>0</v>
      </c>
      <c r="G83" s="283">
        <f>NOVIEMBRE!I83</f>
        <v>0</v>
      </c>
      <c r="H83" s="457">
        <v>0</v>
      </c>
      <c r="I83" s="170">
        <f t="shared" si="78"/>
        <v>0</v>
      </c>
      <c r="J83" s="283">
        <f>NOVIEMBRE!L83</f>
        <v>0</v>
      </c>
      <c r="K83" s="457">
        <v>0</v>
      </c>
      <c r="L83" s="170">
        <f t="shared" si="79"/>
        <v>0</v>
      </c>
      <c r="M83" s="283">
        <f t="shared" si="80"/>
        <v>0</v>
      </c>
      <c r="N83" s="170">
        <f t="shared" si="81"/>
        <v>0</v>
      </c>
      <c r="P83" s="455">
        <v>0</v>
      </c>
      <c r="Q83" s="458">
        <v>0</v>
      </c>
      <c r="R83" s="10"/>
      <c r="S83" s="34">
        <f>+IF(NOVIEMBRE!S83=0,"",NOVIEMBRE!S83)</f>
        <v>1020200</v>
      </c>
      <c r="T83" s="158" t="str">
        <f>+IF(NOVIEMBRE!T83=0,"",NOVIEMBRE!T83)</f>
        <v>Servicios Personales Indirectos</v>
      </c>
      <c r="U83" s="157">
        <f t="shared" ref="U83:AJ83" si="83">SUM(U84:U88)</f>
        <v>71000000</v>
      </c>
      <c r="V83" s="144">
        <f t="shared" si="83"/>
        <v>0</v>
      </c>
      <c r="W83" s="144">
        <f t="shared" si="83"/>
        <v>29687311</v>
      </c>
      <c r="X83" s="152">
        <f t="shared" si="83"/>
        <v>100687311</v>
      </c>
      <c r="Y83" s="151">
        <f t="shared" si="83"/>
        <v>45995588</v>
      </c>
      <c r="Z83" s="144">
        <f t="shared" si="83"/>
        <v>18125415</v>
      </c>
      <c r="AA83" s="152">
        <f t="shared" si="83"/>
        <v>64121003</v>
      </c>
      <c r="AB83" s="151">
        <f t="shared" si="83"/>
        <v>45995588</v>
      </c>
      <c r="AC83" s="144">
        <f t="shared" si="83"/>
        <v>18125415</v>
      </c>
      <c r="AD83" s="152">
        <f t="shared" si="83"/>
        <v>64121003</v>
      </c>
      <c r="AE83" s="151">
        <f t="shared" si="83"/>
        <v>42138531</v>
      </c>
      <c r="AF83" s="144">
        <f t="shared" si="83"/>
        <v>2654391</v>
      </c>
      <c r="AG83" s="152">
        <f t="shared" si="83"/>
        <v>44792922</v>
      </c>
      <c r="AH83" s="151">
        <f t="shared" si="83"/>
        <v>36566308</v>
      </c>
      <c r="AI83" s="144">
        <f t="shared" si="83"/>
        <v>36566308</v>
      </c>
      <c r="AJ83" s="153">
        <f t="shared" si="83"/>
        <v>55894389</v>
      </c>
      <c r="AK83" s="10"/>
      <c r="AL83" s="151">
        <f>SUM(AL84:AL88)</f>
        <v>0</v>
      </c>
      <c r="AM83" s="153">
        <f>SUM(AM84:AM88)</f>
        <v>0</v>
      </c>
      <c r="AN83" s="10"/>
      <c r="AO83" s="365"/>
      <c r="AP83" s="365"/>
      <c r="AQ83" s="365"/>
      <c r="AR83" s="365"/>
      <c r="AS83" s="365"/>
      <c r="AT83" s="365"/>
      <c r="AU83" s="365"/>
      <c r="AV83" s="365"/>
      <c r="AW83" s="365"/>
      <c r="AX83" s="365"/>
      <c r="AY83" s="365"/>
      <c r="AZ83" s="365"/>
      <c r="BM83" s="10"/>
      <c r="BQ83" s="562"/>
    </row>
    <row r="84" spans="1:70" s="467" customFormat="1" x14ac:dyDescent="0.2">
      <c r="A84" s="200" t="str">
        <f>+IF(NOVIEMBRE!A84=0,"",NOVIEMBRE!A84)</f>
        <v/>
      </c>
      <c r="B84" s="557" t="str">
        <f>+IF(NOVIEMBRE!B84=0,"",NOVIEMBRE!B84)</f>
        <v/>
      </c>
      <c r="C84" s="495"/>
      <c r="D84" s="495"/>
      <c r="E84" s="495"/>
      <c r="F84" s="495"/>
      <c r="G84" s="495"/>
      <c r="H84" s="495"/>
      <c r="I84" s="495"/>
      <c r="J84" s="495"/>
      <c r="K84" s="495"/>
      <c r="L84" s="495"/>
      <c r="M84" s="495"/>
      <c r="N84" s="496"/>
      <c r="P84" s="497"/>
      <c r="Q84" s="496"/>
      <c r="R84" s="10"/>
      <c r="S84" s="155" t="str">
        <f>+IF(NOVIEMBRE!S84=0,"",NOVIEMBRE!S84)</f>
        <v>1020200-1</v>
      </c>
      <c r="T84" s="159" t="str">
        <f>+IF(NOVIEMBRE!T84=0,"",NOVIEMBRE!T84)</f>
        <v>Remuneración y Honorarios por Servicios Técnicos y Profesionales</v>
      </c>
      <c r="U84" s="29">
        <f>+ENERO!U84</f>
        <v>20000000</v>
      </c>
      <c r="V84" s="17">
        <f>NOVIEMBRE!V84+DICIEMBRE!AL84</f>
        <v>0</v>
      </c>
      <c r="W84" s="17">
        <f>NOVIEMBRE!W84+DICIEMBRE!AM84</f>
        <v>15000000</v>
      </c>
      <c r="X84" s="20">
        <f>SUM(U84:W84)</f>
        <v>35000000</v>
      </c>
      <c r="Y84" s="21">
        <f>NOVIEMBRE!AA84</f>
        <v>16917766</v>
      </c>
      <c r="Z84" s="457">
        <v>11563644</v>
      </c>
      <c r="AA84" s="20">
        <f>SUM(Y84:Z84)</f>
        <v>28481410</v>
      </c>
      <c r="AB84" s="21">
        <f>NOVIEMBRE!AD84</f>
        <v>16917766</v>
      </c>
      <c r="AC84" s="457">
        <v>11563644</v>
      </c>
      <c r="AD84" s="20">
        <f>SUM(AB84:AC84)</f>
        <v>28481410</v>
      </c>
      <c r="AE84" s="21">
        <f>NOVIEMBRE!AG84</f>
        <v>15000000</v>
      </c>
      <c r="AF84" s="457">
        <v>0</v>
      </c>
      <c r="AG84" s="20">
        <f>SUM(AE84:AF84)</f>
        <v>15000000</v>
      </c>
      <c r="AH84" s="21">
        <f>X84-AA84</f>
        <v>6518590</v>
      </c>
      <c r="AI84" s="17">
        <f>X84-AD84</f>
        <v>6518590</v>
      </c>
      <c r="AJ84" s="18">
        <f>X84-AG84</f>
        <v>20000000</v>
      </c>
      <c r="AK84" s="10"/>
      <c r="AL84" s="455">
        <v>0</v>
      </c>
      <c r="AM84" s="458">
        <v>0</v>
      </c>
      <c r="AN84" s="10"/>
      <c r="AO84" s="365"/>
      <c r="AP84" s="365"/>
      <c r="AQ84" s="365"/>
      <c r="AR84" s="365"/>
      <c r="AS84" s="365"/>
      <c r="AT84" s="365"/>
      <c r="AU84" s="365"/>
      <c r="AV84" s="365"/>
      <c r="AW84" s="365"/>
      <c r="AX84" s="365"/>
      <c r="AY84" s="365"/>
      <c r="AZ84" s="365"/>
      <c r="BQ84" s="562"/>
    </row>
    <row r="85" spans="1:70" s="467" customFormat="1" ht="15.75" x14ac:dyDescent="0.2">
      <c r="A85" s="459">
        <f>+IF(NOVIEMBRE!A85=0,"",NOVIEMBRE!A85)</f>
        <v>11302</v>
      </c>
      <c r="B85" s="460" t="str">
        <f>+IF(NOVIEMBRE!B85=0,"",NOVIEMBRE!B85)</f>
        <v>Venta de Otros Bienes y Servicios</v>
      </c>
      <c r="C85" s="559">
        <f t="shared" ref="C85:N85" si="84">SUM(C86:C93)</f>
        <v>115179029</v>
      </c>
      <c r="D85" s="559">
        <f t="shared" si="84"/>
        <v>0</v>
      </c>
      <c r="E85" s="559">
        <f t="shared" si="84"/>
        <v>14000000</v>
      </c>
      <c r="F85" s="560">
        <f t="shared" si="84"/>
        <v>129179029</v>
      </c>
      <c r="G85" s="558">
        <f t="shared" si="84"/>
        <v>128184789</v>
      </c>
      <c r="H85" s="559">
        <f t="shared" si="84"/>
        <v>204887686</v>
      </c>
      <c r="I85" s="560">
        <f t="shared" si="84"/>
        <v>333072475</v>
      </c>
      <c r="J85" s="558">
        <f t="shared" si="84"/>
        <v>128184789</v>
      </c>
      <c r="K85" s="559">
        <f t="shared" si="84"/>
        <v>204887686</v>
      </c>
      <c r="L85" s="560">
        <f t="shared" si="84"/>
        <v>333072475</v>
      </c>
      <c r="M85" s="558">
        <f t="shared" si="84"/>
        <v>-203893446</v>
      </c>
      <c r="N85" s="560">
        <f t="shared" si="84"/>
        <v>-203893446</v>
      </c>
      <c r="P85" s="52">
        <f>SUM(P86:P93)</f>
        <v>0</v>
      </c>
      <c r="Q85" s="54">
        <f>SUM(Q86:Q93)</f>
        <v>0</v>
      </c>
      <c r="R85" s="10"/>
      <c r="S85" s="155" t="str">
        <f>+IF(NOVIEMBRE!S85=0,"",NOVIEMBRE!S85)</f>
        <v>1020200-2</v>
      </c>
      <c r="T85" s="159" t="str">
        <f>+IF(NOVIEMBRE!T85=0,"",NOVIEMBRE!T85)</f>
        <v>Personal Supernumerario</v>
      </c>
      <c r="U85" s="29">
        <f>+ENERO!U85</f>
        <v>22000000</v>
      </c>
      <c r="V85" s="17">
        <f>NOVIEMBRE!V85+DICIEMBRE!AL85</f>
        <v>0</v>
      </c>
      <c r="W85" s="17">
        <f>NOVIEMBRE!W85+DICIEMBRE!AM85</f>
        <v>0</v>
      </c>
      <c r="X85" s="20">
        <f>SUM(U85:W85)</f>
        <v>22000000</v>
      </c>
      <c r="Y85" s="21">
        <f>NOVIEMBRE!AA85</f>
        <v>4512589</v>
      </c>
      <c r="Z85" s="457">
        <v>4449861</v>
      </c>
      <c r="AA85" s="20">
        <f>SUM(Y85:Z85)</f>
        <v>8962450</v>
      </c>
      <c r="AB85" s="21">
        <f>NOVIEMBRE!AD85</f>
        <v>4512589</v>
      </c>
      <c r="AC85" s="457">
        <v>4449861</v>
      </c>
      <c r="AD85" s="20">
        <f>SUM(AB85:AC85)</f>
        <v>8962450</v>
      </c>
      <c r="AE85" s="21">
        <f>NOVIEMBRE!AG85</f>
        <v>4512589</v>
      </c>
      <c r="AF85" s="457">
        <v>0</v>
      </c>
      <c r="AG85" s="20">
        <f>SUM(AE85:AF85)</f>
        <v>4512589</v>
      </c>
      <c r="AH85" s="21">
        <f>X85-AA85</f>
        <v>13037550</v>
      </c>
      <c r="AI85" s="17">
        <f>X85-AD85</f>
        <v>13037550</v>
      </c>
      <c r="AJ85" s="18">
        <f>X85-AG85</f>
        <v>17487411</v>
      </c>
      <c r="AK85" s="10"/>
      <c r="AL85" s="455">
        <v>0</v>
      </c>
      <c r="AM85" s="458">
        <v>0</v>
      </c>
      <c r="AN85" s="10"/>
      <c r="AO85" s="365"/>
      <c r="AP85" s="365"/>
      <c r="AQ85" s="365"/>
      <c r="AR85" s="365"/>
      <c r="AS85" s="365"/>
      <c r="AT85" s="365"/>
      <c r="AU85" s="365"/>
      <c r="AV85" s="365"/>
      <c r="AW85" s="365"/>
      <c r="AX85" s="365"/>
      <c r="AY85" s="365"/>
      <c r="AZ85" s="365"/>
      <c r="BL85" s="10"/>
      <c r="BQ85" s="562"/>
    </row>
    <row r="86" spans="1:70" s="10" customFormat="1" x14ac:dyDescent="0.2">
      <c r="A86" s="46">
        <f>+IF(NOVIEMBRE!A86=0,"",NOVIEMBRE!A86)</f>
        <v>1130201</v>
      </c>
      <c r="B86" s="55" t="str">
        <f>+IF(NOVIEMBRE!B86=0,"",NOVIEMBRE!B86)</f>
        <v>ARRENDAMIENTO Y ALQUILER DE BIENES MUEBLES E INMUEBLES</v>
      </c>
      <c r="C86" s="456">
        <f>+ENERO!C86</f>
        <v>3552425</v>
      </c>
      <c r="D86" s="456">
        <f>NOVIEMBRE!D86+DICIEMBRE!P86</f>
        <v>0</v>
      </c>
      <c r="E86" s="456">
        <f>NOVIEMBRE!E86+DICIEMBRE!Q86</f>
        <v>0</v>
      </c>
      <c r="F86" s="170">
        <f t="shared" ref="F86:F92" si="85">SUM(C86:E86)</f>
        <v>3552425</v>
      </c>
      <c r="G86" s="283">
        <f>NOVIEMBRE!I86</f>
        <v>5925576</v>
      </c>
      <c r="H86" s="457">
        <v>0</v>
      </c>
      <c r="I86" s="170">
        <f t="shared" ref="I86:I92" si="86">SUM(G86:H86)</f>
        <v>5925576</v>
      </c>
      <c r="J86" s="283">
        <f>NOVIEMBRE!L86</f>
        <v>5925576</v>
      </c>
      <c r="K86" s="457">
        <v>0</v>
      </c>
      <c r="L86" s="170">
        <f t="shared" ref="L86:L92" si="87">SUM(J86:K86)</f>
        <v>5925576</v>
      </c>
      <c r="M86" s="283">
        <f t="shared" ref="M86:M92" si="88">F86-I86</f>
        <v>-2373151</v>
      </c>
      <c r="N86" s="170">
        <f t="shared" ref="N86:N92" si="89">F86-L86</f>
        <v>-2373151</v>
      </c>
      <c r="O86" s="467"/>
      <c r="P86" s="455">
        <v>0</v>
      </c>
      <c r="Q86" s="458">
        <v>0</v>
      </c>
      <c r="S86" s="155" t="str">
        <f>+IF(NOVIEMBRE!S86=0,"",NOVIEMBRE!S86)</f>
        <v>1020200-4</v>
      </c>
      <c r="T86" s="159" t="str">
        <f>+IF(NOVIEMBRE!T86=0,"",NOVIEMBRE!T86)</f>
        <v>Otros Honorarios (Servicios de Cooperativa)</v>
      </c>
      <c r="U86" s="29">
        <f>+ENERO!U86</f>
        <v>25000000</v>
      </c>
      <c r="V86" s="17">
        <f>NOVIEMBRE!V86+DICIEMBRE!AL86</f>
        <v>0</v>
      </c>
      <c r="W86" s="17">
        <f>NOVIEMBRE!W86+DICIEMBRE!AM86</f>
        <v>10000000</v>
      </c>
      <c r="X86" s="20">
        <f>SUM(U86:W86)</f>
        <v>35000000</v>
      </c>
      <c r="Y86" s="21">
        <f>NOVIEMBRE!AA86</f>
        <v>15877922</v>
      </c>
      <c r="Z86" s="457">
        <v>2111910</v>
      </c>
      <c r="AA86" s="20">
        <f>SUM(Y86:Z86)</f>
        <v>17989832</v>
      </c>
      <c r="AB86" s="21">
        <f>NOVIEMBRE!AD86</f>
        <v>15877922</v>
      </c>
      <c r="AC86" s="457">
        <v>2111910</v>
      </c>
      <c r="AD86" s="20">
        <f>SUM(AB86:AC86)</f>
        <v>17989832</v>
      </c>
      <c r="AE86" s="21">
        <f>NOVIEMBRE!AG86</f>
        <v>13985931</v>
      </c>
      <c r="AF86" s="457">
        <v>2654391</v>
      </c>
      <c r="AG86" s="20">
        <f>SUM(AE86:AF86)</f>
        <v>16640322</v>
      </c>
      <c r="AH86" s="21">
        <f>X86-AA86</f>
        <v>17010168</v>
      </c>
      <c r="AI86" s="17">
        <f>X86-AD86</f>
        <v>17010168</v>
      </c>
      <c r="AJ86" s="18">
        <f>X86-AG86</f>
        <v>18359678</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562"/>
      <c r="BR86" s="467"/>
    </row>
    <row r="87" spans="1:70" s="467" customFormat="1" x14ac:dyDescent="0.2">
      <c r="A87" s="46">
        <f>+IF(NOVIEMBRE!A87=0,"",NOVIEMBRE!A87)</f>
        <v>1130202</v>
      </c>
      <c r="B87" s="55" t="str">
        <f>+IF(NOVIEMBRE!B87=0,"",NOVIEMBRE!B87)</f>
        <v>COMERCIALIZACIÓN DE MERCANCÍAS</v>
      </c>
      <c r="C87" s="456">
        <f>+ENERO!C87</f>
        <v>0</v>
      </c>
      <c r="D87" s="456">
        <f>NOVIEMBRE!D87+DICIEMBRE!P87</f>
        <v>0</v>
      </c>
      <c r="E87" s="456">
        <f>NOVIEMBRE!E87+DICIEMBRE!Q87</f>
        <v>14000000</v>
      </c>
      <c r="F87" s="170">
        <f t="shared" si="85"/>
        <v>14000000</v>
      </c>
      <c r="G87" s="283">
        <f>NOVIEMBRE!I87</f>
        <v>16173752</v>
      </c>
      <c r="H87" s="457">
        <v>2083326</v>
      </c>
      <c r="I87" s="170">
        <f t="shared" si="86"/>
        <v>18257078</v>
      </c>
      <c r="J87" s="283">
        <f>NOVIEMBRE!L87</f>
        <v>16173752</v>
      </c>
      <c r="K87" s="457">
        <v>2083326</v>
      </c>
      <c r="L87" s="170">
        <f t="shared" si="87"/>
        <v>18257078</v>
      </c>
      <c r="M87" s="283">
        <f t="shared" si="88"/>
        <v>-4257078</v>
      </c>
      <c r="N87" s="170">
        <f t="shared" si="89"/>
        <v>-4257078</v>
      </c>
      <c r="P87" s="455">
        <v>0</v>
      </c>
      <c r="Q87" s="458">
        <v>0</v>
      </c>
      <c r="R87" s="10"/>
      <c r="S87" s="155" t="str">
        <f>+IF(NOVIEMBRE!S87=0,"",NOVIEMBRE!S87)</f>
        <v/>
      </c>
      <c r="T87" s="159" t="str">
        <f>+IF(NOVIEMBRE!T87=0,"",NOVIEMBRE!T87)</f>
        <v/>
      </c>
      <c r="U87" s="29">
        <f>+ENERO!U87</f>
        <v>0</v>
      </c>
      <c r="V87" s="17">
        <f>NOVIEMBRE!V87+DICIEMBRE!AL87</f>
        <v>0</v>
      </c>
      <c r="W87" s="17">
        <f>NOVIEMBRE!W87+DICIEMBRE!AM87</f>
        <v>0</v>
      </c>
      <c r="X87" s="20">
        <f>SUM(U87:W87)</f>
        <v>0</v>
      </c>
      <c r="Y87" s="21">
        <f>NOVIEMBRE!AA87</f>
        <v>0</v>
      </c>
      <c r="Z87" s="457">
        <v>0</v>
      </c>
      <c r="AA87" s="20">
        <f>SUM(Y87:Z87)</f>
        <v>0</v>
      </c>
      <c r="AB87" s="21">
        <f>NOVIEMBRE!AD87</f>
        <v>0</v>
      </c>
      <c r="AC87" s="457">
        <v>0</v>
      </c>
      <c r="AD87" s="20">
        <f>SUM(AB87:AC87)</f>
        <v>0</v>
      </c>
      <c r="AE87" s="21">
        <f>NOVIEMBRE!AG87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c r="BQ87" s="562"/>
    </row>
    <row r="88" spans="1:70" s="467" customFormat="1" x14ac:dyDescent="0.2">
      <c r="A88" s="46">
        <f>+IF(NOVIEMBRE!A88=0,"",NOVIEMBRE!A88)</f>
        <v>1130203</v>
      </c>
      <c r="B88" s="55" t="str">
        <f>+IF(NOVIEMBRE!B88=0,"",NOVIEMBRE!B88)</f>
        <v>CONVENIOS CON LA NACION LIGADOS A LA VTA DE SERVICIOS</v>
      </c>
      <c r="C88" s="456">
        <f>+ENERO!C88</f>
        <v>0</v>
      </c>
      <c r="D88" s="456">
        <f>NOVIEMBRE!D88+DICIEMBRE!P88</f>
        <v>0</v>
      </c>
      <c r="E88" s="456">
        <f>NOVIEMBRE!E88+DICIEMBRE!Q88</f>
        <v>0</v>
      </c>
      <c r="F88" s="170">
        <f t="shared" si="85"/>
        <v>0</v>
      </c>
      <c r="G88" s="283">
        <f>NOVIEMBRE!I88</f>
        <v>0</v>
      </c>
      <c r="H88" s="457">
        <v>0</v>
      </c>
      <c r="I88" s="170">
        <f t="shared" si="86"/>
        <v>0</v>
      </c>
      <c r="J88" s="283">
        <f>NOVIEMBRE!L88</f>
        <v>0</v>
      </c>
      <c r="K88" s="457">
        <v>0</v>
      </c>
      <c r="L88" s="170">
        <f t="shared" si="87"/>
        <v>0</v>
      </c>
      <c r="M88" s="283">
        <f t="shared" si="88"/>
        <v>0</v>
      </c>
      <c r="N88" s="170">
        <f t="shared" si="89"/>
        <v>0</v>
      </c>
      <c r="P88" s="455">
        <v>0</v>
      </c>
      <c r="Q88" s="458">
        <v>0</v>
      </c>
      <c r="R88" s="10"/>
      <c r="S88" s="155">
        <f>+IF(NOVIEMBRE!S88=0,"",NOVIEMBRE!S88)</f>
        <v>1020299</v>
      </c>
      <c r="T88" s="159" t="str">
        <f>+IF(NOVIEMBRE!T88=0,"",NOVIEMBRE!T88)</f>
        <v>Vigencias Anteriores</v>
      </c>
      <c r="U88" s="29">
        <f>+ENERO!U88</f>
        <v>4000000</v>
      </c>
      <c r="V88" s="17">
        <f>NOVIEMBRE!V88+DICIEMBRE!AL88</f>
        <v>0</v>
      </c>
      <c r="W88" s="17">
        <f>NOVIEMBRE!W88+DICIEMBRE!AM88</f>
        <v>4687311</v>
      </c>
      <c r="X88" s="20">
        <f>SUM(U88:W88)</f>
        <v>8687311</v>
      </c>
      <c r="Y88" s="21">
        <f>NOVIEMBRE!AA88</f>
        <v>8687311</v>
      </c>
      <c r="Z88" s="457">
        <v>0</v>
      </c>
      <c r="AA88" s="20">
        <f>SUM(Y88:Z88)</f>
        <v>8687311</v>
      </c>
      <c r="AB88" s="21">
        <f>NOVIEMBRE!AD88</f>
        <v>8687311</v>
      </c>
      <c r="AC88" s="457">
        <v>0</v>
      </c>
      <c r="AD88" s="20">
        <f>SUM(AB88:AC88)</f>
        <v>8687311</v>
      </c>
      <c r="AE88" s="21">
        <f>NOVIEMBRE!AG88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32"/>
      <c r="BR88" s="10"/>
    </row>
    <row r="89" spans="1:70" s="467" customFormat="1" ht="15.75" x14ac:dyDescent="0.2">
      <c r="A89" s="46">
        <f>+IF(NOVIEMBRE!A89=0,"",NOVIEMBRE!A89)</f>
        <v>1130204</v>
      </c>
      <c r="B89" s="55" t="str">
        <f>+IF(NOVIEMBRE!B89=0,"",NOVIEMBRE!B89)</f>
        <v>CONVENIOS CON EL DEPARTAMENTO LIGADOS A LA VTA SERVICIOS</v>
      </c>
      <c r="C89" s="456">
        <f>+ENERO!C89</f>
        <v>0</v>
      </c>
      <c r="D89" s="456">
        <f>NOVIEMBRE!D89+DICIEMBRE!P89</f>
        <v>0</v>
      </c>
      <c r="E89" s="456">
        <f>NOVIEMBRE!E89+DICIEMBRE!Q89</f>
        <v>0</v>
      </c>
      <c r="F89" s="170">
        <f t="shared" si="85"/>
        <v>0</v>
      </c>
      <c r="G89" s="283">
        <f>NOVIEMBRE!I89</f>
        <v>0</v>
      </c>
      <c r="H89" s="457">
        <v>0</v>
      </c>
      <c r="I89" s="170">
        <f t="shared" si="86"/>
        <v>0</v>
      </c>
      <c r="J89" s="283">
        <f>NOVIEMBRE!L89</f>
        <v>0</v>
      </c>
      <c r="K89" s="457">
        <v>0</v>
      </c>
      <c r="L89" s="170">
        <f t="shared" si="87"/>
        <v>0</v>
      </c>
      <c r="M89" s="283">
        <f t="shared" si="88"/>
        <v>0</v>
      </c>
      <c r="N89" s="170">
        <f t="shared" si="89"/>
        <v>0</v>
      </c>
      <c r="P89" s="455">
        <v>0</v>
      </c>
      <c r="Q89" s="458">
        <v>0</v>
      </c>
      <c r="R89" s="10"/>
      <c r="S89" s="448" t="str">
        <f>+IF(NOVIEMBRE!S89=0,"",NOVIEMBRE!S89)</f>
        <v/>
      </c>
      <c r="T89" s="649" t="str">
        <f>+IF(NOVIEMBRE!T89=0,"",NOVIEMBRE!T89)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c r="BQ89" s="562"/>
    </row>
    <row r="90" spans="1:70" s="562" customFormat="1" ht="15" x14ac:dyDescent="0.2">
      <c r="A90" s="46">
        <f>+IF(NOVIEMBRE!A90=0,"",NOVIEMBRE!A90)</f>
        <v>1130205</v>
      </c>
      <c r="B90" s="55" t="str">
        <f>+IF(NOVIEMBRE!B90=0,"",NOVIEMBRE!B90)</f>
        <v>CONVENIOS CON EL MUNICIPIO LIGADOS A LA VTA DE SERVICIOS</v>
      </c>
      <c r="C90" s="456">
        <f>+ENERO!C90</f>
        <v>0</v>
      </c>
      <c r="D90" s="456">
        <f>NOVIEMBRE!D90+DICIEMBRE!P90</f>
        <v>0</v>
      </c>
      <c r="E90" s="456">
        <f>NOVIEMBRE!E90+DICIEMBRE!Q90</f>
        <v>0</v>
      </c>
      <c r="F90" s="170">
        <f t="shared" si="85"/>
        <v>0</v>
      </c>
      <c r="G90" s="283">
        <f>NOVIEMBRE!I90</f>
        <v>0</v>
      </c>
      <c r="H90" s="457">
        <v>0</v>
      </c>
      <c r="I90" s="170">
        <f t="shared" si="86"/>
        <v>0</v>
      </c>
      <c r="J90" s="283">
        <f>NOVIEMBRE!L90</f>
        <v>0</v>
      </c>
      <c r="K90" s="457">
        <v>0</v>
      </c>
      <c r="L90" s="170">
        <f t="shared" si="87"/>
        <v>0</v>
      </c>
      <c r="M90" s="283">
        <f t="shared" si="88"/>
        <v>0</v>
      </c>
      <c r="N90" s="170">
        <f t="shared" si="89"/>
        <v>0</v>
      </c>
      <c r="O90" s="467"/>
      <c r="P90" s="455">
        <v>0</v>
      </c>
      <c r="Q90" s="458">
        <v>0</v>
      </c>
      <c r="R90" s="32"/>
      <c r="S90" s="34">
        <f>+IF(NOVIEMBRE!S90=0,"",NOVIEMBRE!S90)</f>
        <v>1020300</v>
      </c>
      <c r="T90" s="158" t="str">
        <f>+IF(NOVIEMBRE!T90=0,"",NOVIEMBRE!T90)</f>
        <v>Contribuciones Inherentes nómina al Sector Privado</v>
      </c>
      <c r="U90" s="157">
        <f t="shared" ref="U90:AJ90" si="90">U91+U96+U102</f>
        <v>371241003</v>
      </c>
      <c r="V90" s="144">
        <f t="shared" si="90"/>
        <v>0</v>
      </c>
      <c r="W90" s="144">
        <f t="shared" si="90"/>
        <v>5352587</v>
      </c>
      <c r="X90" s="152">
        <f t="shared" si="90"/>
        <v>376593590</v>
      </c>
      <c r="Y90" s="151">
        <f t="shared" si="90"/>
        <v>296968133</v>
      </c>
      <c r="Z90" s="144">
        <f t="shared" si="90"/>
        <v>65257399</v>
      </c>
      <c r="AA90" s="152">
        <f t="shared" si="90"/>
        <v>362225532</v>
      </c>
      <c r="AB90" s="151">
        <f t="shared" si="90"/>
        <v>296968133</v>
      </c>
      <c r="AC90" s="144">
        <f t="shared" si="90"/>
        <v>65257399</v>
      </c>
      <c r="AD90" s="152">
        <f t="shared" si="90"/>
        <v>362225532</v>
      </c>
      <c r="AE90" s="151">
        <f t="shared" si="90"/>
        <v>283282196</v>
      </c>
      <c r="AF90" s="144">
        <f t="shared" si="90"/>
        <v>62315003</v>
      </c>
      <c r="AG90" s="152">
        <f t="shared" si="90"/>
        <v>345597199</v>
      </c>
      <c r="AH90" s="151">
        <f t="shared" si="90"/>
        <v>14368058</v>
      </c>
      <c r="AI90" s="144">
        <f t="shared" si="90"/>
        <v>14368058</v>
      </c>
      <c r="AJ90" s="153">
        <f t="shared" si="90"/>
        <v>30996391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R90" s="467"/>
    </row>
    <row r="91" spans="1:70" s="562" customFormat="1" x14ac:dyDescent="0.2">
      <c r="A91" s="46">
        <f>+IF(NOVIEMBRE!A91=0,"",NOVIEMBRE!A91)</f>
        <v>1130206</v>
      </c>
      <c r="B91" s="55" t="str">
        <f>+IF(NOVIEMBRE!B91=0,"",NOVIEMBRE!B91)</f>
        <v>OTROS CONVENIOS LIGADOS A LA VTA DE SERVICIOS</v>
      </c>
      <c r="C91" s="456">
        <f>+ENERO!C91</f>
        <v>0</v>
      </c>
      <c r="D91" s="456">
        <f>NOVIEMBRE!D91+DICIEMBRE!P91</f>
        <v>0</v>
      </c>
      <c r="E91" s="456">
        <f>NOVIEMBRE!E91+DICIEMBRE!Q91</f>
        <v>0</v>
      </c>
      <c r="F91" s="170">
        <f t="shared" si="85"/>
        <v>0</v>
      </c>
      <c r="G91" s="283">
        <f>NOVIEMBRE!I91</f>
        <v>0</v>
      </c>
      <c r="H91" s="457">
        <v>0</v>
      </c>
      <c r="I91" s="170">
        <f t="shared" si="86"/>
        <v>0</v>
      </c>
      <c r="J91" s="283">
        <f>NOVIEMBRE!L91</f>
        <v>0</v>
      </c>
      <c r="K91" s="457">
        <v>0</v>
      </c>
      <c r="L91" s="170">
        <f t="shared" si="87"/>
        <v>0</v>
      </c>
      <c r="M91" s="283">
        <f t="shared" si="88"/>
        <v>0</v>
      </c>
      <c r="N91" s="170">
        <f t="shared" si="89"/>
        <v>0</v>
      </c>
      <c r="O91" s="467"/>
      <c r="P91" s="455">
        <v>0</v>
      </c>
      <c r="Q91" s="458">
        <v>0</v>
      </c>
      <c r="R91" s="32"/>
      <c r="S91" s="155">
        <f>+IF(NOVIEMBRE!S91=0,"",NOVIEMBRE!S91)</f>
        <v>1020301</v>
      </c>
      <c r="T91" s="159" t="str">
        <f>+IF(NOVIEMBRE!T91=0,"",NOVIEMBRE!T91)</f>
        <v>Contribuciones - Sin Situación de Fondos</v>
      </c>
      <c r="U91" s="29">
        <f t="shared" ref="U91:AJ91" si="91">SUM(U92:U95)</f>
        <v>165265755</v>
      </c>
      <c r="V91" s="17">
        <f t="shared" si="91"/>
        <v>0</v>
      </c>
      <c r="W91" s="17">
        <f t="shared" si="91"/>
        <v>0</v>
      </c>
      <c r="X91" s="20">
        <f t="shared" si="91"/>
        <v>165265755</v>
      </c>
      <c r="Y91" s="21">
        <f t="shared" si="91"/>
        <v>104857290</v>
      </c>
      <c r="Z91" s="169">
        <f t="shared" si="91"/>
        <v>51000000</v>
      </c>
      <c r="AA91" s="20">
        <f t="shared" si="91"/>
        <v>155857290</v>
      </c>
      <c r="AB91" s="21">
        <f t="shared" si="91"/>
        <v>104857290</v>
      </c>
      <c r="AC91" s="169">
        <f t="shared" si="91"/>
        <v>51000000</v>
      </c>
      <c r="AD91" s="20">
        <f t="shared" si="91"/>
        <v>155857290</v>
      </c>
      <c r="AE91" s="21">
        <f t="shared" si="91"/>
        <v>99238128</v>
      </c>
      <c r="AF91" s="169">
        <f t="shared" si="91"/>
        <v>54174603</v>
      </c>
      <c r="AG91" s="20">
        <f t="shared" si="91"/>
        <v>153412731</v>
      </c>
      <c r="AH91" s="21">
        <f t="shared" si="91"/>
        <v>9408465</v>
      </c>
      <c r="AI91" s="17">
        <f t="shared" si="91"/>
        <v>9408465</v>
      </c>
      <c r="AJ91" s="18">
        <f t="shared" si="91"/>
        <v>11853024</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R91" s="467"/>
    </row>
    <row r="92" spans="1:70" s="562" customFormat="1" ht="14.25" x14ac:dyDescent="0.2">
      <c r="A92" s="46">
        <f>+IF(NOVIEMBRE!A92=0,"",NOVIEMBRE!A92)</f>
        <v>1130207</v>
      </c>
      <c r="B92" s="563" t="s">
        <v>482</v>
      </c>
      <c r="C92" s="456">
        <f>+ENERO!C92</f>
        <v>0</v>
      </c>
      <c r="D92" s="456">
        <f>NOVIEMBRE!D92+DICIEMBRE!P92</f>
        <v>0</v>
      </c>
      <c r="E92" s="456">
        <f>NOVIEMBRE!E92+DICIEMBRE!Q92</f>
        <v>0</v>
      </c>
      <c r="F92" s="170">
        <f t="shared" si="85"/>
        <v>0</v>
      </c>
      <c r="G92" s="283">
        <f>NOVIEMBRE!I92</f>
        <v>0</v>
      </c>
      <c r="H92" s="457">
        <v>0</v>
      </c>
      <c r="I92" s="170">
        <f t="shared" si="86"/>
        <v>0</v>
      </c>
      <c r="J92" s="283">
        <f>NOVIEMBRE!L92</f>
        <v>0</v>
      </c>
      <c r="K92" s="457">
        <v>0</v>
      </c>
      <c r="L92" s="170">
        <f t="shared" si="87"/>
        <v>0</v>
      </c>
      <c r="M92" s="283">
        <f t="shared" si="88"/>
        <v>0</v>
      </c>
      <c r="N92" s="170">
        <f t="shared" si="89"/>
        <v>0</v>
      </c>
      <c r="O92" s="467"/>
      <c r="P92" s="455">
        <v>0</v>
      </c>
      <c r="Q92" s="458">
        <v>0</v>
      </c>
      <c r="R92" s="32"/>
      <c r="S92" s="156" t="str">
        <f>+IF(NOVIEMBRE!S92=0,"",NOVIEMBRE!S92)</f>
        <v>1020301-1</v>
      </c>
      <c r="T92" s="55" t="str">
        <f>+IF(NOVIEMBRE!T92=0,"",NOVIEMBRE!T92)</f>
        <v>Aportes a E.P.S.- Sin sit. Fondos</v>
      </c>
      <c r="U92" s="29">
        <f>+ENERO!U92</f>
        <v>72234575</v>
      </c>
      <c r="V92" s="17">
        <f>NOVIEMBRE!V92+DICIEMBRE!AL92</f>
        <v>0</v>
      </c>
      <c r="W92" s="17">
        <f>NOVIEMBRE!W92+DICIEMBRE!AM92</f>
        <v>0</v>
      </c>
      <c r="X92" s="20">
        <f>SUM(U92:W92)</f>
        <v>72234575</v>
      </c>
      <c r="Y92" s="21">
        <f>NOVIEMBRE!AA92</f>
        <v>57625780</v>
      </c>
      <c r="Z92" s="457">
        <v>14000000</v>
      </c>
      <c r="AA92" s="20">
        <f>SUM(Y92:Z92)</f>
        <v>71625780</v>
      </c>
      <c r="AB92" s="21">
        <f>NOVIEMBRE!AD92</f>
        <v>57625780</v>
      </c>
      <c r="AC92" s="457">
        <v>14000000</v>
      </c>
      <c r="AD92" s="20">
        <f>SUM(AB92:AC92)</f>
        <v>71625780</v>
      </c>
      <c r="AE92" s="21">
        <f>NOVIEMBRE!AG92</f>
        <v>55802780</v>
      </c>
      <c r="AF92" s="457">
        <v>15823000</v>
      </c>
      <c r="AG92" s="20">
        <f>SUM(AE92:AF92)</f>
        <v>71625780</v>
      </c>
      <c r="AH92" s="21">
        <f>X92-AA92</f>
        <v>608795</v>
      </c>
      <c r="AI92" s="17">
        <f>X92-AD92</f>
        <v>608795</v>
      </c>
      <c r="AJ92" s="18">
        <f>X92-AG92</f>
        <v>608795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+IF(NOVIEMBRE!A93=0,"",NOVIEMBRE!A93)</f>
        <v>1130209</v>
      </c>
      <c r="B93" s="170" t="str">
        <f>+IF(NOVIEMBRE!B93=0,"",NOVIEMBRE!B93)</f>
        <v>OTROS</v>
      </c>
      <c r="C93" s="172">
        <f t="shared" ref="C93:N93" si="92">SUM(C94:C97)</f>
        <v>111626604</v>
      </c>
      <c r="D93" s="172">
        <f t="shared" si="92"/>
        <v>0</v>
      </c>
      <c r="E93" s="172">
        <f t="shared" si="92"/>
        <v>0</v>
      </c>
      <c r="F93" s="173">
        <f t="shared" si="92"/>
        <v>111626604</v>
      </c>
      <c r="G93" s="171">
        <f t="shared" si="92"/>
        <v>106085461</v>
      </c>
      <c r="H93" s="172">
        <f t="shared" si="92"/>
        <v>202804360</v>
      </c>
      <c r="I93" s="173">
        <f t="shared" si="92"/>
        <v>308889821</v>
      </c>
      <c r="J93" s="171">
        <f t="shared" si="92"/>
        <v>106085461</v>
      </c>
      <c r="K93" s="172">
        <f t="shared" si="92"/>
        <v>202804360</v>
      </c>
      <c r="L93" s="173">
        <f t="shared" si="92"/>
        <v>308889821</v>
      </c>
      <c r="M93" s="171">
        <f t="shared" si="92"/>
        <v>-197263217</v>
      </c>
      <c r="N93" s="173">
        <f t="shared" si="92"/>
        <v>-197263217</v>
      </c>
      <c r="O93" s="467"/>
      <c r="P93" s="171">
        <f>SUM(P94:P97)</f>
        <v>0</v>
      </c>
      <c r="Q93" s="173">
        <f>SUM(Q94:Q97)</f>
        <v>0</v>
      </c>
      <c r="R93" s="32"/>
      <c r="S93" s="156" t="str">
        <f>+IF(NOVIEMBRE!S93=0,"",NOVIEMBRE!S93)</f>
        <v>1020301-2</v>
      </c>
      <c r="T93" s="55" t="str">
        <f>+IF(NOVIEMBRE!T93=0,"",NOVIEMBRE!T93)</f>
        <v>Aportes Fondos Pensionales - Sin Sit. Fondos</v>
      </c>
      <c r="U93" s="29">
        <f>+ENERO!U93</f>
        <v>78026691</v>
      </c>
      <c r="V93" s="17">
        <f>NOVIEMBRE!V93+DICIEMBRE!AL93</f>
        <v>0</v>
      </c>
      <c r="W93" s="17">
        <f>NOVIEMBRE!W93+DICIEMBRE!AM93</f>
        <v>0</v>
      </c>
      <c r="X93" s="20">
        <f>SUM(U93:W93)</f>
        <v>78026691</v>
      </c>
      <c r="Y93" s="21">
        <f>NOVIEMBRE!AA93</f>
        <v>40879580</v>
      </c>
      <c r="Z93" s="457">
        <v>37000000</v>
      </c>
      <c r="AA93" s="20">
        <f>SUM(Y93:Z93)</f>
        <v>77879580</v>
      </c>
      <c r="AB93" s="21">
        <f>NOVIEMBRE!AD93</f>
        <v>40879580</v>
      </c>
      <c r="AC93" s="457">
        <v>37000000</v>
      </c>
      <c r="AD93" s="20">
        <f>SUM(AB93:AC93)</f>
        <v>77879580</v>
      </c>
      <c r="AE93" s="21">
        <f>NOVIEMBRE!AG93</f>
        <v>40879580</v>
      </c>
      <c r="AF93" s="457">
        <v>37000000</v>
      </c>
      <c r="AG93" s="20">
        <f>SUM(AE93:AF93)</f>
        <v>77879580</v>
      </c>
      <c r="AH93" s="21">
        <f>X93-AA93</f>
        <v>147111</v>
      </c>
      <c r="AI93" s="17">
        <f>X93-AD93</f>
        <v>147111</v>
      </c>
      <c r="AJ93" s="18">
        <f>X93-AG93</f>
        <v>147111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+IF(NOVIEMBRE!A94=0,"",NOVIEMBRE!A94)</f>
        <v>1130209 - 1</v>
      </c>
      <c r="B94" s="58" t="str">
        <f>+IF(NOVIEMBRE!B94=0,"",NOVIEMBRE!B94)</f>
        <v>Bienestar Social</v>
      </c>
      <c r="C94" s="456">
        <f>+ENERO!C94</f>
        <v>6347410</v>
      </c>
      <c r="D94" s="456">
        <f>NOVIEMBRE!D94+DICIEMBRE!P94</f>
        <v>0</v>
      </c>
      <c r="E94" s="456">
        <f>NOVIEMBRE!E94+DICIEMBRE!Q94</f>
        <v>0</v>
      </c>
      <c r="F94" s="170">
        <f>SUM(C94:E94)</f>
        <v>6347410</v>
      </c>
      <c r="G94" s="283">
        <f>NOVIEMBRE!I94</f>
        <v>0</v>
      </c>
      <c r="H94" s="457">
        <v>0</v>
      </c>
      <c r="I94" s="170">
        <f>SUM(G94:H94)</f>
        <v>0</v>
      </c>
      <c r="J94" s="283">
        <f>NOVIEMBRE!L94</f>
        <v>0</v>
      </c>
      <c r="K94" s="457">
        <v>0</v>
      </c>
      <c r="L94" s="170">
        <f>SUM(J94:K94)</f>
        <v>0</v>
      </c>
      <c r="M94" s="283">
        <f>F94-I94</f>
        <v>6347410</v>
      </c>
      <c r="N94" s="170">
        <f>F94-L94</f>
        <v>6347410</v>
      </c>
      <c r="O94" s="467"/>
      <c r="P94" s="455">
        <v>0</v>
      </c>
      <c r="Q94" s="458">
        <v>0</v>
      </c>
      <c r="R94" s="32"/>
      <c r="S94" s="156" t="str">
        <f>+IF(NOVIEMBRE!S94=0,"",NOVIEMBRE!S94)</f>
        <v>1020301-3</v>
      </c>
      <c r="T94" s="55" t="str">
        <f>+IF(NOVIEMBRE!T94=0,"",NOVIEMBRE!T94)</f>
        <v xml:space="preserve">Aportes a Fondos de Cesantia - Sin Sit. de Fondos </v>
      </c>
      <c r="U94" s="29">
        <f>+ENERO!U94</f>
        <v>15004488</v>
      </c>
      <c r="V94" s="17">
        <f>NOVIEMBRE!V94+DICIEMBRE!AL94</f>
        <v>0</v>
      </c>
      <c r="W94" s="17">
        <f>NOVIEMBRE!W94+DICIEMBRE!AM94</f>
        <v>0</v>
      </c>
      <c r="X94" s="20">
        <f>SUM(U94:W94)</f>
        <v>15004488</v>
      </c>
      <c r="Y94" s="21">
        <f>NOVIEMBRE!AA94</f>
        <v>6351930</v>
      </c>
      <c r="Z94" s="457">
        <v>0</v>
      </c>
      <c r="AA94" s="20">
        <f>SUM(Y94:Z94)</f>
        <v>6351930</v>
      </c>
      <c r="AB94" s="21">
        <f>NOVIEMBRE!AD94</f>
        <v>6351930</v>
      </c>
      <c r="AC94" s="457">
        <v>0</v>
      </c>
      <c r="AD94" s="20">
        <f>SUM(AB94:AC94)</f>
        <v>6351930</v>
      </c>
      <c r="AE94" s="21">
        <f>NOVIEMBRE!AG94</f>
        <v>2555768</v>
      </c>
      <c r="AF94" s="457">
        <v>1351603</v>
      </c>
      <c r="AG94" s="20">
        <f>SUM(AE94:AF94)</f>
        <v>3907371</v>
      </c>
      <c r="AH94" s="21">
        <f>X94-AA94</f>
        <v>8652558</v>
      </c>
      <c r="AI94" s="17">
        <f>X94-AD94</f>
        <v>8652558</v>
      </c>
      <c r="AJ94" s="18">
        <f>X94-AG94</f>
        <v>11097117</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+IF(NOVIEMBRE!A95=0,"",NOVIEMBRE!A95)</f>
        <v>1130209 - 2</v>
      </c>
      <c r="B95" s="58" t="str">
        <f>+IF(NOVIEMBRE!B95=0,"",NOVIEMBRE!B95)</f>
        <v>Fondo de la Vivienda</v>
      </c>
      <c r="C95" s="456">
        <f>+ENERO!C95</f>
        <v>0</v>
      </c>
      <c r="D95" s="456">
        <f>NOVIEMBRE!D95+DICIEMBRE!P95</f>
        <v>0</v>
      </c>
      <c r="E95" s="456">
        <f>NOVIEMBRE!E95+DICIEMBRE!Q95</f>
        <v>0</v>
      </c>
      <c r="F95" s="170">
        <f>SUM(C95:E95)</f>
        <v>0</v>
      </c>
      <c r="G95" s="283">
        <f>NOVIEMBRE!I95</f>
        <v>0</v>
      </c>
      <c r="H95" s="457">
        <v>0</v>
      </c>
      <c r="I95" s="170">
        <f>SUM(G95:H95)</f>
        <v>0</v>
      </c>
      <c r="J95" s="283">
        <f>NOVIEMBRE!L95</f>
        <v>0</v>
      </c>
      <c r="K95" s="457">
        <v>0</v>
      </c>
      <c r="L95" s="170">
        <f>SUM(J95:K95)</f>
        <v>0</v>
      </c>
      <c r="M95" s="283">
        <f>F95-I95</f>
        <v>0</v>
      </c>
      <c r="N95" s="170">
        <f>F95-L95</f>
        <v>0</v>
      </c>
      <c r="O95" s="467"/>
      <c r="P95" s="455">
        <v>0</v>
      </c>
      <c r="Q95" s="458">
        <v>0</v>
      </c>
      <c r="R95" s="32"/>
      <c r="S95" s="156" t="str">
        <f>+IF(NOVIEMBRE!S95=0,"",NOVIEMBRE!S95)</f>
        <v>1020301-4</v>
      </c>
      <c r="T95" s="55" t="str">
        <f>+IF(NOVIEMBRE!T95=0,"",NOVIEMBRE!T95)</f>
        <v>Aporte a ARL. - Sin Sit. de Fondos</v>
      </c>
      <c r="U95" s="29">
        <f>+ENERO!U95</f>
        <v>1</v>
      </c>
      <c r="V95" s="17">
        <f>NOVIEMBRE!V95+DICIEMBRE!AL95</f>
        <v>0</v>
      </c>
      <c r="W95" s="17">
        <f>NOVIEMBRE!W95+DICIEMBRE!AM95</f>
        <v>0</v>
      </c>
      <c r="X95" s="20">
        <f>SUM(U95:W95)</f>
        <v>1</v>
      </c>
      <c r="Y95" s="21">
        <f>NOVIEMBRE!AA95</f>
        <v>0</v>
      </c>
      <c r="Z95" s="457">
        <v>0</v>
      </c>
      <c r="AA95" s="20">
        <f>SUM(Y95:Z95)</f>
        <v>0</v>
      </c>
      <c r="AB95" s="21">
        <f>NOVIEMBRE!AD95</f>
        <v>0</v>
      </c>
      <c r="AC95" s="457">
        <v>0</v>
      </c>
      <c r="AD95" s="20">
        <f>SUM(AB95:AC95)</f>
        <v>0</v>
      </c>
      <c r="AE95" s="21">
        <f>NOVIEMBRE!AG95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+IF(NOVIEMBRE!A96=0,"",NOVIEMBRE!A96)</f>
        <v>1130209 - 3</v>
      </c>
      <c r="B96" s="58" t="str">
        <f>+IF(NOVIEMBRE!B96=0,"",NOVIEMBRE!B96)</f>
        <v xml:space="preserve">Aprovechamientos </v>
      </c>
      <c r="C96" s="456">
        <f>+ENERO!C96</f>
        <v>105279194</v>
      </c>
      <c r="D96" s="456">
        <f>NOVIEMBRE!D96+DICIEMBRE!P96</f>
        <v>0</v>
      </c>
      <c r="E96" s="456">
        <f>NOVIEMBRE!E96+DICIEMBRE!Q96</f>
        <v>0</v>
      </c>
      <c r="F96" s="170">
        <f>SUM(C96:E96)</f>
        <v>105279194</v>
      </c>
      <c r="G96" s="283">
        <f>NOVIEMBRE!I96</f>
        <v>106085461</v>
      </c>
      <c r="H96" s="457">
        <v>202804360</v>
      </c>
      <c r="I96" s="170">
        <f>SUM(G96:H96)</f>
        <v>308889821</v>
      </c>
      <c r="J96" s="283">
        <f>NOVIEMBRE!L96</f>
        <v>106085461</v>
      </c>
      <c r="K96" s="457">
        <v>202804360</v>
      </c>
      <c r="L96" s="170">
        <f>SUM(J96:K96)</f>
        <v>308889821</v>
      </c>
      <c r="M96" s="283">
        <f>F96-I96</f>
        <v>-203610627</v>
      </c>
      <c r="N96" s="170">
        <f>F96-L96</f>
        <v>-203610627</v>
      </c>
      <c r="O96" s="467"/>
      <c r="P96" s="455">
        <v>0</v>
      </c>
      <c r="Q96" s="458">
        <v>0</v>
      </c>
      <c r="S96" s="155">
        <f>+IF(NOVIEMBRE!S96=0,"",NOVIEMBRE!S96)</f>
        <v>1020302</v>
      </c>
      <c r="T96" s="159" t="str">
        <f>+IF(NOVIEMBRE!T96=0,"",NOVIEMBRE!T96)</f>
        <v>Contribuciones - Otros</v>
      </c>
      <c r="U96" s="29">
        <f t="shared" ref="U96:AJ96" si="93">SUM(U97:U101)</f>
        <v>205975248</v>
      </c>
      <c r="V96" s="17">
        <f t="shared" si="93"/>
        <v>0</v>
      </c>
      <c r="W96" s="17">
        <f t="shared" si="93"/>
        <v>0</v>
      </c>
      <c r="X96" s="20">
        <f t="shared" si="93"/>
        <v>205975248</v>
      </c>
      <c r="Y96" s="21">
        <f t="shared" si="93"/>
        <v>186758256</v>
      </c>
      <c r="Z96" s="169">
        <f t="shared" si="93"/>
        <v>14257399</v>
      </c>
      <c r="AA96" s="20">
        <f t="shared" si="93"/>
        <v>201015655</v>
      </c>
      <c r="AB96" s="21">
        <f t="shared" si="93"/>
        <v>186758256</v>
      </c>
      <c r="AC96" s="169">
        <f t="shared" si="93"/>
        <v>14257399</v>
      </c>
      <c r="AD96" s="20">
        <f t="shared" si="93"/>
        <v>201015655</v>
      </c>
      <c r="AE96" s="21">
        <f t="shared" si="93"/>
        <v>178691481</v>
      </c>
      <c r="AF96" s="169">
        <f t="shared" si="93"/>
        <v>8140400</v>
      </c>
      <c r="AG96" s="20">
        <f t="shared" si="93"/>
        <v>186831881</v>
      </c>
      <c r="AH96" s="21">
        <f t="shared" si="93"/>
        <v>4959593</v>
      </c>
      <c r="AI96" s="17">
        <f t="shared" si="93"/>
        <v>4959593</v>
      </c>
      <c r="AJ96" s="18">
        <f t="shared" si="93"/>
        <v>19143367</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+IF(NOVIEMBRE!A97=0,"",NOVIEMBRE!A97)</f>
        <v>1130209 - 4</v>
      </c>
      <c r="B97" s="219" t="str">
        <f>+IF(NOVIEMBRE!B97=0,"",NOVIEMBRE!B97)</f>
        <v>Otros</v>
      </c>
      <c r="C97" s="564">
        <f>+ENERO!C97</f>
        <v>0</v>
      </c>
      <c r="D97" s="564">
        <f>NOVIEMBRE!D97+DICIEMBRE!P97</f>
        <v>0</v>
      </c>
      <c r="E97" s="564">
        <f>NOVIEMBRE!E97+DICIEMBRE!Q97</f>
        <v>0</v>
      </c>
      <c r="F97" s="565">
        <f>SUM(C97:E97)</f>
        <v>0</v>
      </c>
      <c r="G97" s="566">
        <f>NOVIEMBRE!I97</f>
        <v>0</v>
      </c>
      <c r="H97" s="475">
        <v>0</v>
      </c>
      <c r="I97" s="565">
        <f>SUM(G97:H97)</f>
        <v>0</v>
      </c>
      <c r="J97" s="566">
        <f>NOVIEMBRE!L97</f>
        <v>0</v>
      </c>
      <c r="K97" s="475">
        <v>0</v>
      </c>
      <c r="L97" s="565">
        <f>SUM(J97:K97)</f>
        <v>0</v>
      </c>
      <c r="M97" s="566">
        <f>F97-I97</f>
        <v>0</v>
      </c>
      <c r="N97" s="565">
        <f>F97-L97</f>
        <v>0</v>
      </c>
      <c r="O97" s="467"/>
      <c r="P97" s="471">
        <v>0</v>
      </c>
      <c r="Q97" s="476">
        <v>0</v>
      </c>
      <c r="R97" s="32"/>
      <c r="S97" s="156" t="str">
        <f>+IF(NOVIEMBRE!S97=0,"",NOVIEMBRE!S97)</f>
        <v>1020302-1</v>
      </c>
      <c r="T97" s="55" t="str">
        <f>+IF(NOVIEMBRE!T97=0,"",NOVIEMBRE!T97)</f>
        <v>Aportes a E.P.S.- Con sit. Fondos</v>
      </c>
      <c r="U97" s="29">
        <f>+ENERO!U97</f>
        <v>13794433</v>
      </c>
      <c r="V97" s="17">
        <f>NOVIEMBRE!V97+DICIEMBRE!AL97</f>
        <v>0</v>
      </c>
      <c r="W97" s="17">
        <f>NOVIEMBRE!W97+DICIEMBRE!AM97</f>
        <v>0</v>
      </c>
      <c r="X97" s="20">
        <f t="shared" ref="X97:X102" si="94">SUM(U97:W97)</f>
        <v>13794433</v>
      </c>
      <c r="Y97" s="21">
        <f>NOVIEMBRE!AA97</f>
        <v>12193060</v>
      </c>
      <c r="Z97" s="457">
        <v>1600800</v>
      </c>
      <c r="AA97" s="20">
        <f t="shared" ref="AA97:AA102" si="95">SUM(Y97:Z97)</f>
        <v>13793860</v>
      </c>
      <c r="AB97" s="21">
        <f>NOVIEMBRE!AD97</f>
        <v>12193060</v>
      </c>
      <c r="AC97" s="457">
        <v>1600800</v>
      </c>
      <c r="AD97" s="20">
        <f t="shared" ref="AD97:AD102" si="96">SUM(AB97:AC97)</f>
        <v>13793860</v>
      </c>
      <c r="AE97" s="21">
        <f>NOVIEMBRE!AG97</f>
        <v>12193060</v>
      </c>
      <c r="AF97" s="457">
        <v>678800</v>
      </c>
      <c r="AG97" s="20">
        <f t="shared" ref="AG97:AG102" si="97">SUM(AE97:AF97)</f>
        <v>12871860</v>
      </c>
      <c r="AH97" s="21">
        <f t="shared" ref="AH97:AH102" si="98">X97-AA97</f>
        <v>573</v>
      </c>
      <c r="AI97" s="17">
        <f t="shared" ref="AI97:AI102" si="99">X97-AD97</f>
        <v>573</v>
      </c>
      <c r="AJ97" s="18">
        <f t="shared" ref="AJ97:AJ102" si="100">X97-AG97</f>
        <v>922573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+IF(NOVIEMBRE!S98=0,"",NOVIEMBRE!S98)</f>
        <v>1020302-2</v>
      </c>
      <c r="T98" s="55" t="str">
        <f>+IF(NOVIEMBRE!T98=0,"",NOVIEMBRE!T98)</f>
        <v>Aportes Fondos Pensionales - Con Sit. Fondos</v>
      </c>
      <c r="U98" s="29">
        <f>+ENERO!U98</f>
        <v>43426005</v>
      </c>
      <c r="V98" s="17">
        <f>NOVIEMBRE!V98+DICIEMBRE!AL98</f>
        <v>0</v>
      </c>
      <c r="W98" s="17">
        <f>NOVIEMBRE!W98+DICIEMBRE!AM98</f>
        <v>0</v>
      </c>
      <c r="X98" s="20">
        <f t="shared" si="94"/>
        <v>43426005</v>
      </c>
      <c r="Y98" s="21">
        <f>NOVIEMBRE!AA98</f>
        <v>40684873</v>
      </c>
      <c r="Z98" s="457">
        <v>2700000</v>
      </c>
      <c r="AA98" s="20">
        <f t="shared" si="95"/>
        <v>43384873</v>
      </c>
      <c r="AB98" s="21">
        <f>NOVIEMBRE!AD98</f>
        <v>40684873</v>
      </c>
      <c r="AC98" s="457">
        <v>2700000</v>
      </c>
      <c r="AD98" s="20">
        <f t="shared" si="96"/>
        <v>43384873</v>
      </c>
      <c r="AE98" s="21">
        <f>NOVIEMBRE!AG98</f>
        <v>38111173</v>
      </c>
      <c r="AF98" s="457">
        <v>2573700</v>
      </c>
      <c r="AG98" s="20">
        <f t="shared" si="97"/>
        <v>40684873</v>
      </c>
      <c r="AH98" s="21">
        <f t="shared" si="98"/>
        <v>41132</v>
      </c>
      <c r="AI98" s="17">
        <f t="shared" si="99"/>
        <v>41132</v>
      </c>
      <c r="AJ98" s="18">
        <f t="shared" si="100"/>
        <v>2741132</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+IF(NOVIEMBRE!A99=0,"",NOVIEMBRE!A99)</f>
        <v>11303</v>
      </c>
      <c r="B99" s="570" t="str">
        <f>+IF(NOVIEMBRE!B99=0,"",NOVIEMBRE!B99)</f>
        <v>Aportes no ligados a venta servicios de salud</v>
      </c>
      <c r="C99" s="572">
        <f t="shared" ref="C99:N99" si="101">SUM(C100:C106)</f>
        <v>0</v>
      </c>
      <c r="D99" s="572">
        <f t="shared" si="101"/>
        <v>227076373</v>
      </c>
      <c r="E99" s="572">
        <f t="shared" si="101"/>
        <v>25449068</v>
      </c>
      <c r="F99" s="573">
        <f t="shared" si="101"/>
        <v>252525441</v>
      </c>
      <c r="G99" s="571">
        <f t="shared" si="101"/>
        <v>231481655</v>
      </c>
      <c r="H99" s="572">
        <f t="shared" si="101"/>
        <v>21043786</v>
      </c>
      <c r="I99" s="573">
        <f t="shared" si="101"/>
        <v>252525441</v>
      </c>
      <c r="J99" s="571">
        <f t="shared" si="101"/>
        <v>231481655</v>
      </c>
      <c r="K99" s="572">
        <f t="shared" si="101"/>
        <v>21043786</v>
      </c>
      <c r="L99" s="573">
        <f t="shared" si="101"/>
        <v>252525441</v>
      </c>
      <c r="M99" s="571">
        <f t="shared" si="101"/>
        <v>0</v>
      </c>
      <c r="N99" s="573">
        <f t="shared" si="101"/>
        <v>0</v>
      </c>
      <c r="P99" s="215">
        <f>SUM(P100:P106)</f>
        <v>0</v>
      </c>
      <c r="Q99" s="216">
        <f>SUM(Q100:Q106)</f>
        <v>0</v>
      </c>
      <c r="R99" s="32"/>
      <c r="S99" s="156" t="str">
        <f>+IF(NOVIEMBRE!S99=0,"",NOVIEMBRE!S99)</f>
        <v>1020302-3</v>
      </c>
      <c r="T99" s="55" t="str">
        <f>+IF(NOVIEMBRE!T99=0,"",NOVIEMBRE!T99)</f>
        <v xml:space="preserve">Aportes a Fondos de Cesantia - Con Sit. de Fondos </v>
      </c>
      <c r="U99" s="29">
        <f>+ENERO!U99</f>
        <v>78984976</v>
      </c>
      <c r="V99" s="17">
        <f>NOVIEMBRE!V99+DICIEMBRE!AL99</f>
        <v>0</v>
      </c>
      <c r="W99" s="17">
        <f>NOVIEMBRE!W99+DICIEMBRE!AM99</f>
        <v>0</v>
      </c>
      <c r="X99" s="20">
        <f t="shared" si="94"/>
        <v>78984976</v>
      </c>
      <c r="Y99" s="21">
        <f>NOVIEMBRE!AA99</f>
        <v>77659419</v>
      </c>
      <c r="Z99" s="457">
        <v>1322899</v>
      </c>
      <c r="AA99" s="20">
        <f t="shared" si="95"/>
        <v>78982318</v>
      </c>
      <c r="AB99" s="21">
        <f>NOVIEMBRE!AD99</f>
        <v>77659419</v>
      </c>
      <c r="AC99" s="457">
        <v>1322899</v>
      </c>
      <c r="AD99" s="20">
        <f t="shared" si="96"/>
        <v>78982318</v>
      </c>
      <c r="AE99" s="21">
        <f>NOVIEMBRE!AG99</f>
        <v>77054244</v>
      </c>
      <c r="AF99" s="457">
        <v>0</v>
      </c>
      <c r="AG99" s="20">
        <f t="shared" si="97"/>
        <v>77054244</v>
      </c>
      <c r="AH99" s="21">
        <f t="shared" si="98"/>
        <v>2658</v>
      </c>
      <c r="AI99" s="17">
        <f t="shared" si="99"/>
        <v>2658</v>
      </c>
      <c r="AJ99" s="18">
        <f t="shared" si="100"/>
        <v>1930732</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+IF(NOVIEMBRE!A100=0,"",NOVIEMBRE!A100)</f>
        <v>11303-1</v>
      </c>
      <c r="B100" s="59" t="str">
        <f>+IF(NOVIEMBRE!B100=0,"",NOVIEMBRE!B100)</f>
        <v xml:space="preserve">NACION </v>
      </c>
      <c r="C100" s="574">
        <f>+ENERO!C100</f>
        <v>0</v>
      </c>
      <c r="D100" s="574">
        <f>NOVIEMBRE!D100+DICIEMBRE!P100</f>
        <v>0</v>
      </c>
      <c r="E100" s="574">
        <f>NOVIEMBRE!E100+DICIEMBRE!Q100</f>
        <v>0</v>
      </c>
      <c r="F100" s="575">
        <f t="shared" ref="F100:F106" si="102">SUM(C100:E100)</f>
        <v>0</v>
      </c>
      <c r="G100" s="576">
        <f>NOVIEMBRE!I100</f>
        <v>0</v>
      </c>
      <c r="H100" s="457">
        <v>0</v>
      </c>
      <c r="I100" s="575">
        <f t="shared" ref="I100:I106" si="103">SUM(G100:H100)</f>
        <v>0</v>
      </c>
      <c r="J100" s="576">
        <f>NOVIEMBRE!L100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+IF(NOVIEMBRE!S100=0,"",NOVIEMBRE!S100)</f>
        <v>1020302-4</v>
      </c>
      <c r="T100" s="55" t="str">
        <f>+IF(NOVIEMBRE!T100=0,"",NOVIEMBRE!T100)</f>
        <v>Aporte a ARL. - Con Sit. de Fondos</v>
      </c>
      <c r="U100" s="29">
        <f>+ENERO!U100</f>
        <v>24654894</v>
      </c>
      <c r="V100" s="17">
        <f>NOVIEMBRE!V100+DICIEMBRE!AL100</f>
        <v>0</v>
      </c>
      <c r="W100" s="17">
        <f>NOVIEMBRE!W100+DICIEMBRE!AM100</f>
        <v>0</v>
      </c>
      <c r="X100" s="20">
        <f t="shared" si="94"/>
        <v>24654894</v>
      </c>
      <c r="Y100" s="21">
        <f>NOVIEMBRE!AA100</f>
        <v>22275100</v>
      </c>
      <c r="Z100" s="457">
        <v>2300000</v>
      </c>
      <c r="AA100" s="20">
        <f t="shared" si="95"/>
        <v>24575100</v>
      </c>
      <c r="AB100" s="21">
        <f>NOVIEMBRE!AD100</f>
        <v>22275100</v>
      </c>
      <c r="AC100" s="457">
        <v>2300000</v>
      </c>
      <c r="AD100" s="20">
        <f t="shared" si="96"/>
        <v>24575100</v>
      </c>
      <c r="AE100" s="21">
        <f>NOVIEMBRE!AG100</f>
        <v>20234800</v>
      </c>
      <c r="AF100" s="457">
        <v>2040300</v>
      </c>
      <c r="AG100" s="20">
        <f t="shared" si="97"/>
        <v>22275100</v>
      </c>
      <c r="AH100" s="21">
        <f t="shared" si="98"/>
        <v>79794</v>
      </c>
      <c r="AI100" s="17">
        <f t="shared" si="99"/>
        <v>79794</v>
      </c>
      <c r="AJ100" s="18">
        <f t="shared" si="100"/>
        <v>2379794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+IF(NOVIEMBRE!A101=0,"",NOVIEMBRE!A101)</f>
        <v>11303-2</v>
      </c>
      <c r="B101" s="59" t="str">
        <f>+IF(NOVIEMBRE!B101=0,"",NOVIEMBRE!B101)</f>
        <v>DEPARTAMENTO</v>
      </c>
      <c r="C101" s="574">
        <f>+ENERO!C101</f>
        <v>0</v>
      </c>
      <c r="D101" s="574">
        <f>NOVIEMBRE!D101+DICIEMBRE!P101</f>
        <v>0</v>
      </c>
      <c r="E101" s="574">
        <f>NOVIEMBRE!E101+DICIEMBRE!Q101</f>
        <v>0</v>
      </c>
      <c r="F101" s="575">
        <f t="shared" si="102"/>
        <v>0</v>
      </c>
      <c r="G101" s="576">
        <f>NOVIEMBRE!I101</f>
        <v>0</v>
      </c>
      <c r="H101" s="457">
        <v>0</v>
      </c>
      <c r="I101" s="575">
        <f t="shared" si="103"/>
        <v>0</v>
      </c>
      <c r="J101" s="576">
        <f>NOVIEMBRE!L101</f>
        <v>0</v>
      </c>
      <c r="K101" s="457">
        <v>0</v>
      </c>
      <c r="L101" s="575">
        <f t="shared" si="104"/>
        <v>0</v>
      </c>
      <c r="M101" s="576">
        <f t="shared" si="105"/>
        <v>0</v>
      </c>
      <c r="N101" s="575">
        <f t="shared" si="106"/>
        <v>0</v>
      </c>
      <c r="O101" s="562"/>
      <c r="P101" s="455">
        <v>0</v>
      </c>
      <c r="Q101" s="458">
        <v>0</v>
      </c>
      <c r="R101" s="10"/>
      <c r="S101" s="156" t="str">
        <f>+IF(NOVIEMBRE!S101=0,"",NOVIEMBRE!S101)</f>
        <v>1020302-5</v>
      </c>
      <c r="T101" s="55" t="str">
        <f>+IF(NOVIEMBRE!T101=0,"",NOVIEMBRE!T101)</f>
        <v>Aporte a Caja Compensación Familiar</v>
      </c>
      <c r="U101" s="29">
        <f>+ENERO!U101</f>
        <v>45114940</v>
      </c>
      <c r="V101" s="17">
        <f>NOVIEMBRE!V101+DICIEMBRE!AL101</f>
        <v>0</v>
      </c>
      <c r="W101" s="17">
        <f>NOVIEMBRE!W101+DICIEMBRE!AM101</f>
        <v>0</v>
      </c>
      <c r="X101" s="20">
        <f t="shared" si="94"/>
        <v>45114940</v>
      </c>
      <c r="Y101" s="21">
        <f>NOVIEMBRE!AA101</f>
        <v>33945804</v>
      </c>
      <c r="Z101" s="457">
        <v>6333700</v>
      </c>
      <c r="AA101" s="20">
        <f t="shared" si="95"/>
        <v>40279504</v>
      </c>
      <c r="AB101" s="21">
        <f>NOVIEMBRE!AD101</f>
        <v>33945804</v>
      </c>
      <c r="AC101" s="457">
        <v>6333700</v>
      </c>
      <c r="AD101" s="20">
        <f t="shared" si="96"/>
        <v>40279504</v>
      </c>
      <c r="AE101" s="21">
        <f>NOVIEMBRE!AG101</f>
        <v>31098204</v>
      </c>
      <c r="AF101" s="457">
        <v>2847600</v>
      </c>
      <c r="AG101" s="20">
        <f t="shared" si="97"/>
        <v>33945804</v>
      </c>
      <c r="AH101" s="21">
        <f t="shared" si="98"/>
        <v>4835436</v>
      </c>
      <c r="AI101" s="17">
        <f t="shared" si="99"/>
        <v>4835436</v>
      </c>
      <c r="AJ101" s="18">
        <f t="shared" si="100"/>
        <v>11169136</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+IF(NOVIEMBRE!A102=0,"",NOVIEMBRE!A102)</f>
        <v>11303-3</v>
      </c>
      <c r="B102" s="59" t="str">
        <f>+IF(NOVIEMBRE!B102=0,"",NOVIEMBRE!B102)</f>
        <v>MUNICIPIO</v>
      </c>
      <c r="C102" s="574">
        <f>+ENERO!C102</f>
        <v>0</v>
      </c>
      <c r="D102" s="574">
        <f>NOVIEMBRE!D102+DICIEMBRE!P102</f>
        <v>0</v>
      </c>
      <c r="E102" s="574">
        <f>NOVIEMBRE!E102+DICIEMBRE!Q102</f>
        <v>0</v>
      </c>
      <c r="F102" s="575">
        <f t="shared" si="102"/>
        <v>0</v>
      </c>
      <c r="G102" s="576">
        <f>NOVIEMBRE!I102</f>
        <v>0</v>
      </c>
      <c r="H102" s="457">
        <v>0</v>
      </c>
      <c r="I102" s="575">
        <f t="shared" si="103"/>
        <v>0</v>
      </c>
      <c r="J102" s="576">
        <f>NOVIEMBRE!L102</f>
        <v>0</v>
      </c>
      <c r="K102" s="457">
        <v>0</v>
      </c>
      <c r="L102" s="575">
        <f t="shared" si="104"/>
        <v>0</v>
      </c>
      <c r="M102" s="576">
        <f t="shared" si="105"/>
        <v>0</v>
      </c>
      <c r="N102" s="575">
        <f t="shared" si="106"/>
        <v>0</v>
      </c>
      <c r="O102" s="562"/>
      <c r="P102" s="455">
        <v>0</v>
      </c>
      <c r="Q102" s="458">
        <v>0</v>
      </c>
      <c r="R102" s="10"/>
      <c r="S102" s="155">
        <f>+IF(NOVIEMBRE!S102=0,"",NOVIEMBRE!S102)</f>
        <v>1020399</v>
      </c>
      <c r="T102" s="159" t="str">
        <f>+IF(NOVIEMBRE!T102=0,"",NOVIEMBRE!T102)</f>
        <v>Vigencias Anteriores</v>
      </c>
      <c r="U102" s="29">
        <f>+ENERO!U102</f>
        <v>0</v>
      </c>
      <c r="V102" s="17">
        <f>NOVIEMBRE!V102+DICIEMBRE!AL102</f>
        <v>0</v>
      </c>
      <c r="W102" s="17">
        <f>NOVIEMBRE!W102+DICIEMBRE!AM102</f>
        <v>5352587</v>
      </c>
      <c r="X102" s="20">
        <f t="shared" si="94"/>
        <v>5352587</v>
      </c>
      <c r="Y102" s="21">
        <f>NOVIEMBRE!AA102</f>
        <v>5352587</v>
      </c>
      <c r="Z102" s="457">
        <v>0</v>
      </c>
      <c r="AA102" s="20">
        <f t="shared" si="95"/>
        <v>5352587</v>
      </c>
      <c r="AB102" s="21">
        <f>NOVIEMBRE!AD102</f>
        <v>5352587</v>
      </c>
      <c r="AC102" s="457">
        <v>0</v>
      </c>
      <c r="AD102" s="20">
        <f t="shared" si="96"/>
        <v>5352587</v>
      </c>
      <c r="AE102" s="21">
        <f>NOVIEMBRE!AG102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c r="BQ102" s="562"/>
    </row>
    <row r="103" spans="1:70" s="467" customFormat="1" ht="15.75" x14ac:dyDescent="0.2">
      <c r="A103" s="33" t="str">
        <f>+IF(NOVIEMBRE!A103=0,"",NOVIEMBRE!A103)</f>
        <v>11303-4</v>
      </c>
      <c r="B103" s="59" t="str">
        <f>+IF(NOVIEMBRE!B103=0,"",NOVIEMBRE!B103)</f>
        <v>CONVENIOS (EMPRESTITO)</v>
      </c>
      <c r="C103" s="574">
        <f>+ENERO!C103</f>
        <v>0</v>
      </c>
      <c r="D103" s="574">
        <f>NOVIEMBRE!D103+DICIEMBRE!P103</f>
        <v>0</v>
      </c>
      <c r="E103" s="574">
        <f>NOVIEMBRE!E103+DICIEMBRE!Q103</f>
        <v>0</v>
      </c>
      <c r="F103" s="575">
        <f t="shared" si="102"/>
        <v>0</v>
      </c>
      <c r="G103" s="576">
        <f>NOVIEMBRE!I103</f>
        <v>0</v>
      </c>
      <c r="H103" s="457">
        <v>0</v>
      </c>
      <c r="I103" s="575">
        <f t="shared" si="103"/>
        <v>0</v>
      </c>
      <c r="J103" s="576">
        <f>NOVIEMBRE!L103</f>
        <v>0</v>
      </c>
      <c r="K103" s="457">
        <v>0</v>
      </c>
      <c r="L103" s="575">
        <f t="shared" si="104"/>
        <v>0</v>
      </c>
      <c r="M103" s="576">
        <f t="shared" si="105"/>
        <v>0</v>
      </c>
      <c r="N103" s="575">
        <f t="shared" si="106"/>
        <v>0</v>
      </c>
      <c r="O103" s="562"/>
      <c r="P103" s="455">
        <v>0</v>
      </c>
      <c r="Q103" s="458">
        <v>0</v>
      </c>
      <c r="R103" s="10"/>
      <c r="S103" s="448" t="str">
        <f>+IF(NOVIEMBRE!S103=0,"",NOVIEMBRE!S103)</f>
        <v/>
      </c>
      <c r="T103" s="649" t="str">
        <f>+IF(NOVIEMBRE!T103=0,"",NOVIEMBRE!T103)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c r="BQ103" s="562"/>
    </row>
    <row r="104" spans="1:70" s="467" customFormat="1" ht="15" x14ac:dyDescent="0.2">
      <c r="A104" s="33" t="str">
        <f>+IF(NOVIEMBRE!A104=0,"",NOVIEMBRE!A104)</f>
        <v>11303-5</v>
      </c>
      <c r="B104" s="59" t="str">
        <f>+IF(NOVIEMBRE!B104=0,"",NOVIEMBRE!B104)</f>
        <v>OTROS CONVENIOS</v>
      </c>
      <c r="C104" s="574">
        <f>+ENERO!C104</f>
        <v>0</v>
      </c>
      <c r="D104" s="574">
        <f>NOVIEMBRE!D104+DICIEMBRE!P104</f>
        <v>0</v>
      </c>
      <c r="E104" s="574">
        <f>NOVIEMBRE!E104+DICIEMBRE!Q104</f>
        <v>0</v>
      </c>
      <c r="F104" s="575">
        <f t="shared" si="102"/>
        <v>0</v>
      </c>
      <c r="G104" s="576">
        <f>NOVIEMBRE!I104</f>
        <v>0</v>
      </c>
      <c r="H104" s="457">
        <v>0</v>
      </c>
      <c r="I104" s="575">
        <f t="shared" si="103"/>
        <v>0</v>
      </c>
      <c r="J104" s="576">
        <f>NOVIEMBRE!L104</f>
        <v>0</v>
      </c>
      <c r="K104" s="457">
        <v>0</v>
      </c>
      <c r="L104" s="575">
        <f t="shared" si="104"/>
        <v>0</v>
      </c>
      <c r="M104" s="576">
        <f t="shared" si="105"/>
        <v>0</v>
      </c>
      <c r="N104" s="575">
        <f t="shared" si="106"/>
        <v>0</v>
      </c>
      <c r="O104" s="562"/>
      <c r="P104" s="455">
        <v>0</v>
      </c>
      <c r="Q104" s="458">
        <v>0</v>
      </c>
      <c r="R104" s="10"/>
      <c r="S104" s="34">
        <f>+IF(NOVIEMBRE!S104=0,"",NOVIEMBRE!S104)</f>
        <v>1020400</v>
      </c>
      <c r="T104" s="158" t="str">
        <f>+IF(NOVIEMBRE!T104=0,"",NOVIEMBRE!T104)</f>
        <v>Contribuciones Inherentes nómina del Sector Publico</v>
      </c>
      <c r="U104" s="157">
        <f t="shared" ref="U104:AJ104" si="107">U105+U108</f>
        <v>56393675</v>
      </c>
      <c r="V104" s="144">
        <f t="shared" si="107"/>
        <v>0</v>
      </c>
      <c r="W104" s="144">
        <f t="shared" si="107"/>
        <v>0</v>
      </c>
      <c r="X104" s="152">
        <f t="shared" si="107"/>
        <v>56393675</v>
      </c>
      <c r="Y104" s="151">
        <f t="shared" si="107"/>
        <v>43137028</v>
      </c>
      <c r="Z104" s="144">
        <f t="shared" si="107"/>
        <v>12000000</v>
      </c>
      <c r="AA104" s="152">
        <f t="shared" si="107"/>
        <v>55137028</v>
      </c>
      <c r="AB104" s="151">
        <f t="shared" si="107"/>
        <v>43137028</v>
      </c>
      <c r="AC104" s="144">
        <f t="shared" si="107"/>
        <v>12000000</v>
      </c>
      <c r="AD104" s="152">
        <f t="shared" si="107"/>
        <v>55137028</v>
      </c>
      <c r="AE104" s="151">
        <f t="shared" si="107"/>
        <v>39578228</v>
      </c>
      <c r="AF104" s="144">
        <f t="shared" si="107"/>
        <v>3558800</v>
      </c>
      <c r="AG104" s="152">
        <f t="shared" si="107"/>
        <v>43137028</v>
      </c>
      <c r="AH104" s="151">
        <f t="shared" si="107"/>
        <v>1256647</v>
      </c>
      <c r="AI104" s="144">
        <f t="shared" si="107"/>
        <v>1256647</v>
      </c>
      <c r="AJ104" s="153">
        <f t="shared" si="107"/>
        <v>13256647</v>
      </c>
      <c r="AK104" s="10"/>
      <c r="AL104" s="151">
        <f>AL105+AL108</f>
        <v>0</v>
      </c>
      <c r="AM104" s="153">
        <f>AM105+AM108</f>
        <v>0</v>
      </c>
      <c r="AN104" s="10"/>
      <c r="AO104" s="365"/>
      <c r="AP104" s="365"/>
      <c r="AQ104" s="365"/>
      <c r="AR104" s="365"/>
      <c r="AS104" s="365"/>
      <c r="AT104" s="365"/>
      <c r="AU104" s="365"/>
      <c r="AV104" s="365"/>
      <c r="AW104" s="365"/>
      <c r="AX104" s="365"/>
      <c r="AY104" s="365"/>
      <c r="AZ104" s="365"/>
      <c r="BQ104" s="562"/>
    </row>
    <row r="105" spans="1:70" s="467" customFormat="1" x14ac:dyDescent="0.2">
      <c r="A105" s="33" t="str">
        <f>+IF(NOVIEMBRE!A105=0,"",NOVIEMBRE!A105)</f>
        <v>11303-6</v>
      </c>
      <c r="B105" s="59" t="str">
        <f>+IF(NOVIEMBRE!B105=0,"",NOVIEMBRE!B105)</f>
        <v>APORTES PATRONALES MUNICIPIO / DEPARTAMENTO</v>
      </c>
      <c r="C105" s="574">
        <f>+ENERO!C105</f>
        <v>0</v>
      </c>
      <c r="D105" s="574">
        <f>NOVIEMBRE!D105+DICIEMBRE!P105</f>
        <v>227076373</v>
      </c>
      <c r="E105" s="574">
        <f>NOVIEMBRE!E105+DICIEMBRE!Q105</f>
        <v>25449068</v>
      </c>
      <c r="F105" s="575">
        <f t="shared" si="102"/>
        <v>252525441</v>
      </c>
      <c r="G105" s="576">
        <f>NOVIEMBRE!I105</f>
        <v>231481655</v>
      </c>
      <c r="H105" s="457">
        <v>21043786</v>
      </c>
      <c r="I105" s="575">
        <f t="shared" si="103"/>
        <v>252525441</v>
      </c>
      <c r="J105" s="576">
        <f>NOVIEMBRE!L105</f>
        <v>231481655</v>
      </c>
      <c r="K105" s="457">
        <v>21043786</v>
      </c>
      <c r="L105" s="575">
        <f t="shared" si="104"/>
        <v>252525441</v>
      </c>
      <c r="M105" s="576">
        <f t="shared" si="105"/>
        <v>0</v>
      </c>
      <c r="N105" s="575">
        <f t="shared" si="106"/>
        <v>0</v>
      </c>
      <c r="O105" s="562"/>
      <c r="P105" s="455">
        <v>0</v>
      </c>
      <c r="Q105" s="458">
        <v>0</v>
      </c>
      <c r="R105" s="10"/>
      <c r="S105" s="155">
        <f>+IF(NOVIEMBRE!S105=0,"",NOVIEMBRE!S105)</f>
        <v>1020402</v>
      </c>
      <c r="T105" s="159" t="str">
        <f>+IF(NOVIEMBRE!T105=0,"",NOVIEMBRE!T105)</f>
        <v>Contribuciones - Otros</v>
      </c>
      <c r="U105" s="29">
        <f t="shared" ref="U105:AJ105" si="108">SUM(U106:U107)</f>
        <v>56393675</v>
      </c>
      <c r="V105" s="17">
        <f t="shared" si="108"/>
        <v>0</v>
      </c>
      <c r="W105" s="17">
        <f t="shared" si="108"/>
        <v>0</v>
      </c>
      <c r="X105" s="20">
        <f t="shared" si="108"/>
        <v>56393675</v>
      </c>
      <c r="Y105" s="21">
        <f t="shared" si="108"/>
        <v>43137028</v>
      </c>
      <c r="Z105" s="169">
        <f t="shared" si="108"/>
        <v>12000000</v>
      </c>
      <c r="AA105" s="20">
        <f t="shared" si="108"/>
        <v>55137028</v>
      </c>
      <c r="AB105" s="21">
        <f t="shared" si="108"/>
        <v>43137028</v>
      </c>
      <c r="AC105" s="169">
        <f t="shared" si="108"/>
        <v>12000000</v>
      </c>
      <c r="AD105" s="20">
        <f t="shared" si="108"/>
        <v>55137028</v>
      </c>
      <c r="AE105" s="21">
        <f t="shared" si="108"/>
        <v>39578228</v>
      </c>
      <c r="AF105" s="169">
        <f t="shared" si="108"/>
        <v>3558800</v>
      </c>
      <c r="AG105" s="20">
        <f t="shared" si="108"/>
        <v>43137028</v>
      </c>
      <c r="AH105" s="21">
        <f t="shared" si="108"/>
        <v>1256647</v>
      </c>
      <c r="AI105" s="17">
        <f t="shared" si="108"/>
        <v>1256647</v>
      </c>
      <c r="AJ105" s="18">
        <f t="shared" si="108"/>
        <v>13256647</v>
      </c>
      <c r="AK105" s="12"/>
      <c r="AL105" s="31">
        <f>SUM(AL106:AL107)</f>
        <v>0</v>
      </c>
      <c r="AM105" s="28">
        <f>SUM(AM106:AM107)</f>
        <v>0</v>
      </c>
      <c r="AN105" s="10"/>
      <c r="AO105" s="365"/>
      <c r="AP105" s="365"/>
      <c r="AQ105" s="365"/>
      <c r="AR105" s="365"/>
      <c r="AS105" s="365"/>
      <c r="AT105" s="365"/>
      <c r="AU105" s="365"/>
      <c r="AV105" s="365"/>
      <c r="AW105" s="365"/>
      <c r="AX105" s="365"/>
      <c r="AY105" s="365"/>
      <c r="AZ105" s="365"/>
      <c r="BQ105" s="562"/>
    </row>
    <row r="106" spans="1:70" s="467" customFormat="1" ht="15.75" thickBot="1" x14ac:dyDescent="0.25">
      <c r="A106" s="577" t="str">
        <f>+IF(NOVIEMBRE!A106=0,"",NOVIEMBRE!A106)</f>
        <v>11303-5</v>
      </c>
      <c r="B106" s="578" t="str">
        <f>+IF(NOVIEMBRE!B106=0,"",NOVIEMBRE!B106)</f>
        <v>Vigencias Anteriores</v>
      </c>
      <c r="C106" s="564">
        <f>+ENERO!C106</f>
        <v>0</v>
      </c>
      <c r="D106" s="564">
        <f>NOVIEMBRE!D106+DICIEMBRE!P106</f>
        <v>0</v>
      </c>
      <c r="E106" s="564">
        <f>NOVIEMBRE!E106+DICIEMBRE!Q106</f>
        <v>0</v>
      </c>
      <c r="F106" s="565">
        <f t="shared" si="102"/>
        <v>0</v>
      </c>
      <c r="G106" s="566">
        <f>NOVIEMBRE!I106</f>
        <v>0</v>
      </c>
      <c r="H106" s="475">
        <v>0</v>
      </c>
      <c r="I106" s="565">
        <f t="shared" si="103"/>
        <v>0</v>
      </c>
      <c r="J106" s="566">
        <f>NOVIEMBRE!L106</f>
        <v>0</v>
      </c>
      <c r="K106" s="475">
        <v>0</v>
      </c>
      <c r="L106" s="565">
        <f t="shared" si="104"/>
        <v>0</v>
      </c>
      <c r="M106" s="566">
        <f t="shared" si="105"/>
        <v>0</v>
      </c>
      <c r="N106" s="565">
        <f t="shared" si="106"/>
        <v>0</v>
      </c>
      <c r="O106" s="562"/>
      <c r="P106" s="471">
        <v>0</v>
      </c>
      <c r="Q106" s="476">
        <v>0</v>
      </c>
      <c r="R106" s="10"/>
      <c r="S106" s="156" t="str">
        <f>+IF(NOVIEMBRE!S106=0,"",NOVIEMBRE!S106)</f>
        <v>1020402-1</v>
      </c>
      <c r="T106" s="55" t="str">
        <f>+IF(NOVIEMBRE!T106=0,"",NOVIEMBRE!T106)</f>
        <v>S.E.N.A.</v>
      </c>
      <c r="U106" s="29">
        <f>+ENERO!U106</f>
        <v>22557470</v>
      </c>
      <c r="V106" s="17">
        <f>NOVIEMBRE!V106+DICIEMBRE!AL106</f>
        <v>0</v>
      </c>
      <c r="W106" s="17">
        <f>NOVIEMBRE!W106+DICIEMBRE!AM106</f>
        <v>0</v>
      </c>
      <c r="X106" s="20">
        <f>SUM(U106:W106)</f>
        <v>22557470</v>
      </c>
      <c r="Y106" s="21">
        <f>NOVIEMBRE!AA106</f>
        <v>17304266</v>
      </c>
      <c r="Z106" s="457">
        <v>4000000</v>
      </c>
      <c r="AA106" s="20">
        <f>SUM(Y106:Z106)</f>
        <v>21304266</v>
      </c>
      <c r="AB106" s="21">
        <f>NOVIEMBRE!AD106</f>
        <v>17304266</v>
      </c>
      <c r="AC106" s="457">
        <v>4000000</v>
      </c>
      <c r="AD106" s="20">
        <f>SUM(AB106:AC106)</f>
        <v>21304266</v>
      </c>
      <c r="AE106" s="21">
        <f>NOVIEMBRE!AG106</f>
        <v>15880966</v>
      </c>
      <c r="AF106" s="457">
        <v>1423300</v>
      </c>
      <c r="AG106" s="20">
        <f>SUM(AE106:AF106)</f>
        <v>17304266</v>
      </c>
      <c r="AH106" s="21">
        <f>X106-AA106</f>
        <v>1253204</v>
      </c>
      <c r="AI106" s="17">
        <f>X106-AD106</f>
        <v>1253204</v>
      </c>
      <c r="AJ106" s="18">
        <f>X106-AG106</f>
        <v>5253204</v>
      </c>
      <c r="AK106" s="10"/>
      <c r="AL106" s="455">
        <v>0</v>
      </c>
      <c r="AM106" s="458">
        <v>0</v>
      </c>
      <c r="AN106" s="10"/>
      <c r="AO106" s="365"/>
      <c r="AP106" s="365"/>
      <c r="AQ106" s="365"/>
      <c r="AR106" s="365"/>
      <c r="AS106" s="365"/>
      <c r="AT106" s="365"/>
      <c r="AU106" s="365"/>
      <c r="AV106" s="365"/>
      <c r="AW106" s="365"/>
      <c r="AX106" s="365"/>
      <c r="AY106" s="365"/>
      <c r="AZ106" s="365"/>
      <c r="BQ106" s="562"/>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+IF(NOVIEMBRE!S107=0,"",NOVIEMBRE!S107)</f>
        <v>1020402-2</v>
      </c>
      <c r="T107" s="55" t="str">
        <f>+IF(NOVIEMBRE!T107=0,"",NOVIEMBRE!T107)</f>
        <v>I.C.B.F.</v>
      </c>
      <c r="U107" s="29">
        <f>+ENERO!U107</f>
        <v>33836205</v>
      </c>
      <c r="V107" s="17">
        <f>NOVIEMBRE!V107+DICIEMBRE!AL107</f>
        <v>0</v>
      </c>
      <c r="W107" s="17">
        <f>NOVIEMBRE!W107+DICIEMBRE!AM107</f>
        <v>0</v>
      </c>
      <c r="X107" s="20">
        <f>SUM(U107:W107)</f>
        <v>33836205</v>
      </c>
      <c r="Y107" s="21">
        <f>NOVIEMBRE!AA107</f>
        <v>25832762</v>
      </c>
      <c r="Z107" s="457">
        <v>8000000</v>
      </c>
      <c r="AA107" s="20">
        <f>SUM(Y107:Z107)</f>
        <v>33832762</v>
      </c>
      <c r="AB107" s="21">
        <f>NOVIEMBRE!AD107</f>
        <v>25832762</v>
      </c>
      <c r="AC107" s="457">
        <v>8000000</v>
      </c>
      <c r="AD107" s="20">
        <f>SUM(AB107:AC107)</f>
        <v>33832762</v>
      </c>
      <c r="AE107" s="21">
        <f>NOVIEMBRE!AG107</f>
        <v>23697262</v>
      </c>
      <c r="AF107" s="457">
        <v>2135500</v>
      </c>
      <c r="AG107" s="20">
        <f>SUM(AE107:AF107)</f>
        <v>25832762</v>
      </c>
      <c r="AH107" s="21">
        <f>X107-AA107</f>
        <v>3443</v>
      </c>
      <c r="AI107" s="17">
        <f>X107-AD107</f>
        <v>3443</v>
      </c>
      <c r="AJ107" s="18">
        <f>X107-AG107</f>
        <v>8003443</v>
      </c>
      <c r="AK107" s="10"/>
      <c r="AL107" s="455">
        <v>0</v>
      </c>
      <c r="AM107" s="458">
        <v>0</v>
      </c>
      <c r="AN107" s="10"/>
      <c r="AO107" s="365"/>
      <c r="AP107" s="365"/>
      <c r="AQ107" s="365"/>
      <c r="AR107" s="365"/>
      <c r="AS107" s="365"/>
      <c r="AT107" s="365"/>
      <c r="AU107" s="365"/>
      <c r="AV107" s="365"/>
      <c r="AW107" s="365"/>
      <c r="AX107" s="365"/>
      <c r="AY107" s="365"/>
      <c r="AZ107" s="365"/>
      <c r="BQ107" s="562"/>
    </row>
    <row r="108" spans="1:70" s="467" customFormat="1" ht="16.5" x14ac:dyDescent="0.2">
      <c r="A108" s="433">
        <f>+IF(NOVIEMBRE!A108=0,"",NOVIEMBRE!A108)</f>
        <v>2000</v>
      </c>
      <c r="B108" s="439" t="str">
        <f>+IF(NOVIEMBRE!B108=0,"",NOVIEMBRE!B108)</f>
        <v>INGRESOS DE CAPITAL</v>
      </c>
      <c r="C108" s="215">
        <f t="shared" ref="C108:N108" si="109">SUM(C109:C117)</f>
        <v>1452387</v>
      </c>
      <c r="D108" s="435">
        <f t="shared" si="109"/>
        <v>0</v>
      </c>
      <c r="E108" s="435">
        <f t="shared" si="109"/>
        <v>149110140</v>
      </c>
      <c r="F108" s="216">
        <f t="shared" si="109"/>
        <v>150562527</v>
      </c>
      <c r="G108" s="215">
        <f t="shared" si="109"/>
        <v>146471456</v>
      </c>
      <c r="H108" s="435">
        <f t="shared" si="109"/>
        <v>649903</v>
      </c>
      <c r="I108" s="216">
        <f t="shared" si="109"/>
        <v>147121359</v>
      </c>
      <c r="J108" s="215">
        <f t="shared" si="109"/>
        <v>146471458</v>
      </c>
      <c r="K108" s="435">
        <f t="shared" si="109"/>
        <v>649901</v>
      </c>
      <c r="L108" s="216">
        <f t="shared" si="109"/>
        <v>147121359</v>
      </c>
      <c r="M108" s="215">
        <f t="shared" si="109"/>
        <v>3441168</v>
      </c>
      <c r="N108" s="216">
        <f t="shared" si="109"/>
        <v>3441168</v>
      </c>
      <c r="O108" s="562"/>
      <c r="P108" s="215">
        <f>SUM(P109:P117)</f>
        <v>0</v>
      </c>
      <c r="Q108" s="216">
        <f>SUM(Q109:Q117)</f>
        <v>0</v>
      </c>
      <c r="R108" s="10"/>
      <c r="S108" s="155">
        <f>+IF(NOVIEMBRE!S108=0,"",NOVIEMBRE!S108)</f>
        <v>1020499</v>
      </c>
      <c r="T108" s="159" t="str">
        <f>+IF(NOVIEMBRE!T108=0,"",NOVIEMBRE!T108)</f>
        <v>Vigencias Anteriores</v>
      </c>
      <c r="U108" s="29">
        <f>+ENERO!U108</f>
        <v>0</v>
      </c>
      <c r="V108" s="17">
        <f>NOVIEMBRE!V108+DICIEMBRE!AL108</f>
        <v>0</v>
      </c>
      <c r="W108" s="17">
        <f>NOVIEMBRE!W108+DICIEMBRE!AM108</f>
        <v>0</v>
      </c>
      <c r="X108" s="20">
        <f>SUM(U108:W108)</f>
        <v>0</v>
      </c>
      <c r="Y108" s="21">
        <f>NOVIEMBRE!AA108</f>
        <v>0</v>
      </c>
      <c r="Z108" s="457">
        <v>0</v>
      </c>
      <c r="AA108" s="20">
        <f>SUM(Y108:Z108)</f>
        <v>0</v>
      </c>
      <c r="AB108" s="21">
        <f>NOVIEMBRE!AD108</f>
        <v>0</v>
      </c>
      <c r="AC108" s="457">
        <v>0</v>
      </c>
      <c r="AD108" s="20">
        <f>SUM(AB108:AC108)</f>
        <v>0</v>
      </c>
      <c r="AE108" s="21">
        <f>NOVIEMBRE!AG108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c r="BQ108" s="562"/>
    </row>
    <row r="109" spans="1:70" s="467" customFormat="1" ht="15.75" x14ac:dyDescent="0.2">
      <c r="A109" s="47">
        <f>+IF(NOVIEMBRE!A109=0,"",NOVIEMBRE!A109)</f>
        <v>2100</v>
      </c>
      <c r="B109" s="56" t="str">
        <f>+IF(NOVIEMBRE!B109=0,"",NOVIEMBRE!B109)</f>
        <v>CREDITO INTERNO</v>
      </c>
      <c r="C109" s="576">
        <f>+ENERO!C109</f>
        <v>0</v>
      </c>
      <c r="D109" s="574">
        <f>NOVIEMBRE!D109+DICIEMBRE!P109</f>
        <v>0</v>
      </c>
      <c r="E109" s="574">
        <f>NOVIEMBRE!E109+DICIEMBRE!Q109</f>
        <v>0</v>
      </c>
      <c r="F109" s="575">
        <f t="shared" ref="F109:F116" si="110">SUM(C109:E109)</f>
        <v>0</v>
      </c>
      <c r="G109" s="576">
        <f>NOVIEMBRE!I109</f>
        <v>0</v>
      </c>
      <c r="H109" s="457">
        <v>0</v>
      </c>
      <c r="I109" s="575">
        <f t="shared" ref="I109:I116" si="111">SUM(G109:H109)</f>
        <v>0</v>
      </c>
      <c r="J109" s="576">
        <f>NOVIEMBRE!L109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+IF(NOVIEMBRE!S109=0,"",NOVIEMBRE!S109)</f>
        <v/>
      </c>
      <c r="T109" s="649" t="str">
        <f>+IF(NOVIEMBRE!T109=0,"",NOVIEMBRE!T109)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c r="BQ109" s="562"/>
    </row>
    <row r="110" spans="1:70" s="467" customFormat="1" ht="15.75" x14ac:dyDescent="0.2">
      <c r="A110" s="586" t="str">
        <f>+IF(NOVIEMBRE!A110=0,"",NOVIEMBRE!A110)</f>
        <v>2100-1</v>
      </c>
      <c r="B110" s="563" t="s">
        <v>482</v>
      </c>
      <c r="C110" s="576">
        <f>+ENERO!C110</f>
        <v>0</v>
      </c>
      <c r="D110" s="574">
        <f>NOVIEMBRE!D110+DICIEMBRE!P110</f>
        <v>0</v>
      </c>
      <c r="E110" s="574">
        <f>NOVIEMBRE!E110+DICIEMBRE!Q110</f>
        <v>0</v>
      </c>
      <c r="F110" s="575">
        <f t="shared" si="110"/>
        <v>0</v>
      </c>
      <c r="G110" s="576">
        <f>NOVIEMBRE!I110</f>
        <v>0</v>
      </c>
      <c r="H110" s="457">
        <v>0</v>
      </c>
      <c r="I110" s="575">
        <f t="shared" si="111"/>
        <v>0</v>
      </c>
      <c r="J110" s="576">
        <f>NOVIEMBRE!L110</f>
        <v>0</v>
      </c>
      <c r="K110" s="457">
        <v>0</v>
      </c>
      <c r="L110" s="575">
        <f t="shared" si="112"/>
        <v>0</v>
      </c>
      <c r="M110" s="576">
        <f t="shared" si="113"/>
        <v>0</v>
      </c>
      <c r="N110" s="575">
        <f t="shared" si="114"/>
        <v>0</v>
      </c>
      <c r="O110" s="562"/>
      <c r="P110" s="455">
        <v>0</v>
      </c>
      <c r="Q110" s="458">
        <v>0</v>
      </c>
      <c r="R110" s="10"/>
      <c r="S110" s="469">
        <f>+IF(NOVIEMBRE!S110=0,"",NOVIEMBRE!S110)</f>
        <v>2000000</v>
      </c>
      <c r="T110" s="588" t="str">
        <f>+IF(NOVIEMBRE!T110=0,"",NOVIEMBRE!T110)</f>
        <v>GASTOS GENERALES</v>
      </c>
      <c r="U110" s="589">
        <f t="shared" ref="U110:AJ110" si="115">U112+U145</f>
        <v>576550123</v>
      </c>
      <c r="V110" s="590">
        <f t="shared" si="115"/>
        <v>-746499</v>
      </c>
      <c r="W110" s="590">
        <f t="shared" si="115"/>
        <v>193151005</v>
      </c>
      <c r="X110" s="591">
        <f t="shared" si="115"/>
        <v>768954629</v>
      </c>
      <c r="Y110" s="464">
        <f t="shared" si="115"/>
        <v>609429854</v>
      </c>
      <c r="Z110" s="590">
        <f t="shared" si="115"/>
        <v>70419243</v>
      </c>
      <c r="AA110" s="591">
        <f t="shared" si="115"/>
        <v>679849097</v>
      </c>
      <c r="AB110" s="464">
        <f t="shared" si="115"/>
        <v>609154851</v>
      </c>
      <c r="AC110" s="590">
        <f t="shared" si="115"/>
        <v>70694246</v>
      </c>
      <c r="AD110" s="591">
        <f t="shared" si="115"/>
        <v>679849097</v>
      </c>
      <c r="AE110" s="464">
        <f t="shared" si="115"/>
        <v>558850792</v>
      </c>
      <c r="AF110" s="590">
        <f t="shared" si="115"/>
        <v>53351550</v>
      </c>
      <c r="AG110" s="591">
        <f t="shared" si="115"/>
        <v>612202342</v>
      </c>
      <c r="AH110" s="464">
        <f t="shared" si="115"/>
        <v>89105532</v>
      </c>
      <c r="AI110" s="590">
        <f t="shared" si="115"/>
        <v>89105532</v>
      </c>
      <c r="AJ110" s="465">
        <f t="shared" si="115"/>
        <v>156752287</v>
      </c>
      <c r="AK110" s="12"/>
      <c r="AL110" s="151">
        <f>AL112+AL145</f>
        <v>0</v>
      </c>
      <c r="AM110" s="153">
        <f>AM112+AM145</f>
        <v>0</v>
      </c>
      <c r="AN110" s="10"/>
      <c r="AO110" s="365"/>
      <c r="AP110" s="365"/>
      <c r="AQ110" s="365"/>
      <c r="AR110" s="365"/>
      <c r="AS110" s="365"/>
      <c r="AT110" s="365"/>
      <c r="AU110" s="365"/>
      <c r="AV110" s="365"/>
      <c r="AW110" s="365"/>
      <c r="AX110" s="365"/>
      <c r="AY110" s="365"/>
      <c r="AZ110" s="365"/>
      <c r="BQ110" s="562"/>
    </row>
    <row r="111" spans="1:70" s="467" customFormat="1" ht="15.75" x14ac:dyDescent="0.2">
      <c r="A111" s="47">
        <f>+IF(NOVIEMBRE!A111=0,"",NOVIEMBRE!A111)</f>
        <v>2200</v>
      </c>
      <c r="B111" s="56" t="str">
        <f>+IF(NOVIEMBRE!B111=0,"",NOVIEMBRE!B111)</f>
        <v>CREDITO EXTERNO</v>
      </c>
      <c r="C111" s="576">
        <f>+ENERO!C111</f>
        <v>0</v>
      </c>
      <c r="D111" s="574">
        <f>NOVIEMBRE!D111+DICIEMBRE!P111</f>
        <v>0</v>
      </c>
      <c r="E111" s="574">
        <f>NOVIEMBRE!E111+DICIEMBRE!Q111</f>
        <v>0</v>
      </c>
      <c r="F111" s="575">
        <f t="shared" si="110"/>
        <v>0</v>
      </c>
      <c r="G111" s="576">
        <f>NOVIEMBRE!I111</f>
        <v>0</v>
      </c>
      <c r="H111" s="457">
        <v>0</v>
      </c>
      <c r="I111" s="575">
        <f t="shared" si="111"/>
        <v>0</v>
      </c>
      <c r="J111" s="576">
        <f>NOVIEMBRE!L111</f>
        <v>0</v>
      </c>
      <c r="K111" s="457">
        <v>0</v>
      </c>
      <c r="L111" s="575">
        <f t="shared" si="112"/>
        <v>0</v>
      </c>
      <c r="M111" s="576">
        <f t="shared" si="113"/>
        <v>0</v>
      </c>
      <c r="N111" s="575">
        <f t="shared" si="114"/>
        <v>0</v>
      </c>
      <c r="O111" s="562"/>
      <c r="P111" s="455">
        <v>0</v>
      </c>
      <c r="Q111" s="458">
        <v>0</v>
      </c>
      <c r="R111" s="10"/>
      <c r="S111" s="448" t="str">
        <f>+IF(NOVIEMBRE!S111=0,"",NOVIEMBRE!S111)</f>
        <v/>
      </c>
      <c r="T111" s="649" t="str">
        <f>+IF(NOVIEMBRE!T111=0,"",NOVIEMBRE!T111)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c r="BQ111" s="562"/>
    </row>
    <row r="112" spans="1:70" s="467" customFormat="1" ht="15.75" x14ac:dyDescent="0.2">
      <c r="A112" s="592" t="str">
        <f>+IF(NOVIEMBRE!A112=0,"",NOVIEMBRE!A112)</f>
        <v>2200-1</v>
      </c>
      <c r="B112" s="563" t="s">
        <v>482</v>
      </c>
      <c r="C112" s="576">
        <f>+ENERO!C112</f>
        <v>0</v>
      </c>
      <c r="D112" s="574">
        <f>NOVIEMBRE!D112+DICIEMBRE!P112</f>
        <v>0</v>
      </c>
      <c r="E112" s="574">
        <f>NOVIEMBRE!E112+DICIEMBRE!Q112</f>
        <v>0</v>
      </c>
      <c r="F112" s="575">
        <f t="shared" si="110"/>
        <v>0</v>
      </c>
      <c r="G112" s="576">
        <f>NOVIEMBRE!I112</f>
        <v>0</v>
      </c>
      <c r="H112" s="457">
        <v>0</v>
      </c>
      <c r="I112" s="575">
        <f t="shared" si="111"/>
        <v>0</v>
      </c>
      <c r="J112" s="576">
        <f>NOVIEMBRE!L112</f>
        <v>0</v>
      </c>
      <c r="K112" s="457">
        <v>0</v>
      </c>
      <c r="L112" s="575">
        <f t="shared" si="112"/>
        <v>0</v>
      </c>
      <c r="M112" s="576">
        <f t="shared" si="113"/>
        <v>0</v>
      </c>
      <c r="N112" s="575">
        <f t="shared" si="114"/>
        <v>0</v>
      </c>
      <c r="O112" s="562"/>
      <c r="P112" s="455">
        <v>0</v>
      </c>
      <c r="Q112" s="458">
        <v>0</v>
      </c>
      <c r="R112" s="10"/>
      <c r="S112" s="469">
        <f>+IF(NOVIEMBRE!S112=0,"",NOVIEMBRE!S112)</f>
        <v>2010000</v>
      </c>
      <c r="T112" s="470" t="str">
        <f>+IF(NOVIEMBRE!T112=0,"",NOVIEMBRE!T112)</f>
        <v>Gastos de Administración</v>
      </c>
      <c r="U112" s="157">
        <f t="shared" ref="U112:AJ112" si="116">U114+U123+U141</f>
        <v>198386660</v>
      </c>
      <c r="V112" s="144">
        <f t="shared" si="116"/>
        <v>0</v>
      </c>
      <c r="W112" s="144">
        <f t="shared" si="116"/>
        <v>55963473</v>
      </c>
      <c r="X112" s="152">
        <f t="shared" si="116"/>
        <v>254350133</v>
      </c>
      <c r="Y112" s="151">
        <f t="shared" si="116"/>
        <v>207569013</v>
      </c>
      <c r="Z112" s="144">
        <f t="shared" si="116"/>
        <v>20734548</v>
      </c>
      <c r="AA112" s="152">
        <f t="shared" si="116"/>
        <v>228303561</v>
      </c>
      <c r="AB112" s="151">
        <f t="shared" si="116"/>
        <v>207569011</v>
      </c>
      <c r="AC112" s="144">
        <f t="shared" si="116"/>
        <v>20734550</v>
      </c>
      <c r="AD112" s="152">
        <f t="shared" si="116"/>
        <v>228303561</v>
      </c>
      <c r="AE112" s="151">
        <f t="shared" si="116"/>
        <v>202961796</v>
      </c>
      <c r="AF112" s="144">
        <f t="shared" si="116"/>
        <v>14761582</v>
      </c>
      <c r="AG112" s="152">
        <f t="shared" si="116"/>
        <v>217723378</v>
      </c>
      <c r="AH112" s="151">
        <f t="shared" si="116"/>
        <v>26046572</v>
      </c>
      <c r="AI112" s="144">
        <f t="shared" si="116"/>
        <v>26046572</v>
      </c>
      <c r="AJ112" s="153">
        <f t="shared" si="116"/>
        <v>36626755</v>
      </c>
      <c r="AK112" s="10"/>
      <c r="AL112" s="151">
        <f>AL114+AL123+AL141</f>
        <v>0</v>
      </c>
      <c r="AM112" s="153">
        <f>AM114+AM123+AM141</f>
        <v>0</v>
      </c>
      <c r="AN112" s="10"/>
      <c r="AO112" s="365"/>
      <c r="AP112" s="365"/>
      <c r="AQ112" s="365"/>
      <c r="AR112" s="365"/>
      <c r="AS112" s="365"/>
      <c r="AT112" s="365"/>
      <c r="AU112" s="365"/>
      <c r="AV112" s="365"/>
      <c r="AW112" s="365"/>
      <c r="AX112" s="365"/>
      <c r="AY112" s="365"/>
      <c r="AZ112" s="365"/>
      <c r="BQ112" s="562"/>
    </row>
    <row r="113" spans="1:69" s="467" customFormat="1" ht="15.75" x14ac:dyDescent="0.2">
      <c r="A113" s="47">
        <f>+IF(NOVIEMBRE!A113=0,"",NOVIEMBRE!A113)</f>
        <v>2300</v>
      </c>
      <c r="B113" s="56" t="str">
        <f>+IF(NOVIEMBRE!B113=0,"",NOVIEMBRE!B113)</f>
        <v>RENDIMIENTOS FINANCIEROS</v>
      </c>
      <c r="C113" s="576">
        <f>+ENERO!C113</f>
        <v>305317</v>
      </c>
      <c r="D113" s="574">
        <f>NOVIEMBRE!D113+DICIEMBRE!P113</f>
        <v>0</v>
      </c>
      <c r="E113" s="574">
        <f>NOVIEMBRE!E113+DICIEMBRE!Q113</f>
        <v>0</v>
      </c>
      <c r="F113" s="575">
        <f t="shared" si="110"/>
        <v>305317</v>
      </c>
      <c r="G113" s="576">
        <f>NOVIEMBRE!I113</f>
        <v>736736</v>
      </c>
      <c r="H113" s="457">
        <v>195560</v>
      </c>
      <c r="I113" s="575">
        <f t="shared" si="111"/>
        <v>932296</v>
      </c>
      <c r="J113" s="576">
        <f>NOVIEMBRE!L113</f>
        <v>736738</v>
      </c>
      <c r="K113" s="457">
        <v>195558</v>
      </c>
      <c r="L113" s="575">
        <f t="shared" si="112"/>
        <v>932296</v>
      </c>
      <c r="M113" s="576">
        <f t="shared" si="113"/>
        <v>-626979</v>
      </c>
      <c r="N113" s="575">
        <f t="shared" si="114"/>
        <v>-626979</v>
      </c>
      <c r="O113" s="562"/>
      <c r="P113" s="455">
        <v>0</v>
      </c>
      <c r="Q113" s="458">
        <v>0</v>
      </c>
      <c r="R113" s="10"/>
      <c r="S113" s="448" t="str">
        <f>+IF(NOVIEMBRE!S113=0,"",NOVIEMBRE!S113)</f>
        <v/>
      </c>
      <c r="T113" s="649" t="str">
        <f>+IF(NOVIEMBRE!T113=0,"",NOVIEMBRE!T113)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c r="BQ113" s="562"/>
    </row>
    <row r="114" spans="1:69" s="467" customFormat="1" ht="15" x14ac:dyDescent="0.2">
      <c r="A114" s="48">
        <f>+IF(NOVIEMBRE!A114=0,"",NOVIEMBRE!A114)</f>
        <v>2400</v>
      </c>
      <c r="B114" s="55" t="str">
        <f>+IF(NOVIEMBRE!B114=0,"",NOVIEMBRE!B114)</f>
        <v>VENTA DE ACTIVOS</v>
      </c>
      <c r="C114" s="283">
        <f>+ENERO!C114</f>
        <v>0</v>
      </c>
      <c r="D114" s="456">
        <f>NOVIEMBRE!D114+DICIEMBRE!P114</f>
        <v>0</v>
      </c>
      <c r="E114" s="456">
        <f>NOVIEMBRE!E114+DICIEMBRE!Q114</f>
        <v>0</v>
      </c>
      <c r="F114" s="170">
        <f t="shared" si="110"/>
        <v>0</v>
      </c>
      <c r="G114" s="283">
        <f>NOVIEMBRE!I114</f>
        <v>0</v>
      </c>
      <c r="H114" s="457">
        <v>0</v>
      </c>
      <c r="I114" s="170">
        <f t="shared" si="111"/>
        <v>0</v>
      </c>
      <c r="J114" s="283">
        <f>NOVIEMBRE!L114</f>
        <v>0</v>
      </c>
      <c r="K114" s="457">
        <v>0</v>
      </c>
      <c r="L114" s="170">
        <f t="shared" si="112"/>
        <v>0</v>
      </c>
      <c r="M114" s="283">
        <f t="shared" si="113"/>
        <v>0</v>
      </c>
      <c r="N114" s="170">
        <f t="shared" si="114"/>
        <v>0</v>
      </c>
      <c r="O114" s="562"/>
      <c r="P114" s="455">
        <v>0</v>
      </c>
      <c r="Q114" s="458">
        <v>0</v>
      </c>
      <c r="R114" s="10"/>
      <c r="S114" s="34">
        <f>+IF(NOVIEMBRE!S114=0,"",NOVIEMBRE!S114)</f>
        <v>2010100</v>
      </c>
      <c r="T114" s="158" t="str">
        <f>+IF(NOVIEMBRE!T114=0,"",NOVIEMBRE!T114)</f>
        <v>Adquisición de bienes</v>
      </c>
      <c r="U114" s="157">
        <f t="shared" ref="U114:AJ114" si="117">SUM(U115:U121)</f>
        <v>67419307</v>
      </c>
      <c r="V114" s="144">
        <f t="shared" si="117"/>
        <v>0</v>
      </c>
      <c r="W114" s="144">
        <f t="shared" si="117"/>
        <v>18897432</v>
      </c>
      <c r="X114" s="152">
        <f t="shared" si="117"/>
        <v>86316739</v>
      </c>
      <c r="Y114" s="151">
        <f t="shared" si="117"/>
        <v>79539853</v>
      </c>
      <c r="Z114" s="144">
        <f t="shared" si="117"/>
        <v>4578413</v>
      </c>
      <c r="AA114" s="152">
        <f t="shared" si="117"/>
        <v>84118266</v>
      </c>
      <c r="AB114" s="151">
        <f t="shared" si="117"/>
        <v>79539851</v>
      </c>
      <c r="AC114" s="144">
        <f t="shared" si="117"/>
        <v>4578415</v>
      </c>
      <c r="AD114" s="152">
        <f t="shared" si="117"/>
        <v>84118266</v>
      </c>
      <c r="AE114" s="151">
        <f t="shared" si="117"/>
        <v>77318192</v>
      </c>
      <c r="AF114" s="144">
        <f t="shared" si="117"/>
        <v>2467799</v>
      </c>
      <c r="AG114" s="152">
        <f t="shared" si="117"/>
        <v>79785991</v>
      </c>
      <c r="AH114" s="151">
        <f t="shared" si="117"/>
        <v>2198473</v>
      </c>
      <c r="AI114" s="144">
        <f t="shared" si="117"/>
        <v>2198473</v>
      </c>
      <c r="AJ114" s="153">
        <f t="shared" si="117"/>
        <v>6530748</v>
      </c>
      <c r="AK114" s="10"/>
      <c r="AL114" s="151">
        <f>SUM(AL115:AL121)</f>
        <v>0</v>
      </c>
      <c r="AM114" s="153">
        <f>SUM(AM115:AM121)</f>
        <v>0</v>
      </c>
      <c r="AN114" s="10"/>
      <c r="AO114" s="365"/>
      <c r="AP114" s="365"/>
      <c r="AQ114" s="365"/>
      <c r="AR114" s="365"/>
      <c r="AS114" s="365"/>
      <c r="AT114" s="365"/>
      <c r="AU114" s="365"/>
      <c r="AV114" s="365"/>
      <c r="AW114" s="365"/>
      <c r="AX114" s="365"/>
      <c r="AY114" s="365"/>
      <c r="AZ114" s="365"/>
      <c r="BQ114" s="562"/>
    </row>
    <row r="115" spans="1:69" s="467" customFormat="1" x14ac:dyDescent="0.2">
      <c r="A115" s="48">
        <f>+IF(NOVIEMBRE!A115=0,"",NOVIEMBRE!A115)</f>
        <v>2500</v>
      </c>
      <c r="B115" s="55" t="str">
        <f>+IF(NOVIEMBRE!B115=0,"",NOVIEMBRE!B115)</f>
        <v>DONACIONES</v>
      </c>
      <c r="C115" s="283">
        <f>+ENERO!C115</f>
        <v>0</v>
      </c>
      <c r="D115" s="456">
        <f>NOVIEMBRE!D115+DICIEMBRE!P115</f>
        <v>0</v>
      </c>
      <c r="E115" s="456">
        <f>NOVIEMBRE!E115+DICIEMBRE!Q115</f>
        <v>0</v>
      </c>
      <c r="F115" s="170">
        <f t="shared" si="110"/>
        <v>0</v>
      </c>
      <c r="G115" s="283">
        <f>NOVIEMBRE!I115</f>
        <v>0</v>
      </c>
      <c r="H115" s="457">
        <v>0</v>
      </c>
      <c r="I115" s="170">
        <f t="shared" si="111"/>
        <v>0</v>
      </c>
      <c r="J115" s="283">
        <f>NOVIEMBRE!L115</f>
        <v>0</v>
      </c>
      <c r="K115" s="457">
        <v>0</v>
      </c>
      <c r="L115" s="170">
        <f t="shared" si="112"/>
        <v>0</v>
      </c>
      <c r="M115" s="283">
        <f t="shared" si="113"/>
        <v>0</v>
      </c>
      <c r="N115" s="170">
        <f t="shared" si="114"/>
        <v>0</v>
      </c>
      <c r="P115" s="455">
        <v>0</v>
      </c>
      <c r="Q115" s="458">
        <v>0</v>
      </c>
      <c r="R115" s="10"/>
      <c r="S115" s="155" t="str">
        <f>+IF(NOVIEMBRE!S115=0,"",NOVIEMBRE!S115)</f>
        <v>2010100-1</v>
      </c>
      <c r="T115" s="159" t="str">
        <f>+IF(NOVIEMBRE!T115=0,"",NOVIEMBRE!T115)</f>
        <v>Compra de Equipos</v>
      </c>
      <c r="U115" s="29">
        <f>+ENERO!U115</f>
        <v>42018487</v>
      </c>
      <c r="V115" s="17">
        <f>NOVIEMBRE!V115+DICIEMBRE!AL115</f>
        <v>0</v>
      </c>
      <c r="W115" s="17">
        <f>NOVIEMBRE!W115+DICIEMBRE!AM115</f>
        <v>10000000</v>
      </c>
      <c r="X115" s="20">
        <f t="shared" ref="X115:X121" si="118">SUM(U115:W115)</f>
        <v>52018487</v>
      </c>
      <c r="Y115" s="21">
        <f>NOVIEMBRE!AA115</f>
        <v>50900741</v>
      </c>
      <c r="Z115" s="457">
        <v>0</v>
      </c>
      <c r="AA115" s="20">
        <f t="shared" ref="AA115:AA121" si="119">SUM(Y115:Z115)</f>
        <v>50900741</v>
      </c>
      <c r="AB115" s="21">
        <f>NOVIEMBRE!AD115</f>
        <v>50900741</v>
      </c>
      <c r="AC115" s="457">
        <v>0</v>
      </c>
      <c r="AD115" s="20">
        <f t="shared" ref="AD115:AD121" si="120">SUM(AB115:AC115)</f>
        <v>50900741</v>
      </c>
      <c r="AE115" s="21">
        <f>NOVIEMBRE!AG115</f>
        <v>50250742</v>
      </c>
      <c r="AF115" s="457">
        <v>649999</v>
      </c>
      <c r="AG115" s="20">
        <f t="shared" ref="AG115:AG121" si="121">SUM(AE115:AF115)</f>
        <v>50900741</v>
      </c>
      <c r="AH115" s="21">
        <f t="shared" ref="AH115:AH121" si="122">X115-AA115</f>
        <v>1117746</v>
      </c>
      <c r="AI115" s="17">
        <f t="shared" ref="AI115:AI121" si="123">X115-AD115</f>
        <v>1117746</v>
      </c>
      <c r="AJ115" s="18">
        <f t="shared" ref="AJ115:AJ121" si="124">X115-AG115</f>
        <v>1117746</v>
      </c>
      <c r="AK115" s="10"/>
      <c r="AL115" s="455">
        <v>0</v>
      </c>
      <c r="AM115" s="458">
        <v>0</v>
      </c>
      <c r="AN115" s="10"/>
      <c r="AO115" s="365"/>
      <c r="AP115" s="365"/>
      <c r="AQ115" s="365"/>
      <c r="AR115" s="365"/>
      <c r="AS115" s="365"/>
      <c r="AT115" s="365"/>
      <c r="AU115" s="365"/>
      <c r="AV115" s="365"/>
      <c r="AW115" s="365"/>
      <c r="AX115" s="365"/>
      <c r="AY115" s="365"/>
      <c r="AZ115" s="365"/>
      <c r="BQ115" s="562"/>
    </row>
    <row r="116" spans="1:69" s="467" customFormat="1" x14ac:dyDescent="0.2">
      <c r="A116" s="48">
        <f>+IF(NOVIEMBRE!A116=0,"",NOVIEMBRE!A116)</f>
        <v>2600</v>
      </c>
      <c r="B116" s="55" t="str">
        <f>+IF(NOVIEMBRE!B116=0,"",NOVIEMBRE!B116)</f>
        <v>RECUPERACIÓN DE CARTERA (AÑO 2012 Y ANTERIORES)</v>
      </c>
      <c r="C116" s="283">
        <f>+ENERO!C116</f>
        <v>1147070</v>
      </c>
      <c r="D116" s="456">
        <f>NOVIEMBRE!D116+DICIEMBRE!P116</f>
        <v>0</v>
      </c>
      <c r="E116" s="456">
        <f>NOVIEMBRE!E116+DICIEMBRE!Q116</f>
        <v>0</v>
      </c>
      <c r="F116" s="170">
        <f t="shared" si="110"/>
        <v>1147070</v>
      </c>
      <c r="G116" s="283">
        <f>NOVIEMBRE!I116</f>
        <v>3334537</v>
      </c>
      <c r="H116" s="457">
        <v>454343</v>
      </c>
      <c r="I116" s="170">
        <f t="shared" si="111"/>
        <v>3788880</v>
      </c>
      <c r="J116" s="283">
        <f>NOVIEMBRE!L116</f>
        <v>3334537</v>
      </c>
      <c r="K116" s="457">
        <v>454343</v>
      </c>
      <c r="L116" s="170">
        <f t="shared" si="112"/>
        <v>3788880</v>
      </c>
      <c r="M116" s="283">
        <f t="shared" si="113"/>
        <v>-2641810</v>
      </c>
      <c r="N116" s="170">
        <f t="shared" si="114"/>
        <v>-2641810</v>
      </c>
      <c r="P116" s="455">
        <v>0</v>
      </c>
      <c r="Q116" s="458">
        <v>0</v>
      </c>
      <c r="R116" s="10"/>
      <c r="S116" s="155" t="str">
        <f>+IF(NOVIEMBRE!S116=0,"",NOVIEMBRE!S116)</f>
        <v>2010100-2</v>
      </c>
      <c r="T116" s="159" t="str">
        <f>+IF(NOVIEMBRE!T116=0,"",NOVIEMBRE!T116)</f>
        <v>Materiales</v>
      </c>
      <c r="U116" s="29">
        <f>+ENERO!U116</f>
        <v>23400820</v>
      </c>
      <c r="V116" s="17">
        <f>NOVIEMBRE!V116+DICIEMBRE!AL116</f>
        <v>0</v>
      </c>
      <c r="W116" s="17">
        <f>NOVIEMBRE!W116+DICIEMBRE!AM116</f>
        <v>7500000</v>
      </c>
      <c r="X116" s="20">
        <f t="shared" si="118"/>
        <v>30900820</v>
      </c>
      <c r="Y116" s="21">
        <f>NOVIEMBRE!AA116</f>
        <v>25242680</v>
      </c>
      <c r="Z116" s="457">
        <v>4578413</v>
      </c>
      <c r="AA116" s="20">
        <f t="shared" si="119"/>
        <v>29821093</v>
      </c>
      <c r="AB116" s="21">
        <f>NOVIEMBRE!AD116</f>
        <v>25242678</v>
      </c>
      <c r="AC116" s="457">
        <v>4578415</v>
      </c>
      <c r="AD116" s="20">
        <f t="shared" si="120"/>
        <v>29821093</v>
      </c>
      <c r="AE116" s="21">
        <f>NOVIEMBRE!AG116</f>
        <v>23671018</v>
      </c>
      <c r="AF116" s="457">
        <v>1817800</v>
      </c>
      <c r="AG116" s="20">
        <f t="shared" si="121"/>
        <v>25488818</v>
      </c>
      <c r="AH116" s="21">
        <f t="shared" si="122"/>
        <v>1079727</v>
      </c>
      <c r="AI116" s="17">
        <f t="shared" si="123"/>
        <v>1079727</v>
      </c>
      <c r="AJ116" s="18">
        <f t="shared" si="124"/>
        <v>5412002</v>
      </c>
      <c r="AK116" s="10"/>
      <c r="AL116" s="455">
        <v>0</v>
      </c>
      <c r="AM116" s="458">
        <v>0</v>
      </c>
      <c r="AN116" s="10"/>
      <c r="AO116" s="365"/>
      <c r="AP116" s="365"/>
      <c r="AQ116" s="365"/>
      <c r="AR116" s="365"/>
      <c r="AS116" s="365"/>
      <c r="AT116" s="365"/>
      <c r="AU116" s="365"/>
      <c r="AV116" s="365"/>
      <c r="AW116" s="365"/>
      <c r="AX116" s="365"/>
      <c r="AY116" s="365"/>
      <c r="AZ116" s="365"/>
      <c r="BQ116" s="562"/>
    </row>
    <row r="117" spans="1:69" s="467" customFormat="1" x14ac:dyDescent="0.2">
      <c r="A117" s="48">
        <f>+IF(NOVIEMBRE!A117=0,"",NOVIEMBRE!A117)</f>
        <v>2700</v>
      </c>
      <c r="B117" s="55" t="str">
        <f>+IF(NOVIEMBRE!B117=0,"",NOVIEMBRE!B117)</f>
        <v>OTROS INGRESOS DE CAPITAL</v>
      </c>
      <c r="C117" s="283">
        <f>SUM(C118:C119)</f>
        <v>0</v>
      </c>
      <c r="D117" s="456">
        <f t="shared" ref="D117:N117" si="125">SUM(D118:D119)</f>
        <v>0</v>
      </c>
      <c r="E117" s="456">
        <f t="shared" si="125"/>
        <v>149110140</v>
      </c>
      <c r="F117" s="170">
        <f t="shared" si="125"/>
        <v>149110140</v>
      </c>
      <c r="G117" s="283">
        <f t="shared" si="125"/>
        <v>142400183</v>
      </c>
      <c r="H117" s="169">
        <f t="shared" si="125"/>
        <v>0</v>
      </c>
      <c r="I117" s="170">
        <f t="shared" si="125"/>
        <v>142400183</v>
      </c>
      <c r="J117" s="283">
        <f t="shared" si="125"/>
        <v>142400183</v>
      </c>
      <c r="K117" s="169">
        <f t="shared" si="125"/>
        <v>0</v>
      </c>
      <c r="L117" s="170">
        <f t="shared" si="125"/>
        <v>142400183</v>
      </c>
      <c r="M117" s="283">
        <f t="shared" si="125"/>
        <v>6709957</v>
      </c>
      <c r="N117" s="170">
        <f t="shared" si="125"/>
        <v>6709957</v>
      </c>
      <c r="P117" s="36">
        <f>SUM(P118:P119)</f>
        <v>0</v>
      </c>
      <c r="Q117" s="37">
        <f>SUM(Q118:Q119)</f>
        <v>0</v>
      </c>
      <c r="R117" s="10"/>
      <c r="S117" s="155" t="str">
        <f>+IF(NOVIEMBRE!S117=0,"",NOVIEMBRE!S117)</f>
        <v>2010100-3</v>
      </c>
      <c r="T117" s="159" t="str">
        <f>+IF(NOVIEMBRE!T117=0,"",NOVIEMBRE!T117)</f>
        <v>Salud Ocupacional</v>
      </c>
      <c r="U117" s="29">
        <f>+ENERO!U117</f>
        <v>0</v>
      </c>
      <c r="V117" s="17">
        <f>NOVIEMBRE!V117+DICIEMBRE!AL117</f>
        <v>0</v>
      </c>
      <c r="W117" s="17">
        <f>NOVIEMBRE!W117+DICIEMBRE!AM117</f>
        <v>0</v>
      </c>
      <c r="X117" s="20">
        <f t="shared" si="118"/>
        <v>0</v>
      </c>
      <c r="Y117" s="21">
        <f>NOVIEMBRE!AA117</f>
        <v>0</v>
      </c>
      <c r="Z117" s="457">
        <v>0</v>
      </c>
      <c r="AA117" s="20">
        <f t="shared" si="119"/>
        <v>0</v>
      </c>
      <c r="AB117" s="21">
        <f>NOVIEMBRE!AD117</f>
        <v>0</v>
      </c>
      <c r="AC117" s="457">
        <v>0</v>
      </c>
      <c r="AD117" s="20">
        <f t="shared" si="120"/>
        <v>0</v>
      </c>
      <c r="AE117" s="21">
        <f>NOVIEMBRE!AG117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c r="BQ117" s="562"/>
    </row>
    <row r="118" spans="1:69" s="467" customFormat="1" x14ac:dyDescent="0.2">
      <c r="A118" s="11" t="str">
        <f>+IF(NOVIEMBRE!A118=0,"",NOVIEMBRE!A118)</f>
        <v>2700-1</v>
      </c>
      <c r="B118" s="58" t="str">
        <f>+IF(NOVIEMBRE!B118=0,"",NOVIEMBRE!B118)</f>
        <v>Descuentos por pronto pago</v>
      </c>
      <c r="C118" s="283">
        <f>+ENERO!C118</f>
        <v>0</v>
      </c>
      <c r="D118" s="456">
        <f>NOVIEMBRE!D118+DICIEMBRE!P118</f>
        <v>0</v>
      </c>
      <c r="E118" s="456">
        <f>NOVIEMBRE!E118+DICIEMBRE!Q118</f>
        <v>149110140</v>
      </c>
      <c r="F118" s="170">
        <f>SUM(C118:E118)</f>
        <v>149110140</v>
      </c>
      <c r="G118" s="283">
        <f>NOVIEMBRE!I118</f>
        <v>142400183</v>
      </c>
      <c r="H118" s="457">
        <v>0</v>
      </c>
      <c r="I118" s="170">
        <f>SUM(G118:H118)</f>
        <v>142400183</v>
      </c>
      <c r="J118" s="283">
        <f>NOVIEMBRE!L118</f>
        <v>142400183</v>
      </c>
      <c r="K118" s="457">
        <v>0</v>
      </c>
      <c r="L118" s="170">
        <f>SUM(J118:K118)</f>
        <v>142400183</v>
      </c>
      <c r="M118" s="283">
        <f>F118-I118</f>
        <v>6709957</v>
      </c>
      <c r="N118" s="170">
        <f>F118-L118</f>
        <v>6709957</v>
      </c>
      <c r="P118" s="455">
        <v>0</v>
      </c>
      <c r="Q118" s="458">
        <v>0</v>
      </c>
      <c r="R118" s="10"/>
      <c r="S118" s="155" t="str">
        <f>+IF(NOVIEMBRE!S118=0,"",NOVIEMBRE!S118)</f>
        <v>2010100-4</v>
      </c>
      <c r="T118" s="159" t="str">
        <f>+IF(NOVIEMBRE!T118=0,"",NOVIEMBRE!T118)</f>
        <v/>
      </c>
      <c r="U118" s="29">
        <f>+ENERO!U118</f>
        <v>0</v>
      </c>
      <c r="V118" s="17">
        <f>NOVIEMBRE!V118+DICIEMBRE!AL118</f>
        <v>0</v>
      </c>
      <c r="W118" s="17">
        <f>NOVIEMBRE!W118+DICIEMBRE!AM118</f>
        <v>0</v>
      </c>
      <c r="X118" s="20">
        <f t="shared" si="118"/>
        <v>0</v>
      </c>
      <c r="Y118" s="21">
        <f>NOVIEMBRE!AA118</f>
        <v>0</v>
      </c>
      <c r="Z118" s="457">
        <v>0</v>
      </c>
      <c r="AA118" s="20">
        <f t="shared" si="119"/>
        <v>0</v>
      </c>
      <c r="AB118" s="21">
        <f>NOVIEMBRE!AD118</f>
        <v>0</v>
      </c>
      <c r="AC118" s="457">
        <v>0</v>
      </c>
      <c r="AD118" s="20">
        <f t="shared" si="120"/>
        <v>0</v>
      </c>
      <c r="AE118" s="21">
        <f>NOVIEMBRE!AG118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c r="BQ118" s="562"/>
    </row>
    <row r="119" spans="1:69" s="467" customFormat="1" ht="13.5" thickBot="1" x14ac:dyDescent="0.25">
      <c r="A119" s="218" t="str">
        <f>+IF(NOVIEMBRE!A119=0,"",NOVIEMBRE!A119)</f>
        <v>2700-2</v>
      </c>
      <c r="B119" s="219" t="str">
        <f>+IF(NOVIEMBRE!B119=0,"",NOVIEMBRE!B119)</f>
        <v>Otros</v>
      </c>
      <c r="C119" s="474">
        <f>+ENERO!C119</f>
        <v>0</v>
      </c>
      <c r="D119" s="472">
        <f>NOVIEMBRE!D119+DICIEMBRE!P119</f>
        <v>0</v>
      </c>
      <c r="E119" s="472">
        <f>NOVIEMBRE!E119+DICIEMBRE!Q119</f>
        <v>0</v>
      </c>
      <c r="F119" s="473">
        <f>SUM(C119:E119)</f>
        <v>0</v>
      </c>
      <c r="G119" s="474">
        <f>NOVIEMBRE!I119</f>
        <v>0</v>
      </c>
      <c r="H119" s="475">
        <v>0</v>
      </c>
      <c r="I119" s="473">
        <f>SUM(G119:H119)</f>
        <v>0</v>
      </c>
      <c r="J119" s="474">
        <f>NOVIEMBRE!L119</f>
        <v>0</v>
      </c>
      <c r="K119" s="475">
        <v>0</v>
      </c>
      <c r="L119" s="473">
        <f>SUM(J119:K119)</f>
        <v>0</v>
      </c>
      <c r="M119" s="474">
        <f>F119-I119</f>
        <v>0</v>
      </c>
      <c r="N119" s="473">
        <f>F119-L119</f>
        <v>0</v>
      </c>
      <c r="P119" s="471">
        <v>0</v>
      </c>
      <c r="Q119" s="476">
        <v>0</v>
      </c>
      <c r="R119" s="10"/>
      <c r="S119" s="155" t="str">
        <f>+IF(NOVIEMBRE!S119=0,"",NOVIEMBRE!S119)</f>
        <v>2010100-5</v>
      </c>
      <c r="T119" s="159" t="str">
        <f>+IF(NOVIEMBRE!T119=0,"",NOVIEMBRE!T119)</f>
        <v/>
      </c>
      <c r="U119" s="29">
        <f>+ENERO!U119</f>
        <v>0</v>
      </c>
      <c r="V119" s="17">
        <f>NOVIEMBRE!V119+DICIEMBRE!AL119</f>
        <v>0</v>
      </c>
      <c r="W119" s="17">
        <f>NOVIEMBRE!W119+DICIEMBRE!AM119</f>
        <v>0</v>
      </c>
      <c r="X119" s="20">
        <f t="shared" si="118"/>
        <v>0</v>
      </c>
      <c r="Y119" s="21">
        <f>NOVIEMBRE!AA119</f>
        <v>0</v>
      </c>
      <c r="Z119" s="457">
        <v>0</v>
      </c>
      <c r="AA119" s="20">
        <f t="shared" si="119"/>
        <v>0</v>
      </c>
      <c r="AB119" s="21">
        <f>NOVIEMBRE!AD119</f>
        <v>0</v>
      </c>
      <c r="AC119" s="457">
        <v>0</v>
      </c>
      <c r="AD119" s="20">
        <f t="shared" si="120"/>
        <v>0</v>
      </c>
      <c r="AE119" s="21">
        <f>NOVIEMBRE!AG119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c r="BQ119" s="562"/>
    </row>
    <row r="120" spans="1:69"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+IF(NOVIEMBRE!S120=0,"",NOVIEMBRE!S120)</f>
        <v>2010100-6</v>
      </c>
      <c r="T120" s="159" t="str">
        <f>+IF(NOVIEMBRE!T120=0,"",NOVIEMBRE!T120)</f>
        <v/>
      </c>
      <c r="U120" s="29">
        <f>+ENERO!U120</f>
        <v>0</v>
      </c>
      <c r="V120" s="17">
        <f>NOVIEMBRE!V120+DICIEMBRE!AL120</f>
        <v>0</v>
      </c>
      <c r="W120" s="17">
        <f>NOVIEMBRE!W120+DICIEMBRE!AM120</f>
        <v>0</v>
      </c>
      <c r="X120" s="20">
        <f t="shared" si="118"/>
        <v>0</v>
      </c>
      <c r="Y120" s="21">
        <f>NOVIEMBRE!AA120</f>
        <v>0</v>
      </c>
      <c r="Z120" s="457">
        <v>0</v>
      </c>
      <c r="AA120" s="20">
        <f t="shared" si="119"/>
        <v>0</v>
      </c>
      <c r="AB120" s="21">
        <f>NOVIEMBRE!AD120</f>
        <v>0</v>
      </c>
      <c r="AC120" s="457">
        <v>0</v>
      </c>
      <c r="AD120" s="20">
        <f t="shared" si="120"/>
        <v>0</v>
      </c>
      <c r="AE120" s="21">
        <f>NOVIEMBRE!AG120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c r="BQ120" s="562"/>
    </row>
    <row r="121" spans="1:69" s="467" customFormat="1" ht="16.5" thickBot="1" x14ac:dyDescent="0.25">
      <c r="A121" s="600" t="str">
        <f>+IF(NOVIEMBRE!A121=0,"",NOVIEMBRE!A121)</f>
        <v>TOTAL INGRESOS DIFERENTES A CUENTAS POR COBRAR</v>
      </c>
      <c r="B121" s="682"/>
      <c r="C121" s="605">
        <f t="shared" ref="C121:N121" si="126">C8-C123</f>
        <v>3465783837</v>
      </c>
      <c r="D121" s="603">
        <f t="shared" si="126"/>
        <v>0</v>
      </c>
      <c r="E121" s="603">
        <f t="shared" si="126"/>
        <v>303333323</v>
      </c>
      <c r="F121" s="604">
        <f t="shared" si="126"/>
        <v>3769117160</v>
      </c>
      <c r="G121" s="602">
        <f t="shared" si="126"/>
        <v>3456200056</v>
      </c>
      <c r="H121" s="603">
        <f t="shared" si="126"/>
        <v>560454286</v>
      </c>
      <c r="I121" s="604">
        <f t="shared" si="126"/>
        <v>4016654342</v>
      </c>
      <c r="J121" s="602">
        <f t="shared" si="126"/>
        <v>2998017934</v>
      </c>
      <c r="K121" s="603">
        <f t="shared" si="126"/>
        <v>505838326</v>
      </c>
      <c r="L121" s="604">
        <f t="shared" si="126"/>
        <v>3503856260</v>
      </c>
      <c r="M121" s="602">
        <f t="shared" si="126"/>
        <v>-247537182</v>
      </c>
      <c r="N121" s="604">
        <f t="shared" si="126"/>
        <v>265260900</v>
      </c>
      <c r="P121" s="605">
        <f>P8-P123</f>
        <v>0</v>
      </c>
      <c r="Q121" s="606">
        <f>Q8-Q123</f>
        <v>0</v>
      </c>
      <c r="R121" s="10"/>
      <c r="S121" s="155">
        <f>+IF(NOVIEMBRE!S121=0,"",NOVIEMBRE!S121)</f>
        <v>2010199</v>
      </c>
      <c r="T121" s="159" t="str">
        <f>+IF(NOVIEMBRE!T121=0,"",NOVIEMBRE!T121)</f>
        <v>Vigencias Anteriores</v>
      </c>
      <c r="U121" s="29">
        <f>+ENERO!U121</f>
        <v>2000000</v>
      </c>
      <c r="V121" s="17">
        <f>NOVIEMBRE!V121+DICIEMBRE!AL121</f>
        <v>0</v>
      </c>
      <c r="W121" s="17">
        <f>NOVIEMBRE!W121+DICIEMBRE!AM121</f>
        <v>1397432</v>
      </c>
      <c r="X121" s="20">
        <f t="shared" si="118"/>
        <v>3397432</v>
      </c>
      <c r="Y121" s="21">
        <f>NOVIEMBRE!AA121</f>
        <v>3396432</v>
      </c>
      <c r="Z121" s="457">
        <v>0</v>
      </c>
      <c r="AA121" s="20">
        <f t="shared" si="119"/>
        <v>3396432</v>
      </c>
      <c r="AB121" s="21">
        <f>NOVIEMBRE!AD121</f>
        <v>3396432</v>
      </c>
      <c r="AC121" s="457">
        <v>0</v>
      </c>
      <c r="AD121" s="20">
        <f t="shared" si="120"/>
        <v>3396432</v>
      </c>
      <c r="AE121" s="21">
        <f>NOVIEMBRE!AG121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c r="BQ121" s="562"/>
    </row>
    <row r="122" spans="1:69"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+IF(NOVIEMBRE!S122=0,"",NOVIEMBRE!S122)</f>
        <v/>
      </c>
      <c r="T122" s="649" t="str">
        <f>+IF(NOVIEMBRE!T122=0,"",NOVIEMBRE!T122)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c r="BQ122" s="562"/>
    </row>
    <row r="123" spans="1:69" s="467" customFormat="1" ht="16.5" thickBot="1" x14ac:dyDescent="0.25">
      <c r="A123" s="683" t="str">
        <f>+IF(NOVIEMBRE!A123=0,"",NOVIEMBRE!A123)</f>
        <v>TOTAL INGRESOS DE VIGENCIAS ANTERIORES</v>
      </c>
      <c r="B123" s="684"/>
      <c r="C123" s="605">
        <f>SUMIF($B8:$B$117,$B$24,C8:C117)+C116</f>
        <v>165717175</v>
      </c>
      <c r="D123" s="685">
        <f>SUMIF($B8:$B$117,$B$24,D8:D117)+D116</f>
        <v>0</v>
      </c>
      <c r="E123" s="685">
        <f>SUMIF($B8:$B$117,$B$24,E8:E117)+E116</f>
        <v>154000000</v>
      </c>
      <c r="F123" s="686">
        <f>SUMIF($B8:$B$117,$B$24,F8:F117)+F116</f>
        <v>319717175</v>
      </c>
      <c r="G123" s="687">
        <f>SUMIF($B8:$B$117,$B$24,G8:G117)+G116</f>
        <v>385231498</v>
      </c>
      <c r="H123" s="685">
        <f>SUMIF($B8:$B$117,$B$24,H8:H117)+H116</f>
        <v>454343</v>
      </c>
      <c r="I123" s="686">
        <f>SUMIF($B8:$B$117,$B$24,I8:I117)+I116</f>
        <v>385685841</v>
      </c>
      <c r="J123" s="687">
        <f>SUMIF($B8:$B$117,$B$24,J8:J117)+J116</f>
        <v>385231501</v>
      </c>
      <c r="K123" s="685">
        <f>SUMIF($B8:$B$117,$B$24,K8:K117)+K116</f>
        <v>454343</v>
      </c>
      <c r="L123" s="686">
        <f>SUMIF($B8:$B$117,$B$24,L8:L117)+L116</f>
        <v>385685844</v>
      </c>
      <c r="M123" s="687">
        <f>SUMIF($B8:$B$117,$B$24,M8:M117)+M116</f>
        <v>-65968666</v>
      </c>
      <c r="N123" s="686">
        <f>SUMIF($B8:$B$117,$B$24,N8:N117)+N116</f>
        <v>-65968669</v>
      </c>
      <c r="P123" s="687">
        <f>SUMIF($B8:$B$117,$B$24,P8:P117)+P116</f>
        <v>0</v>
      </c>
      <c r="Q123" s="686">
        <f>SUMIF($B8:$B$117,$B$24,Q8:Q117)+Q116</f>
        <v>0</v>
      </c>
      <c r="R123" s="10"/>
      <c r="S123" s="34">
        <f>+IF(NOVIEMBRE!S123=0,"",NOVIEMBRE!S123)</f>
        <v>2010200</v>
      </c>
      <c r="T123" s="158" t="str">
        <f>+IF(NOVIEMBRE!T123=0,"",NOVIEMBRE!T123)</f>
        <v>Adquisición de Servicios</v>
      </c>
      <c r="U123" s="157">
        <f t="shared" ref="U123:AJ123" si="127">SUM(U124:U139)</f>
        <v>130967353</v>
      </c>
      <c r="V123" s="144">
        <f t="shared" si="127"/>
        <v>0</v>
      </c>
      <c r="W123" s="144">
        <f t="shared" si="127"/>
        <v>36066041</v>
      </c>
      <c r="X123" s="152">
        <f t="shared" si="127"/>
        <v>167033394</v>
      </c>
      <c r="Y123" s="151">
        <f t="shared" si="127"/>
        <v>127821560</v>
      </c>
      <c r="Z123" s="144">
        <f t="shared" si="127"/>
        <v>16156135</v>
      </c>
      <c r="AA123" s="152">
        <f t="shared" si="127"/>
        <v>143977695</v>
      </c>
      <c r="AB123" s="151">
        <f t="shared" si="127"/>
        <v>127821560</v>
      </c>
      <c r="AC123" s="144">
        <f t="shared" si="127"/>
        <v>16156135</v>
      </c>
      <c r="AD123" s="152">
        <f t="shared" si="127"/>
        <v>143977695</v>
      </c>
      <c r="AE123" s="151">
        <f t="shared" si="127"/>
        <v>125436004</v>
      </c>
      <c r="AF123" s="144">
        <f t="shared" si="127"/>
        <v>12293783</v>
      </c>
      <c r="AG123" s="152">
        <f t="shared" si="127"/>
        <v>137729787</v>
      </c>
      <c r="AH123" s="151">
        <f t="shared" si="127"/>
        <v>23055699</v>
      </c>
      <c r="AI123" s="144">
        <f t="shared" si="127"/>
        <v>23055699</v>
      </c>
      <c r="AJ123" s="153">
        <f t="shared" si="127"/>
        <v>29303607</v>
      </c>
      <c r="AK123" s="10"/>
      <c r="AL123" s="151">
        <f>SUM(AL124:AL139)</f>
        <v>0</v>
      </c>
      <c r="AM123" s="153">
        <f>SUM(AM124:AM139)</f>
        <v>0</v>
      </c>
      <c r="AN123" s="10"/>
      <c r="AO123" s="365"/>
      <c r="AP123" s="365"/>
      <c r="AQ123" s="365"/>
      <c r="AR123" s="365"/>
      <c r="AS123" s="365"/>
      <c r="AT123" s="365"/>
      <c r="AU123" s="365"/>
      <c r="AV123" s="365"/>
      <c r="AW123" s="365"/>
      <c r="AX123" s="365"/>
      <c r="AY123" s="365"/>
      <c r="AZ123" s="365"/>
      <c r="BQ123" s="562"/>
    </row>
    <row r="124" spans="1:69"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+IF(NOVIEMBRE!S124=0,"",NOVIEMBRE!S124)</f>
        <v>2010200-1</v>
      </c>
      <c r="T124" s="159" t="str">
        <f>+IF(NOVIEMBRE!T124=0,"",NOVIEMBRE!T124)</f>
        <v>Seguros</v>
      </c>
      <c r="U124" s="29">
        <f>+ENERO!U124</f>
        <v>42767476</v>
      </c>
      <c r="V124" s="17">
        <f>NOVIEMBRE!V124+DICIEMBRE!AL124</f>
        <v>0</v>
      </c>
      <c r="W124" s="17">
        <f>NOVIEMBRE!W124+DICIEMBRE!AM124</f>
        <v>10000000</v>
      </c>
      <c r="X124" s="20">
        <f t="shared" ref="X124:X139" si="128">SUM(U124:W124)</f>
        <v>52767476</v>
      </c>
      <c r="Y124" s="21">
        <f>NOVIEMBRE!AA124</f>
        <v>48162629</v>
      </c>
      <c r="Z124" s="457">
        <v>1395153</v>
      </c>
      <c r="AA124" s="20">
        <f t="shared" ref="AA124:AA139" si="129">SUM(Y124:Z124)</f>
        <v>49557782</v>
      </c>
      <c r="AB124" s="21">
        <f>NOVIEMBRE!AD124</f>
        <v>48162629</v>
      </c>
      <c r="AC124" s="457">
        <v>1395153</v>
      </c>
      <c r="AD124" s="20">
        <f t="shared" ref="AD124:AD139" si="130">SUM(AB124:AC124)</f>
        <v>49557782</v>
      </c>
      <c r="AE124" s="21">
        <f>NOVIEMBRE!AG124</f>
        <v>48162629</v>
      </c>
      <c r="AF124" s="457">
        <v>0</v>
      </c>
      <c r="AG124" s="20">
        <f t="shared" ref="AG124:AG139" si="131">SUM(AE124:AF124)</f>
        <v>48162629</v>
      </c>
      <c r="AH124" s="21">
        <f t="shared" ref="AH124:AH139" si="132">X124-AA124</f>
        <v>3209694</v>
      </c>
      <c r="AI124" s="17">
        <f t="shared" ref="AI124:AI139" si="133">X124-AD124</f>
        <v>3209694</v>
      </c>
      <c r="AJ124" s="18">
        <f t="shared" ref="AJ124:AJ139" si="134">X124-AG124</f>
        <v>4604847</v>
      </c>
      <c r="AK124" s="10"/>
      <c r="AL124" s="455">
        <v>0</v>
      </c>
      <c r="AM124" s="458">
        <v>0</v>
      </c>
      <c r="AN124" s="10"/>
      <c r="AO124" s="365"/>
      <c r="AP124" s="365"/>
      <c r="AQ124" s="365"/>
      <c r="AR124" s="365"/>
      <c r="AS124" s="365"/>
      <c r="AT124" s="365"/>
      <c r="AU124" s="365"/>
      <c r="AV124" s="365"/>
      <c r="AW124" s="365"/>
      <c r="AX124" s="365"/>
      <c r="AY124" s="365"/>
      <c r="AZ124" s="365"/>
      <c r="BQ124" s="562"/>
    </row>
    <row r="125" spans="1:69" s="467" customFormat="1" ht="16.5" thickBot="1" x14ac:dyDescent="0.25">
      <c r="A125" s="618" t="str">
        <f>+IF(NOVIEMBRE!A125=0,"",NOVIEMBRE!A125)</f>
        <v xml:space="preserve">TOTAL PRESUPUESTO DE INGRESOS </v>
      </c>
      <c r="B125" s="619"/>
      <c r="C125" s="605">
        <f t="shared" ref="C125:N125" si="135">C123+C121</f>
        <v>3631501012</v>
      </c>
      <c r="D125" s="621">
        <f t="shared" si="135"/>
        <v>0</v>
      </c>
      <c r="E125" s="621">
        <f t="shared" si="135"/>
        <v>457333323</v>
      </c>
      <c r="F125" s="622">
        <f t="shared" si="135"/>
        <v>4088834335</v>
      </c>
      <c r="G125" s="620">
        <f t="shared" si="135"/>
        <v>3841431554</v>
      </c>
      <c r="H125" s="621">
        <f t="shared" si="135"/>
        <v>560908629</v>
      </c>
      <c r="I125" s="622">
        <f t="shared" si="135"/>
        <v>4402340183</v>
      </c>
      <c r="J125" s="620">
        <f t="shared" si="135"/>
        <v>3383249435</v>
      </c>
      <c r="K125" s="621">
        <f t="shared" si="135"/>
        <v>506292669</v>
      </c>
      <c r="L125" s="622">
        <f t="shared" si="135"/>
        <v>3889542104</v>
      </c>
      <c r="M125" s="620">
        <f t="shared" si="135"/>
        <v>-313505848</v>
      </c>
      <c r="N125" s="622">
        <f t="shared" si="135"/>
        <v>199292231</v>
      </c>
      <c r="P125" s="605">
        <f>P123+P121</f>
        <v>0</v>
      </c>
      <c r="Q125" s="606">
        <f>Q123+Q121</f>
        <v>0</v>
      </c>
      <c r="R125" s="10"/>
      <c r="S125" s="155" t="str">
        <f>+IF(NOVIEMBRE!S125=0,"",NOVIEMBRE!S125)</f>
        <v>2010200-2</v>
      </c>
      <c r="T125" s="159" t="str">
        <f>+IF(NOVIEMBRE!T125=0,"",NOVIEMBRE!T125)</f>
        <v>Impresos y Publicaciones</v>
      </c>
      <c r="U125" s="29">
        <f>+ENERO!U125</f>
        <v>10257367</v>
      </c>
      <c r="V125" s="17">
        <f>NOVIEMBRE!V125+DICIEMBRE!AL125</f>
        <v>0</v>
      </c>
      <c r="W125" s="17">
        <f>NOVIEMBRE!W125+DICIEMBRE!AM125</f>
        <v>0</v>
      </c>
      <c r="X125" s="20">
        <f t="shared" si="128"/>
        <v>10257367</v>
      </c>
      <c r="Y125" s="21">
        <f>NOVIEMBRE!AA125</f>
        <v>6441362</v>
      </c>
      <c r="Z125" s="457">
        <v>3773000</v>
      </c>
      <c r="AA125" s="20">
        <f t="shared" si="129"/>
        <v>10214362</v>
      </c>
      <c r="AB125" s="21">
        <f>NOVIEMBRE!AD125</f>
        <v>6441362</v>
      </c>
      <c r="AC125" s="457">
        <v>3773000</v>
      </c>
      <c r="AD125" s="20">
        <f t="shared" si="130"/>
        <v>10214362</v>
      </c>
      <c r="AE125" s="21">
        <f>NOVIEMBRE!AG125</f>
        <v>5813342</v>
      </c>
      <c r="AF125" s="457">
        <v>4401020</v>
      </c>
      <c r="AG125" s="20">
        <f t="shared" si="131"/>
        <v>10214362</v>
      </c>
      <c r="AH125" s="21">
        <f t="shared" si="132"/>
        <v>43005</v>
      </c>
      <c r="AI125" s="17">
        <f t="shared" si="133"/>
        <v>43005</v>
      </c>
      <c r="AJ125" s="18">
        <f t="shared" si="134"/>
        <v>43005</v>
      </c>
      <c r="AK125" s="10"/>
      <c r="AL125" s="455">
        <v>0</v>
      </c>
      <c r="AM125" s="458">
        <v>0</v>
      </c>
      <c r="AN125" s="10"/>
      <c r="AO125" s="365"/>
      <c r="AP125" s="365"/>
      <c r="AQ125" s="365"/>
      <c r="AR125" s="365"/>
      <c r="AS125" s="365"/>
      <c r="AT125" s="365"/>
      <c r="AU125" s="365"/>
      <c r="AV125" s="365"/>
      <c r="AW125" s="365"/>
      <c r="AX125" s="365"/>
      <c r="AY125" s="365"/>
      <c r="AZ125" s="365"/>
      <c r="BQ125" s="562"/>
    </row>
    <row r="126" spans="1:69" s="467" customFormat="1" x14ac:dyDescent="0.2">
      <c r="A126" s="623"/>
      <c r="N126" s="10"/>
      <c r="R126" s="10"/>
      <c r="S126" s="155" t="str">
        <f>+IF(NOVIEMBRE!S126=0,"",NOVIEMBRE!S126)</f>
        <v>2010200-3</v>
      </c>
      <c r="T126" s="159" t="str">
        <f>+IF(NOVIEMBRE!T126=0,"",NOVIEMBRE!T126)</f>
        <v xml:space="preserve">Servicios Públicos </v>
      </c>
      <c r="U126" s="29">
        <f>+ENERO!U126</f>
        <v>49280460</v>
      </c>
      <c r="V126" s="17">
        <f>NOVIEMBRE!V126+DICIEMBRE!AL126</f>
        <v>0</v>
      </c>
      <c r="W126" s="17">
        <f>NOVIEMBRE!W126+DICIEMBRE!AM126</f>
        <v>12000000</v>
      </c>
      <c r="X126" s="20">
        <f t="shared" si="128"/>
        <v>61280460</v>
      </c>
      <c r="Y126" s="21">
        <f>NOVIEMBRE!AA126</f>
        <v>48700246</v>
      </c>
      <c r="Z126" s="457">
        <v>5496316</v>
      </c>
      <c r="AA126" s="20">
        <f t="shared" si="129"/>
        <v>54196562</v>
      </c>
      <c r="AB126" s="21">
        <f>NOVIEMBRE!AD126</f>
        <v>48700246</v>
      </c>
      <c r="AC126" s="457">
        <v>5496316</v>
      </c>
      <c r="AD126" s="20">
        <f t="shared" si="130"/>
        <v>54196562</v>
      </c>
      <c r="AE126" s="21">
        <f>NOVIEMBRE!AG126</f>
        <v>48673246</v>
      </c>
      <c r="AF126" s="457">
        <v>2895569</v>
      </c>
      <c r="AG126" s="20">
        <f t="shared" si="131"/>
        <v>51568815</v>
      </c>
      <c r="AH126" s="21">
        <f t="shared" si="132"/>
        <v>7083898</v>
      </c>
      <c r="AI126" s="17">
        <f t="shared" si="133"/>
        <v>7083898</v>
      </c>
      <c r="AJ126" s="18">
        <f t="shared" si="134"/>
        <v>9711645</v>
      </c>
      <c r="AK126" s="10"/>
      <c r="AL126" s="455">
        <v>0</v>
      </c>
      <c r="AM126" s="458">
        <v>0</v>
      </c>
      <c r="AN126" s="10"/>
      <c r="AO126" s="365"/>
      <c r="AP126" s="365"/>
      <c r="AQ126" s="365"/>
      <c r="AR126" s="365"/>
      <c r="AS126" s="365"/>
      <c r="AT126" s="365"/>
      <c r="AU126" s="365"/>
      <c r="AV126" s="365"/>
      <c r="AW126" s="365"/>
      <c r="AX126" s="365"/>
      <c r="AY126" s="365"/>
      <c r="AZ126" s="365"/>
      <c r="BQ126" s="562"/>
    </row>
    <row r="127" spans="1:69" s="467" customFormat="1" x14ac:dyDescent="0.2">
      <c r="A127" s="623"/>
      <c r="D127" s="562"/>
      <c r="N127" s="10"/>
      <c r="R127" s="10"/>
      <c r="S127" s="155" t="str">
        <f>+IF(NOVIEMBRE!S127=0,"",NOVIEMBRE!S127)</f>
        <v>2010200-4</v>
      </c>
      <c r="T127" s="159" t="str">
        <f>+IF(NOVIEMBRE!T127=0,"",NOVIEMBRE!T127)</f>
        <v>Comunicaciones y Transportes</v>
      </c>
      <c r="U127" s="29">
        <f>+ENERO!U127</f>
        <v>8570980</v>
      </c>
      <c r="V127" s="17">
        <f>NOVIEMBRE!V127+DICIEMBRE!AL127</f>
        <v>0</v>
      </c>
      <c r="W127" s="17">
        <f>NOVIEMBRE!W127+DICIEMBRE!AM127</f>
        <v>5000000</v>
      </c>
      <c r="X127" s="20">
        <f t="shared" si="128"/>
        <v>13570980</v>
      </c>
      <c r="Y127" s="21">
        <f>NOVIEMBRE!AA127</f>
        <v>8520804</v>
      </c>
      <c r="Z127" s="457">
        <v>276660</v>
      </c>
      <c r="AA127" s="20">
        <f t="shared" si="129"/>
        <v>8797464</v>
      </c>
      <c r="AB127" s="21">
        <f>NOVIEMBRE!AD127</f>
        <v>8520804</v>
      </c>
      <c r="AC127" s="457">
        <v>276660</v>
      </c>
      <c r="AD127" s="20">
        <f t="shared" si="130"/>
        <v>8797464</v>
      </c>
      <c r="AE127" s="21">
        <f>NOVIEMBRE!AG127</f>
        <v>6855804</v>
      </c>
      <c r="AF127" s="457">
        <v>276660</v>
      </c>
      <c r="AG127" s="20">
        <f t="shared" si="131"/>
        <v>7132464</v>
      </c>
      <c r="AH127" s="21">
        <f t="shared" si="132"/>
        <v>4773516</v>
      </c>
      <c r="AI127" s="17">
        <f t="shared" si="133"/>
        <v>4773516</v>
      </c>
      <c r="AJ127" s="18">
        <f t="shared" si="134"/>
        <v>6438516</v>
      </c>
      <c r="AK127" s="10"/>
      <c r="AL127" s="455">
        <v>0</v>
      </c>
      <c r="AM127" s="458">
        <v>0</v>
      </c>
      <c r="AN127" s="10"/>
      <c r="AO127" s="365"/>
      <c r="AP127" s="365"/>
      <c r="AQ127" s="365"/>
      <c r="AR127" s="365"/>
      <c r="AS127" s="365"/>
      <c r="AT127" s="365"/>
      <c r="AU127" s="365"/>
      <c r="AV127" s="365"/>
      <c r="AW127" s="365"/>
      <c r="AX127" s="365"/>
      <c r="AY127" s="365"/>
      <c r="AZ127" s="365"/>
      <c r="BQ127" s="562"/>
    </row>
    <row r="128" spans="1:69" s="467" customFormat="1" x14ac:dyDescent="0.2">
      <c r="A128" s="623"/>
      <c r="N128" s="10"/>
      <c r="R128" s="10"/>
      <c r="S128" s="155" t="str">
        <f>+IF(NOVIEMBRE!S128=0,"",NOVIEMBRE!S128)</f>
        <v>2010200-5</v>
      </c>
      <c r="T128" s="159" t="str">
        <f>+IF(NOVIEMBRE!T128=0,"",NOVIEMBRE!T128)</f>
        <v>Viáticos y Gastos de Viaje</v>
      </c>
      <c r="U128" s="29">
        <f>+ENERO!U128</f>
        <v>4306574</v>
      </c>
      <c r="V128" s="17">
        <f>NOVIEMBRE!V128+DICIEMBRE!AL128</f>
        <v>0</v>
      </c>
      <c r="W128" s="17">
        <f>NOVIEMBRE!W128+DICIEMBRE!AM128</f>
        <v>5000000</v>
      </c>
      <c r="X128" s="20">
        <f t="shared" si="128"/>
        <v>9306574</v>
      </c>
      <c r="Y128" s="21">
        <f>NOVIEMBRE!AA128</f>
        <v>2462199</v>
      </c>
      <c r="Z128" s="457">
        <v>66307</v>
      </c>
      <c r="AA128" s="20">
        <f t="shared" si="129"/>
        <v>2528506</v>
      </c>
      <c r="AB128" s="21">
        <f>NOVIEMBRE!AD128</f>
        <v>2462199</v>
      </c>
      <c r="AC128" s="457">
        <v>66307</v>
      </c>
      <c r="AD128" s="20">
        <f t="shared" si="130"/>
        <v>2528506</v>
      </c>
      <c r="AE128" s="21">
        <f>NOVIEMBRE!AG128</f>
        <v>2462199</v>
      </c>
      <c r="AF128" s="457">
        <v>52960</v>
      </c>
      <c r="AG128" s="20">
        <f t="shared" si="131"/>
        <v>2515159</v>
      </c>
      <c r="AH128" s="21">
        <f t="shared" si="132"/>
        <v>6778068</v>
      </c>
      <c r="AI128" s="17">
        <f t="shared" si="133"/>
        <v>6778068</v>
      </c>
      <c r="AJ128" s="18">
        <f t="shared" si="134"/>
        <v>6791415</v>
      </c>
      <c r="AK128" s="10"/>
      <c r="AL128" s="455">
        <v>0</v>
      </c>
      <c r="AM128" s="458">
        <v>0</v>
      </c>
      <c r="AN128" s="10"/>
      <c r="AO128" s="365"/>
      <c r="AP128" s="365"/>
      <c r="AQ128" s="365"/>
      <c r="AR128" s="365"/>
      <c r="AS128" s="365"/>
      <c r="AT128" s="365"/>
      <c r="AU128" s="365"/>
      <c r="AV128" s="365"/>
      <c r="AW128" s="365"/>
      <c r="AX128" s="365"/>
      <c r="AY128" s="365"/>
      <c r="AZ128" s="365"/>
      <c r="BQ128" s="562"/>
    </row>
    <row r="129" spans="1:69" s="467" customFormat="1" x14ac:dyDescent="0.2">
      <c r="A129" s="623"/>
      <c r="N129" s="10"/>
      <c r="R129" s="10"/>
      <c r="S129" s="155" t="str">
        <f>+IF(NOVIEMBRE!S129=0,"",NOVIEMBRE!S129)</f>
        <v>2010200-6</v>
      </c>
      <c r="T129" s="159" t="str">
        <f>+IF(NOVIEMBRE!T129=0,"",NOVIEMBRE!T129)</f>
        <v>Arrendamientos</v>
      </c>
      <c r="U129" s="29">
        <f>+ENERO!U129</f>
        <v>0</v>
      </c>
      <c r="V129" s="17">
        <f>NOVIEMBRE!V129+DICIEMBRE!AL129</f>
        <v>0</v>
      </c>
      <c r="W129" s="17">
        <f>NOVIEMBRE!W129+DICIEMBRE!AM129</f>
        <v>0</v>
      </c>
      <c r="X129" s="20">
        <f t="shared" si="128"/>
        <v>0</v>
      </c>
      <c r="Y129" s="21">
        <f>NOVIEMBRE!AA129</f>
        <v>0</v>
      </c>
      <c r="Z129" s="457">
        <v>0</v>
      </c>
      <c r="AA129" s="20">
        <f t="shared" si="129"/>
        <v>0</v>
      </c>
      <c r="AB129" s="21">
        <f>NOVIEMBRE!AD129</f>
        <v>0</v>
      </c>
      <c r="AC129" s="457">
        <v>0</v>
      </c>
      <c r="AD129" s="20">
        <f t="shared" si="130"/>
        <v>0</v>
      </c>
      <c r="AE129" s="21">
        <f>NOVIEMBRE!AG129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c r="BQ129" s="562"/>
    </row>
    <row r="130" spans="1:69" s="467" customFormat="1" x14ac:dyDescent="0.2">
      <c r="A130" s="623"/>
      <c r="N130" s="10"/>
      <c r="R130" s="10"/>
      <c r="S130" s="155" t="str">
        <f>+IF(NOVIEMBRE!S130=0,"",NOVIEMBRE!S130)</f>
        <v>2010200-7</v>
      </c>
      <c r="T130" s="159" t="str">
        <f>+IF(NOVIEMBRE!T130=0,"",NOVIEMBRE!T130)</f>
        <v>Vigilancia y Aseo</v>
      </c>
      <c r="U130" s="29">
        <f>+ENERO!U130</f>
        <v>0</v>
      </c>
      <c r="V130" s="17">
        <f>NOVIEMBRE!V130+DICIEMBRE!AL130</f>
        <v>0</v>
      </c>
      <c r="W130" s="17">
        <f>NOVIEMBRE!W130+DICIEMBRE!AM130</f>
        <v>0</v>
      </c>
      <c r="X130" s="20">
        <f t="shared" si="128"/>
        <v>0</v>
      </c>
      <c r="Y130" s="21">
        <f>NOVIEMBRE!AA130</f>
        <v>0</v>
      </c>
      <c r="Z130" s="457">
        <v>0</v>
      </c>
      <c r="AA130" s="20">
        <f t="shared" si="129"/>
        <v>0</v>
      </c>
      <c r="AB130" s="21">
        <f>NOVIEMBRE!AD130</f>
        <v>0</v>
      </c>
      <c r="AC130" s="457">
        <v>0</v>
      </c>
      <c r="AD130" s="20">
        <f t="shared" si="130"/>
        <v>0</v>
      </c>
      <c r="AE130" s="21">
        <f>NOVIEMBRE!AG130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c r="BQ130" s="562"/>
    </row>
    <row r="131" spans="1:69" s="467" customFormat="1" x14ac:dyDescent="0.2">
      <c r="A131" s="623"/>
      <c r="N131" s="10"/>
      <c r="R131" s="10"/>
      <c r="S131" s="155" t="str">
        <f>+IF(NOVIEMBRE!S131=0,"",NOVIEMBRE!S131)</f>
        <v>2010200-8</v>
      </c>
      <c r="T131" s="159" t="str">
        <f>+IF(NOVIEMBRE!T131=0,"",NOVIEMBRE!T131)</f>
        <v>Bienestar Social</v>
      </c>
      <c r="U131" s="29">
        <f>+ENERO!U131</f>
        <v>6347410</v>
      </c>
      <c r="V131" s="17">
        <f>NOVIEMBRE!V131+DICIEMBRE!AL131</f>
        <v>0</v>
      </c>
      <c r="W131" s="17">
        <f>NOVIEMBRE!W131+DICIEMBRE!AM131</f>
        <v>0</v>
      </c>
      <c r="X131" s="20">
        <f t="shared" si="128"/>
        <v>6347410</v>
      </c>
      <c r="Y131" s="21">
        <f>NOVIEMBRE!AA131</f>
        <v>1042000</v>
      </c>
      <c r="Z131" s="457">
        <v>4892425</v>
      </c>
      <c r="AA131" s="20">
        <f t="shared" si="129"/>
        <v>5934425</v>
      </c>
      <c r="AB131" s="21">
        <f>NOVIEMBRE!AD131</f>
        <v>1042000</v>
      </c>
      <c r="AC131" s="457">
        <v>4892425</v>
      </c>
      <c r="AD131" s="20">
        <f t="shared" si="130"/>
        <v>5934425</v>
      </c>
      <c r="AE131" s="21">
        <f>NOVIEMBRE!AG131</f>
        <v>1042000</v>
      </c>
      <c r="AF131" s="457">
        <v>4411300</v>
      </c>
      <c r="AG131" s="20">
        <f t="shared" si="131"/>
        <v>5453300</v>
      </c>
      <c r="AH131" s="21">
        <f t="shared" si="132"/>
        <v>412985</v>
      </c>
      <c r="AI131" s="17">
        <f t="shared" si="133"/>
        <v>412985</v>
      </c>
      <c r="AJ131" s="18">
        <f t="shared" si="134"/>
        <v>894110</v>
      </c>
      <c r="AK131" s="10"/>
      <c r="AL131" s="455">
        <v>0</v>
      </c>
      <c r="AM131" s="458">
        <v>0</v>
      </c>
      <c r="AN131" s="10"/>
      <c r="AO131" s="365"/>
      <c r="AP131" s="365"/>
      <c r="AQ131" s="365"/>
      <c r="AR131" s="365"/>
      <c r="AS131" s="365"/>
      <c r="AT131" s="365"/>
      <c r="AU131" s="365"/>
      <c r="AV131" s="365"/>
      <c r="AW131" s="365"/>
      <c r="AX131" s="365"/>
      <c r="AY131" s="365"/>
      <c r="AZ131" s="365"/>
      <c r="BQ131" s="562"/>
    </row>
    <row r="132" spans="1:69" s="467" customFormat="1" x14ac:dyDescent="0.2">
      <c r="A132" s="623"/>
      <c r="N132" s="10"/>
      <c r="R132" s="10"/>
      <c r="S132" s="155" t="str">
        <f>+IF(NOVIEMBRE!S132=0,"",NOVIEMBRE!S132)</f>
        <v>2010200-9</v>
      </c>
      <c r="T132" s="159" t="str">
        <f>+IF(NOVIEMBRE!T132=0,"",NOVIEMBRE!T132)</f>
        <v>Capacitación, estimulos, incentivos, programa de calidad</v>
      </c>
      <c r="U132" s="29">
        <f>+ENERO!U132</f>
        <v>4142898</v>
      </c>
      <c r="V132" s="17">
        <f>NOVIEMBRE!V132+DICIEMBRE!AL132</f>
        <v>0</v>
      </c>
      <c r="W132" s="17">
        <f>NOVIEMBRE!W132+DICIEMBRE!AM132</f>
        <v>0</v>
      </c>
      <c r="X132" s="20">
        <f t="shared" si="128"/>
        <v>4142898</v>
      </c>
      <c r="Y132" s="21">
        <f>NOVIEMBRE!AA132</f>
        <v>3824400</v>
      </c>
      <c r="Z132" s="457">
        <v>0</v>
      </c>
      <c r="AA132" s="20">
        <f t="shared" si="129"/>
        <v>3824400</v>
      </c>
      <c r="AB132" s="21">
        <f>NOVIEMBRE!AD132</f>
        <v>3824400</v>
      </c>
      <c r="AC132" s="457">
        <v>0</v>
      </c>
      <c r="AD132" s="20">
        <f t="shared" si="130"/>
        <v>3824400</v>
      </c>
      <c r="AE132" s="21">
        <f>NOVIEMBRE!AG132</f>
        <v>3824400</v>
      </c>
      <c r="AF132" s="457">
        <v>0</v>
      </c>
      <c r="AG132" s="20">
        <f t="shared" si="131"/>
        <v>3824400</v>
      </c>
      <c r="AH132" s="21">
        <f t="shared" si="132"/>
        <v>318498</v>
      </c>
      <c r="AI132" s="17">
        <f t="shared" si="133"/>
        <v>318498</v>
      </c>
      <c r="AJ132" s="18">
        <f t="shared" si="134"/>
        <v>318498</v>
      </c>
      <c r="AK132" s="10"/>
      <c r="AL132" s="455">
        <v>0</v>
      </c>
      <c r="AM132" s="458">
        <v>0</v>
      </c>
      <c r="AN132" s="10"/>
      <c r="AO132" s="365"/>
      <c r="AP132" s="365"/>
      <c r="AQ132" s="365"/>
      <c r="AR132" s="365"/>
      <c r="AS132" s="365"/>
      <c r="AT132" s="365"/>
      <c r="AU132" s="365"/>
      <c r="AV132" s="365"/>
      <c r="AW132" s="365"/>
      <c r="AX132" s="365"/>
      <c r="AY132" s="365"/>
      <c r="AZ132" s="365"/>
      <c r="BQ132" s="562"/>
    </row>
    <row r="133" spans="1:69" s="467" customFormat="1" x14ac:dyDescent="0.2">
      <c r="A133" s="623"/>
      <c r="N133" s="10"/>
      <c r="R133" s="10"/>
      <c r="S133" s="155" t="str">
        <f>+IF(NOVIEMBRE!S133=0,"",NOVIEMBRE!S133)</f>
        <v>2010200-10</v>
      </c>
      <c r="T133" s="159" t="str">
        <f>+IF(NOVIEMBRE!T133=0,"",NOVIEMBRE!T133)</f>
        <v>Pagos otras IPS</v>
      </c>
      <c r="U133" s="29">
        <f>+ENERO!U133</f>
        <v>0</v>
      </c>
      <c r="V133" s="17">
        <f>NOVIEMBRE!V133+DICIEMBRE!AL133</f>
        <v>0</v>
      </c>
      <c r="W133" s="17">
        <f>NOVIEMBRE!W133+DICIEMBRE!AM133</f>
        <v>0</v>
      </c>
      <c r="X133" s="20">
        <f t="shared" si="128"/>
        <v>0</v>
      </c>
      <c r="Y133" s="21">
        <f>NOVIEMBRE!AA133</f>
        <v>0</v>
      </c>
      <c r="Z133" s="457">
        <v>0</v>
      </c>
      <c r="AA133" s="20">
        <f t="shared" si="129"/>
        <v>0</v>
      </c>
      <c r="AB133" s="21">
        <f>NOVIEMBRE!AD133</f>
        <v>0</v>
      </c>
      <c r="AC133" s="457">
        <v>0</v>
      </c>
      <c r="AD133" s="20">
        <f t="shared" si="130"/>
        <v>0</v>
      </c>
      <c r="AE133" s="21">
        <f>NOVIEMBRE!AG133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c r="BQ133" s="562"/>
    </row>
    <row r="134" spans="1:69" s="467" customFormat="1" x14ac:dyDescent="0.2">
      <c r="A134" s="623"/>
      <c r="N134" s="10"/>
      <c r="R134" s="10"/>
      <c r="S134" s="155" t="str">
        <f>+IF(NOVIEMBRE!S134=0,"",NOVIEMBRE!S134)</f>
        <v>2010200-11</v>
      </c>
      <c r="T134" s="159" t="str">
        <f>+IF(NOVIEMBRE!T134=0,"",NOVIEMBRE!T134)</f>
        <v>Gastos financieros</v>
      </c>
      <c r="U134" s="29">
        <f>+ENERO!U134</f>
        <v>3294188</v>
      </c>
      <c r="V134" s="17">
        <f>NOVIEMBRE!V134+DICIEMBRE!AL134</f>
        <v>0</v>
      </c>
      <c r="W134" s="17">
        <f>NOVIEMBRE!W134+DICIEMBRE!AM134</f>
        <v>0</v>
      </c>
      <c r="X134" s="20">
        <f t="shared" si="128"/>
        <v>3294188</v>
      </c>
      <c r="Y134" s="21">
        <f>NOVIEMBRE!AA134</f>
        <v>2601879</v>
      </c>
      <c r="Z134" s="457">
        <v>256274</v>
      </c>
      <c r="AA134" s="20">
        <f t="shared" si="129"/>
        <v>2858153</v>
      </c>
      <c r="AB134" s="21">
        <f>NOVIEMBRE!AD134</f>
        <v>2601879</v>
      </c>
      <c r="AC134" s="457">
        <v>256274</v>
      </c>
      <c r="AD134" s="20">
        <f t="shared" si="130"/>
        <v>2858153</v>
      </c>
      <c r="AE134" s="21">
        <f>NOVIEMBRE!AG134</f>
        <v>2601879</v>
      </c>
      <c r="AF134" s="457">
        <v>256274</v>
      </c>
      <c r="AG134" s="20">
        <f t="shared" si="131"/>
        <v>2858153</v>
      </c>
      <c r="AH134" s="21">
        <f t="shared" si="132"/>
        <v>436035</v>
      </c>
      <c r="AI134" s="17">
        <f t="shared" si="133"/>
        <v>436035</v>
      </c>
      <c r="AJ134" s="18">
        <f t="shared" si="134"/>
        <v>436035</v>
      </c>
      <c r="AK134" s="10"/>
      <c r="AL134" s="455">
        <v>0</v>
      </c>
      <c r="AM134" s="458">
        <v>0</v>
      </c>
      <c r="AN134" s="10"/>
      <c r="AO134" s="365"/>
      <c r="AP134" s="365"/>
      <c r="AQ134" s="365"/>
      <c r="AR134" s="365"/>
      <c r="AS134" s="365"/>
      <c r="AT134" s="365"/>
      <c r="AU134" s="365"/>
      <c r="AV134" s="365"/>
      <c r="AW134" s="365"/>
      <c r="AX134" s="365"/>
      <c r="AY134" s="365"/>
      <c r="AZ134" s="365"/>
      <c r="BQ134" s="562"/>
    </row>
    <row r="135" spans="1:69" s="467" customFormat="1" x14ac:dyDescent="0.2">
      <c r="A135" s="623"/>
      <c r="N135" s="10"/>
      <c r="R135" s="10"/>
      <c r="S135" s="155" t="str">
        <f>+IF(NOVIEMBRE!S135=0,"",NOVIEMBRE!S135)</f>
        <v>2010200-12</v>
      </c>
      <c r="T135" s="159" t="str">
        <f>+IF(NOVIEMBRE!T135=0,"",NOVIEMBRE!T135)</f>
        <v/>
      </c>
      <c r="U135" s="29">
        <f>+ENERO!U135</f>
        <v>0</v>
      </c>
      <c r="V135" s="17">
        <f>NOVIEMBRE!V135+DICIEMBRE!AL135</f>
        <v>0</v>
      </c>
      <c r="W135" s="17">
        <f>NOVIEMBRE!W135+DICIEMBRE!AM135</f>
        <v>0</v>
      </c>
      <c r="X135" s="20">
        <f t="shared" si="128"/>
        <v>0</v>
      </c>
      <c r="Y135" s="21">
        <f>NOVIEMBRE!AA135</f>
        <v>0</v>
      </c>
      <c r="Z135" s="457">
        <v>0</v>
      </c>
      <c r="AA135" s="20">
        <f t="shared" si="129"/>
        <v>0</v>
      </c>
      <c r="AB135" s="21">
        <f>NOVIEMBRE!AD135</f>
        <v>0</v>
      </c>
      <c r="AC135" s="457">
        <v>0</v>
      </c>
      <c r="AD135" s="20">
        <f t="shared" si="130"/>
        <v>0</v>
      </c>
      <c r="AE135" s="21">
        <f>NOVIEMBRE!AG135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c r="BQ135" s="562"/>
    </row>
    <row r="136" spans="1:69" s="467" customFormat="1" x14ac:dyDescent="0.2">
      <c r="A136" s="623"/>
      <c r="N136" s="10"/>
      <c r="R136" s="10"/>
      <c r="S136" s="155" t="str">
        <f>+IF(NOVIEMBRE!S136=0,"",NOVIEMBRE!S136)</f>
        <v>2010200-13</v>
      </c>
      <c r="T136" s="159" t="str">
        <f>+IF(NOVIEMBRE!T136=0,"",NOVIEMBRE!T136)</f>
        <v/>
      </c>
      <c r="U136" s="29">
        <f>+ENERO!U136</f>
        <v>0</v>
      </c>
      <c r="V136" s="17">
        <f>NOVIEMBRE!V136+DICIEMBRE!AL136</f>
        <v>0</v>
      </c>
      <c r="W136" s="17">
        <f>NOVIEMBRE!W136+DICIEMBRE!AM136</f>
        <v>0</v>
      </c>
      <c r="X136" s="20">
        <f t="shared" si="128"/>
        <v>0</v>
      </c>
      <c r="Y136" s="21">
        <f>NOVIEMBRE!AA136</f>
        <v>0</v>
      </c>
      <c r="Z136" s="457">
        <v>0</v>
      </c>
      <c r="AA136" s="20">
        <f t="shared" si="129"/>
        <v>0</v>
      </c>
      <c r="AB136" s="21">
        <f>NOVIEMBRE!AD136</f>
        <v>0</v>
      </c>
      <c r="AC136" s="457">
        <v>0</v>
      </c>
      <c r="AD136" s="20">
        <f t="shared" si="130"/>
        <v>0</v>
      </c>
      <c r="AE136" s="21">
        <f>NOVIEMBRE!AG136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c r="BQ136" s="562"/>
    </row>
    <row r="137" spans="1:69" s="467" customFormat="1" x14ac:dyDescent="0.2">
      <c r="A137" s="623"/>
      <c r="N137" s="10"/>
      <c r="R137" s="10"/>
      <c r="S137" s="155" t="str">
        <f>+IF(NOVIEMBRE!S137=0,"",NOVIEMBRE!S137)</f>
        <v>2010020-14</v>
      </c>
      <c r="T137" s="159" t="str">
        <f>+IF(NOVIEMBRE!T137=0,"",NOVIEMBRE!T137)</f>
        <v/>
      </c>
      <c r="U137" s="29">
        <f>+ENERO!U137</f>
        <v>0</v>
      </c>
      <c r="V137" s="17">
        <f>NOVIEMBRE!V137+DICIEMBRE!AL137</f>
        <v>0</v>
      </c>
      <c r="W137" s="17">
        <f>NOVIEMBRE!W137+DICIEMBRE!AM137</f>
        <v>0</v>
      </c>
      <c r="X137" s="20">
        <f t="shared" si="128"/>
        <v>0</v>
      </c>
      <c r="Y137" s="21">
        <f>NOVIEMBRE!AA137</f>
        <v>0</v>
      </c>
      <c r="Z137" s="457">
        <v>0</v>
      </c>
      <c r="AA137" s="20">
        <f t="shared" si="129"/>
        <v>0</v>
      </c>
      <c r="AB137" s="21">
        <f>NOVIEMBRE!AD137</f>
        <v>0</v>
      </c>
      <c r="AC137" s="457">
        <v>0</v>
      </c>
      <c r="AD137" s="20">
        <f t="shared" si="130"/>
        <v>0</v>
      </c>
      <c r="AE137" s="21">
        <f>NOVIEMBRE!AG137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c r="BQ137" s="562"/>
    </row>
    <row r="138" spans="1:69" s="467" customFormat="1" x14ac:dyDescent="0.2">
      <c r="A138" s="623"/>
      <c r="N138" s="10"/>
      <c r="R138" s="10"/>
      <c r="S138" s="155" t="str">
        <f>+IF(NOVIEMBRE!S138=0,"",NOVIEMBRE!S138)</f>
        <v>2010200-15</v>
      </c>
      <c r="T138" s="159" t="str">
        <f>+IF(NOVIEMBRE!T138=0,"",NOVIEMBRE!T138)</f>
        <v/>
      </c>
      <c r="U138" s="29">
        <f>+ENERO!U138</f>
        <v>0</v>
      </c>
      <c r="V138" s="17">
        <f>NOVIEMBRE!V138+DICIEMBRE!AL138</f>
        <v>0</v>
      </c>
      <c r="W138" s="17">
        <f>NOVIEMBRE!W138+DICIEMBRE!AM138</f>
        <v>0</v>
      </c>
      <c r="X138" s="20">
        <f t="shared" si="128"/>
        <v>0</v>
      </c>
      <c r="Y138" s="21">
        <f>NOVIEMBRE!AA138</f>
        <v>0</v>
      </c>
      <c r="Z138" s="457">
        <v>0</v>
      </c>
      <c r="AA138" s="20">
        <f t="shared" si="129"/>
        <v>0</v>
      </c>
      <c r="AB138" s="21">
        <f>NOVIEMBRE!AD138</f>
        <v>0</v>
      </c>
      <c r="AC138" s="457">
        <v>0</v>
      </c>
      <c r="AD138" s="20">
        <f t="shared" si="130"/>
        <v>0</v>
      </c>
      <c r="AE138" s="21">
        <f>NOVIEMBRE!AG138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c r="BQ138" s="562"/>
    </row>
    <row r="139" spans="1:69" s="467" customFormat="1" x14ac:dyDescent="0.2">
      <c r="A139" s="623"/>
      <c r="N139" s="10"/>
      <c r="R139" s="10"/>
      <c r="S139" s="155">
        <f>+IF(NOVIEMBRE!S139=0,"",NOVIEMBRE!S139)</f>
        <v>2010299</v>
      </c>
      <c r="T139" s="159" t="str">
        <f>+IF(NOVIEMBRE!T139=0,"",NOVIEMBRE!T139)</f>
        <v>Vigencias Anteriores</v>
      </c>
      <c r="U139" s="29">
        <f>+ENERO!U139</f>
        <v>2000000</v>
      </c>
      <c r="V139" s="17">
        <f>NOVIEMBRE!V139+DICIEMBRE!AL139</f>
        <v>0</v>
      </c>
      <c r="W139" s="17">
        <f>NOVIEMBRE!W139+DICIEMBRE!AM139</f>
        <v>4066041</v>
      </c>
      <c r="X139" s="20">
        <f t="shared" si="128"/>
        <v>6066041</v>
      </c>
      <c r="Y139" s="21">
        <f>NOVIEMBRE!AA139</f>
        <v>6066041</v>
      </c>
      <c r="Z139" s="457">
        <v>0</v>
      </c>
      <c r="AA139" s="20">
        <f t="shared" si="129"/>
        <v>6066041</v>
      </c>
      <c r="AB139" s="21">
        <f>NOVIEMBRE!AD139</f>
        <v>6066041</v>
      </c>
      <c r="AC139" s="457">
        <v>0</v>
      </c>
      <c r="AD139" s="20">
        <f t="shared" si="130"/>
        <v>6066041</v>
      </c>
      <c r="AE139" s="21">
        <f>NOVIEMBRE!AG139</f>
        <v>6000505</v>
      </c>
      <c r="AF139" s="457">
        <v>0</v>
      </c>
      <c r="AG139" s="20">
        <f t="shared" si="131"/>
        <v>6000505</v>
      </c>
      <c r="AH139" s="21">
        <f t="shared" si="132"/>
        <v>0</v>
      </c>
      <c r="AI139" s="17">
        <f t="shared" si="133"/>
        <v>0</v>
      </c>
      <c r="AJ139" s="18">
        <f t="shared" si="134"/>
        <v>65536</v>
      </c>
      <c r="AK139" s="10"/>
      <c r="AL139" s="455">
        <v>0</v>
      </c>
      <c r="AM139" s="458">
        <v>0</v>
      </c>
      <c r="AN139" s="10"/>
      <c r="AO139" s="365"/>
      <c r="AP139" s="365"/>
      <c r="AQ139" s="365"/>
      <c r="BQ139" s="562"/>
    </row>
    <row r="140" spans="1:69" s="467" customFormat="1" ht="15.75" x14ac:dyDescent="0.2">
      <c r="A140" s="623"/>
      <c r="N140" s="10"/>
      <c r="R140" s="10"/>
      <c r="S140" s="448" t="str">
        <f>+IF(NOVIEMBRE!S140=0,"",NOVIEMBRE!S140)</f>
        <v/>
      </c>
      <c r="T140" s="649" t="str">
        <f>+IF(NOVIEMBRE!T140=0,"",NOVIEMBRE!T140)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c r="BQ140" s="562"/>
    </row>
    <row r="141" spans="1:69" s="467" customFormat="1" ht="15" x14ac:dyDescent="0.2">
      <c r="A141" s="623"/>
      <c r="N141" s="10"/>
      <c r="R141" s="10"/>
      <c r="S141" s="34">
        <f>+IF(NOVIEMBRE!S141=0,"",NOVIEMBRE!S141)</f>
        <v>2010300</v>
      </c>
      <c r="T141" s="158" t="str">
        <f>+IF(NOVIEMBRE!T141=0,"",NOVIEMBRE!T141)</f>
        <v>Impuestos y Multas</v>
      </c>
      <c r="U141" s="157">
        <f t="shared" ref="U141:AJ141" si="136">U142+U143</f>
        <v>0</v>
      </c>
      <c r="V141" s="144">
        <f t="shared" si="136"/>
        <v>0</v>
      </c>
      <c r="W141" s="144">
        <f t="shared" si="136"/>
        <v>1000000</v>
      </c>
      <c r="X141" s="152">
        <f t="shared" si="136"/>
        <v>1000000</v>
      </c>
      <c r="Y141" s="151">
        <f t="shared" si="136"/>
        <v>207600</v>
      </c>
      <c r="Z141" s="144">
        <f t="shared" si="136"/>
        <v>0</v>
      </c>
      <c r="AA141" s="152">
        <f t="shared" si="136"/>
        <v>207600</v>
      </c>
      <c r="AB141" s="151">
        <f t="shared" si="136"/>
        <v>207600</v>
      </c>
      <c r="AC141" s="144">
        <f t="shared" si="136"/>
        <v>0</v>
      </c>
      <c r="AD141" s="152">
        <f t="shared" si="136"/>
        <v>207600</v>
      </c>
      <c r="AE141" s="151">
        <f t="shared" si="136"/>
        <v>207600</v>
      </c>
      <c r="AF141" s="144">
        <f t="shared" si="136"/>
        <v>0</v>
      </c>
      <c r="AG141" s="152">
        <f t="shared" si="136"/>
        <v>207600</v>
      </c>
      <c r="AH141" s="151">
        <f t="shared" si="136"/>
        <v>792400</v>
      </c>
      <c r="AI141" s="144">
        <f t="shared" si="136"/>
        <v>792400</v>
      </c>
      <c r="AJ141" s="153">
        <f t="shared" si="136"/>
        <v>792400</v>
      </c>
      <c r="AK141" s="12"/>
      <c r="AL141" s="151">
        <f>AL142+AL143</f>
        <v>0</v>
      </c>
      <c r="AM141" s="153">
        <f>AM142+AM143</f>
        <v>0</v>
      </c>
      <c r="AN141" s="10"/>
      <c r="BQ141" s="562"/>
    </row>
    <row r="142" spans="1:69" s="467" customFormat="1" x14ac:dyDescent="0.2">
      <c r="A142" s="623"/>
      <c r="N142" s="10"/>
      <c r="R142" s="10"/>
      <c r="S142" s="155" t="str">
        <f>+IF(NOVIEMBRE!S142=0,"",NOVIEMBRE!S142)</f>
        <v>2010300-1</v>
      </c>
      <c r="T142" s="159" t="str">
        <f>+IF(NOVIEMBRE!T142=0,"",NOVIEMBRE!T142)</f>
        <v>Impuestos (Predial, Vehiculos, Otros)</v>
      </c>
      <c r="U142" s="29">
        <f>+ENERO!U142</f>
        <v>0</v>
      </c>
      <c r="V142" s="17">
        <f>NOVIEMBRE!V142+DICIEMBRE!AL142</f>
        <v>0</v>
      </c>
      <c r="W142" s="17">
        <f>NOVIEMBRE!W142+DICIEMBRE!AM142</f>
        <v>1000000</v>
      </c>
      <c r="X142" s="20">
        <f>SUM(U142:W142)</f>
        <v>1000000</v>
      </c>
      <c r="Y142" s="21">
        <f>NOVIEMBRE!AA142</f>
        <v>207600</v>
      </c>
      <c r="Z142" s="457">
        <v>0</v>
      </c>
      <c r="AA142" s="20">
        <f>SUM(Y142:Z142)</f>
        <v>207600</v>
      </c>
      <c r="AB142" s="21">
        <f>NOVIEMBRE!AD142</f>
        <v>207600</v>
      </c>
      <c r="AC142" s="457">
        <v>0</v>
      </c>
      <c r="AD142" s="20">
        <f>SUM(AB142:AC142)</f>
        <v>207600</v>
      </c>
      <c r="AE142" s="21">
        <f>NOVIEMBRE!AG142</f>
        <v>207600</v>
      </c>
      <c r="AF142" s="457">
        <v>0</v>
      </c>
      <c r="AG142" s="20">
        <f>SUM(AE142:AF142)</f>
        <v>207600</v>
      </c>
      <c r="AH142" s="21">
        <f>X142-AA142</f>
        <v>792400</v>
      </c>
      <c r="AI142" s="17">
        <f>X142-AD142</f>
        <v>792400</v>
      </c>
      <c r="AJ142" s="18">
        <f>X142-AG142</f>
        <v>792400</v>
      </c>
      <c r="AK142" s="10"/>
      <c r="AL142" s="455">
        <v>0</v>
      </c>
      <c r="AM142" s="458">
        <v>0</v>
      </c>
      <c r="AN142" s="10"/>
      <c r="BQ142" s="562"/>
    </row>
    <row r="143" spans="1:69" s="467" customFormat="1" x14ac:dyDescent="0.2">
      <c r="A143" s="623"/>
      <c r="N143" s="10"/>
      <c r="R143" s="10"/>
      <c r="S143" s="155">
        <f>+IF(NOVIEMBRE!S143=0,"",NOVIEMBRE!S143)</f>
        <v>2010399</v>
      </c>
      <c r="T143" s="159" t="str">
        <f>+IF(NOVIEMBRE!T143=0,"",NOVIEMBRE!T143)</f>
        <v>Vigencias Anteriores</v>
      </c>
      <c r="U143" s="29">
        <f>+ENERO!U143</f>
        <v>0</v>
      </c>
      <c r="V143" s="17">
        <f>NOVIEMBRE!V143+DICIEMBRE!AL143</f>
        <v>0</v>
      </c>
      <c r="W143" s="17">
        <f>NOVIEMBRE!W143+DICIEMBRE!AM143</f>
        <v>0</v>
      </c>
      <c r="X143" s="20">
        <f>SUM(U143:W143)</f>
        <v>0</v>
      </c>
      <c r="Y143" s="21">
        <f>NOVIEMBRE!AA143</f>
        <v>0</v>
      </c>
      <c r="Z143" s="457">
        <v>0</v>
      </c>
      <c r="AA143" s="20">
        <f>SUM(Y143:Z143)</f>
        <v>0</v>
      </c>
      <c r="AB143" s="21">
        <f>NOVIEMBRE!AD143</f>
        <v>0</v>
      </c>
      <c r="AC143" s="457">
        <v>0</v>
      </c>
      <c r="AD143" s="20">
        <f>SUM(AB143:AC143)</f>
        <v>0</v>
      </c>
      <c r="AE143" s="21">
        <f>NOVIEMBRE!AG143</f>
        <v>0</v>
      </c>
      <c r="AF143" s="457">
        <v>0</v>
      </c>
      <c r="AG143" s="20">
        <f>SUM(AE143:AF143)</f>
        <v>0</v>
      </c>
      <c r="AH143" s="21">
        <f>X143-AA143</f>
        <v>0</v>
      </c>
      <c r="AI143" s="17">
        <f>X143-AD143</f>
        <v>0</v>
      </c>
      <c r="AJ143" s="18">
        <f>X143-AG143</f>
        <v>0</v>
      </c>
      <c r="AK143" s="10"/>
      <c r="AL143" s="455">
        <v>0</v>
      </c>
      <c r="AM143" s="458">
        <v>0</v>
      </c>
      <c r="AN143" s="10"/>
      <c r="BQ143" s="562"/>
    </row>
    <row r="144" spans="1:69" s="467" customFormat="1" ht="15.75" x14ac:dyDescent="0.2">
      <c r="A144" s="623"/>
      <c r="N144" s="10"/>
      <c r="R144" s="10"/>
      <c r="S144" s="448" t="str">
        <f>+IF(NOVIEMBRE!S144=0,"",NOVIEMBRE!S144)</f>
        <v/>
      </c>
      <c r="T144" s="649" t="str">
        <f>+IF(NOVIEMBRE!T144=0,"",NOVIEMBRE!T144)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c r="BQ144" s="562"/>
    </row>
    <row r="145" spans="1:69" s="467" customFormat="1" ht="15.75" x14ac:dyDescent="0.2">
      <c r="A145" s="623"/>
      <c r="N145" s="10"/>
      <c r="R145" s="10"/>
      <c r="S145" s="469">
        <f>+IF(NOVIEMBRE!S145=0,"",NOVIEMBRE!S145)</f>
        <v>2020010</v>
      </c>
      <c r="T145" s="470" t="str">
        <f>+IF(NOVIEMBRE!T145=0,"",NOVIEMBRE!T145)</f>
        <v>Gastos de Operación</v>
      </c>
      <c r="U145" s="157">
        <f t="shared" ref="U145:AJ145" si="137">U147+U155</f>
        <v>378163463</v>
      </c>
      <c r="V145" s="144">
        <f t="shared" si="137"/>
        <v>-746499</v>
      </c>
      <c r="W145" s="144">
        <f t="shared" si="137"/>
        <v>137187532</v>
      </c>
      <c r="X145" s="152">
        <f t="shared" si="137"/>
        <v>514604496</v>
      </c>
      <c r="Y145" s="151">
        <f t="shared" si="137"/>
        <v>401860841</v>
      </c>
      <c r="Z145" s="144">
        <f t="shared" si="137"/>
        <v>49684695</v>
      </c>
      <c r="AA145" s="152">
        <f t="shared" si="137"/>
        <v>451545536</v>
      </c>
      <c r="AB145" s="151">
        <f t="shared" si="137"/>
        <v>401585840</v>
      </c>
      <c r="AC145" s="144">
        <f t="shared" si="137"/>
        <v>49959696</v>
      </c>
      <c r="AD145" s="152">
        <f t="shared" si="137"/>
        <v>451545536</v>
      </c>
      <c r="AE145" s="151">
        <f t="shared" si="137"/>
        <v>355888996</v>
      </c>
      <c r="AF145" s="144">
        <f t="shared" si="137"/>
        <v>38589968</v>
      </c>
      <c r="AG145" s="152">
        <f t="shared" si="137"/>
        <v>394478964</v>
      </c>
      <c r="AH145" s="151">
        <f t="shared" si="137"/>
        <v>63058960</v>
      </c>
      <c r="AI145" s="144">
        <f t="shared" si="137"/>
        <v>63058960</v>
      </c>
      <c r="AJ145" s="153">
        <f t="shared" si="137"/>
        <v>120125532</v>
      </c>
      <c r="AK145" s="12"/>
      <c r="AL145" s="151">
        <f>AL147+AL155</f>
        <v>0</v>
      </c>
      <c r="AM145" s="153">
        <f>AM147+AM155</f>
        <v>0</v>
      </c>
      <c r="AN145" s="10"/>
      <c r="BQ145" s="562"/>
    </row>
    <row r="146" spans="1:69" s="467" customFormat="1" x14ac:dyDescent="0.2">
      <c r="A146" s="623"/>
      <c r="N146" s="10"/>
      <c r="R146" s="10"/>
      <c r="S146" s="11" t="str">
        <f>+IF(NOVIEMBRE!S146=0,"",NOVIEMBRE!S146)</f>
        <v/>
      </c>
      <c r="T146" s="55" t="str">
        <f>+IF(NOVIEMBRE!T146=0,"",NOVIEMBRE!T146)</f>
        <v/>
      </c>
      <c r="U146" s="19"/>
      <c r="V146" s="17"/>
      <c r="W146" s="17"/>
      <c r="X146" s="20"/>
      <c r="Y146" s="21"/>
      <c r="Z146" s="17"/>
      <c r="AA146" s="20"/>
      <c r="AB146" s="21"/>
      <c r="AC146" s="17"/>
      <c r="AD146" s="20"/>
      <c r="AE146" s="21"/>
      <c r="AF146" s="17"/>
      <c r="AG146" s="20"/>
      <c r="AH146" s="21"/>
      <c r="AI146" s="17"/>
      <c r="AJ146" s="18"/>
      <c r="AK146" s="10"/>
      <c r="AL146" s="213"/>
      <c r="AM146" s="214"/>
      <c r="AN146" s="10"/>
      <c r="BQ146" s="562"/>
    </row>
    <row r="147" spans="1:69" s="467" customFormat="1" ht="15" x14ac:dyDescent="0.2">
      <c r="A147" s="623"/>
      <c r="N147" s="10"/>
      <c r="R147" s="10"/>
      <c r="S147" s="34">
        <f>+IF(NOVIEMBRE!S147=0,"",NOVIEMBRE!S147)</f>
        <v>2020100</v>
      </c>
      <c r="T147" s="158" t="str">
        <f>+IF(NOVIEMBRE!T147=0,"",NOVIEMBRE!T147)</f>
        <v>Adquisición de bienes</v>
      </c>
      <c r="U147" s="157">
        <f t="shared" ref="U147:AJ147" si="138">SUM(U148:U149)+U153</f>
        <v>164034265</v>
      </c>
      <c r="V147" s="144">
        <f t="shared" si="138"/>
        <v>1294826</v>
      </c>
      <c r="W147" s="144">
        <f t="shared" si="138"/>
        <v>74587532</v>
      </c>
      <c r="X147" s="152">
        <f t="shared" si="138"/>
        <v>239916623</v>
      </c>
      <c r="Y147" s="151">
        <f t="shared" si="138"/>
        <v>185747702</v>
      </c>
      <c r="Z147" s="144">
        <f t="shared" si="138"/>
        <v>30185735</v>
      </c>
      <c r="AA147" s="152">
        <f t="shared" si="138"/>
        <v>215933437</v>
      </c>
      <c r="AB147" s="151">
        <f t="shared" si="138"/>
        <v>185742701</v>
      </c>
      <c r="AC147" s="144">
        <f t="shared" si="138"/>
        <v>30190736</v>
      </c>
      <c r="AD147" s="152">
        <f t="shared" si="138"/>
        <v>215933437</v>
      </c>
      <c r="AE147" s="151">
        <f t="shared" si="138"/>
        <v>168046050</v>
      </c>
      <c r="AF147" s="144">
        <f t="shared" si="138"/>
        <v>21107181</v>
      </c>
      <c r="AG147" s="152">
        <f t="shared" si="138"/>
        <v>189153231</v>
      </c>
      <c r="AH147" s="151">
        <f t="shared" si="138"/>
        <v>23983186</v>
      </c>
      <c r="AI147" s="144">
        <f t="shared" si="138"/>
        <v>23983186</v>
      </c>
      <c r="AJ147" s="153">
        <f t="shared" si="138"/>
        <v>50763392</v>
      </c>
      <c r="AK147" s="10"/>
      <c r="AL147" s="151">
        <f>SUM(AL148:AL149)+AL153</f>
        <v>0</v>
      </c>
      <c r="AM147" s="153">
        <f>SUM(AM148:AM149)+AM153</f>
        <v>0</v>
      </c>
      <c r="AN147" s="10"/>
      <c r="BQ147" s="562"/>
    </row>
    <row r="148" spans="1:69" s="467" customFormat="1" x14ac:dyDescent="0.2">
      <c r="A148" s="623"/>
      <c r="N148" s="10"/>
      <c r="R148" s="10"/>
      <c r="S148" s="155">
        <f>+IF(NOVIEMBRE!S148=0,"",NOVIEMBRE!S148)</f>
        <v>2020101</v>
      </c>
      <c r="T148" s="159" t="str">
        <f>+IF(NOVIEMBRE!T148=0,"",NOVIEMBRE!T148)</f>
        <v>Mantenimiento Hospitalario</v>
      </c>
      <c r="U148" s="29">
        <f>+ENERO!U148</f>
        <v>73185858</v>
      </c>
      <c r="V148" s="17">
        <f>NOVIEMBRE!V148+DICIEMBRE!AL148</f>
        <v>0</v>
      </c>
      <c r="W148" s="17">
        <f>NOVIEMBRE!W148+DICIEMBRE!AM148</f>
        <v>29400000</v>
      </c>
      <c r="X148" s="20">
        <f>SUM(U148:W148)</f>
        <v>102585858</v>
      </c>
      <c r="Y148" s="21">
        <f>NOVIEMBRE!AA148</f>
        <v>73011248</v>
      </c>
      <c r="Z148" s="457">
        <v>8465332</v>
      </c>
      <c r="AA148" s="20">
        <f>SUM(Y148:Z148)</f>
        <v>81476580</v>
      </c>
      <c r="AB148" s="21">
        <f>NOVIEMBRE!AD148</f>
        <v>73006248</v>
      </c>
      <c r="AC148" s="457">
        <v>8470332</v>
      </c>
      <c r="AD148" s="20">
        <f>SUM(AB148:AC148)</f>
        <v>81476580</v>
      </c>
      <c r="AE148" s="21">
        <f>NOVIEMBRE!AG148</f>
        <v>65646326</v>
      </c>
      <c r="AF148" s="457">
        <v>143936</v>
      </c>
      <c r="AG148" s="20">
        <f>SUM(AE148:AF148)</f>
        <v>65790262</v>
      </c>
      <c r="AH148" s="21">
        <f>X148-AA148</f>
        <v>21109278</v>
      </c>
      <c r="AI148" s="17">
        <f>X148-AD148</f>
        <v>21109278</v>
      </c>
      <c r="AJ148" s="18">
        <f>X148-AG148</f>
        <v>36795596</v>
      </c>
      <c r="AK148" s="10"/>
      <c r="AL148" s="455">
        <v>0</v>
      </c>
      <c r="AM148" s="458">
        <v>0</v>
      </c>
      <c r="AN148" s="10"/>
      <c r="BQ148" s="562"/>
    </row>
    <row r="149" spans="1:69" s="467" customFormat="1" x14ac:dyDescent="0.2">
      <c r="A149" s="623"/>
      <c r="N149" s="10"/>
      <c r="R149" s="10"/>
      <c r="S149" s="155">
        <f>+IF(NOVIEMBRE!S149=0,"",NOVIEMBRE!S149)</f>
        <v>2020102</v>
      </c>
      <c r="T149" s="159" t="str">
        <f>+IF(NOVIEMBRE!T149=0,"",NOVIEMBRE!T149)</f>
        <v>Otros</v>
      </c>
      <c r="U149" s="29">
        <f t="shared" ref="U149:AJ149" si="139">SUM(U150:U152)</f>
        <v>86848407</v>
      </c>
      <c r="V149" s="17">
        <f t="shared" si="139"/>
        <v>-3075665</v>
      </c>
      <c r="W149" s="17">
        <f t="shared" si="139"/>
        <v>35900000</v>
      </c>
      <c r="X149" s="20">
        <f t="shared" si="139"/>
        <v>119672742</v>
      </c>
      <c r="Y149" s="21">
        <f t="shared" si="139"/>
        <v>95078431</v>
      </c>
      <c r="Z149" s="169">
        <f t="shared" si="139"/>
        <v>21720403</v>
      </c>
      <c r="AA149" s="20">
        <f t="shared" si="139"/>
        <v>116798834</v>
      </c>
      <c r="AB149" s="21">
        <f t="shared" si="139"/>
        <v>95078430</v>
      </c>
      <c r="AC149" s="169">
        <f t="shared" si="139"/>
        <v>21720404</v>
      </c>
      <c r="AD149" s="20">
        <f t="shared" si="139"/>
        <v>116798834</v>
      </c>
      <c r="AE149" s="21">
        <f t="shared" si="139"/>
        <v>85558065</v>
      </c>
      <c r="AF149" s="169">
        <f t="shared" si="139"/>
        <v>20963245</v>
      </c>
      <c r="AG149" s="20">
        <f t="shared" si="139"/>
        <v>106521310</v>
      </c>
      <c r="AH149" s="21">
        <f t="shared" si="139"/>
        <v>2873908</v>
      </c>
      <c r="AI149" s="17">
        <f t="shared" si="139"/>
        <v>2873908</v>
      </c>
      <c r="AJ149" s="18">
        <f t="shared" si="139"/>
        <v>13151432</v>
      </c>
      <c r="AK149" s="10"/>
      <c r="AL149" s="31">
        <f>SUM(AL150:AL152)</f>
        <v>0</v>
      </c>
      <c r="AM149" s="28">
        <f>SUM(AM150:AM152)</f>
        <v>0</v>
      </c>
      <c r="AN149" s="10"/>
      <c r="BQ149" s="562"/>
    </row>
    <row r="150" spans="1:69" s="467" customFormat="1" x14ac:dyDescent="0.2">
      <c r="A150" s="623"/>
      <c r="N150" s="10"/>
      <c r="R150" s="10"/>
      <c r="S150" s="156" t="str">
        <f>+IF(NOVIEMBRE!S150=0,"",NOVIEMBRE!S150)</f>
        <v>2020102-1</v>
      </c>
      <c r="T150" s="159" t="str">
        <f>+IF(NOVIEMBRE!T150=0,"",NOVIEMBRE!T150)</f>
        <v>Compra de Equipo e Instr. Mco. y Laborat.</v>
      </c>
      <c r="U150" s="29">
        <f>+ENERO!U150</f>
        <v>36341462</v>
      </c>
      <c r="V150" s="17">
        <f>NOVIEMBRE!V150+DICIEMBRE!AL150</f>
        <v>-3075665</v>
      </c>
      <c r="W150" s="17">
        <f>NOVIEMBRE!W150+DICIEMBRE!AM150</f>
        <v>15000000</v>
      </c>
      <c r="X150" s="20">
        <f>SUM(U150:W150)</f>
        <v>48265797</v>
      </c>
      <c r="Y150" s="21">
        <f>NOVIEMBRE!AA150</f>
        <v>33649961</v>
      </c>
      <c r="Z150" s="457">
        <v>12728079</v>
      </c>
      <c r="AA150" s="20">
        <f>SUM(Y150:Z150)</f>
        <v>46378040</v>
      </c>
      <c r="AB150" s="21">
        <f>NOVIEMBRE!AD150</f>
        <v>33649960</v>
      </c>
      <c r="AC150" s="457">
        <v>12728080</v>
      </c>
      <c r="AD150" s="20">
        <f>SUM(AB150:AC150)</f>
        <v>46378040</v>
      </c>
      <c r="AE150" s="21">
        <f>NOVIEMBRE!AG150</f>
        <v>27852560</v>
      </c>
      <c r="AF150" s="457">
        <v>12728080</v>
      </c>
      <c r="AG150" s="20">
        <f>SUM(AE150:AF150)</f>
        <v>40580640</v>
      </c>
      <c r="AH150" s="21">
        <f>X150-AA150</f>
        <v>1887757</v>
      </c>
      <c r="AI150" s="17">
        <f>X150-AD150</f>
        <v>1887757</v>
      </c>
      <c r="AJ150" s="18">
        <f>X150-AG150</f>
        <v>7685157</v>
      </c>
      <c r="AK150" s="10"/>
      <c r="AL150" s="455">
        <v>0</v>
      </c>
      <c r="AM150" s="458">
        <v>0</v>
      </c>
      <c r="AN150" s="10"/>
      <c r="BQ150" s="562"/>
    </row>
    <row r="151" spans="1:69" s="467" customFormat="1" x14ac:dyDescent="0.2">
      <c r="A151" s="623"/>
      <c r="N151" s="10"/>
      <c r="R151" s="10"/>
      <c r="S151" s="156" t="str">
        <f>+IF(NOVIEMBRE!S151=0,"",NOVIEMBRE!S151)</f>
        <v>2020102-2</v>
      </c>
      <c r="T151" s="159" t="str">
        <f>+IF(NOVIEMBRE!T151=0,"",NOVIEMBRE!T151)</f>
        <v>Materiales</v>
      </c>
      <c r="U151" s="29">
        <f>+ENERO!U151</f>
        <v>17885632</v>
      </c>
      <c r="V151" s="17">
        <f>NOVIEMBRE!V151+DICIEMBRE!AL151</f>
        <v>0</v>
      </c>
      <c r="W151" s="17">
        <f>NOVIEMBRE!W151+DICIEMBRE!AM151</f>
        <v>10900000</v>
      </c>
      <c r="X151" s="20">
        <f>SUM(U151:W151)</f>
        <v>28785632</v>
      </c>
      <c r="Y151" s="21">
        <f>NOVIEMBRE!AA151</f>
        <v>21298222</v>
      </c>
      <c r="Z151" s="457">
        <v>6710500</v>
      </c>
      <c r="AA151" s="20">
        <f>SUM(Y151:Z151)</f>
        <v>28008722</v>
      </c>
      <c r="AB151" s="21">
        <f>NOVIEMBRE!AD151</f>
        <v>21298222</v>
      </c>
      <c r="AC151" s="457">
        <v>6710500</v>
      </c>
      <c r="AD151" s="20">
        <f>SUM(AB151:AC151)</f>
        <v>28008722</v>
      </c>
      <c r="AE151" s="21">
        <f>NOVIEMBRE!AG151</f>
        <v>21298222</v>
      </c>
      <c r="AF151" s="457">
        <v>4512200</v>
      </c>
      <c r="AG151" s="20">
        <f>SUM(AE151:AF151)</f>
        <v>25810422</v>
      </c>
      <c r="AH151" s="21">
        <f>X151-AA151</f>
        <v>776910</v>
      </c>
      <c r="AI151" s="17">
        <f>X151-AD151</f>
        <v>776910</v>
      </c>
      <c r="AJ151" s="18">
        <f>X151-AG151</f>
        <v>2975210</v>
      </c>
      <c r="AK151" s="10"/>
      <c r="AL151" s="455">
        <v>0</v>
      </c>
      <c r="AM151" s="458">
        <v>0</v>
      </c>
      <c r="AN151" s="10"/>
      <c r="BQ151" s="562"/>
    </row>
    <row r="152" spans="1:69" s="467" customFormat="1" x14ac:dyDescent="0.2">
      <c r="A152" s="623"/>
      <c r="N152" s="10"/>
      <c r="R152" s="10"/>
      <c r="S152" s="11" t="str">
        <f>+IF(NOVIEMBRE!S152=0,"",NOVIEMBRE!S152)</f>
        <v>2020102-3</v>
      </c>
      <c r="T152" s="159" t="str">
        <f>+IF(NOVIEMBRE!T152=0,"",NOVIEMBRE!T152)</f>
        <v>Combustible</v>
      </c>
      <c r="U152" s="29">
        <f>+ENERO!U152</f>
        <v>32621313</v>
      </c>
      <c r="V152" s="17">
        <f>NOVIEMBRE!V152+DICIEMBRE!AL152</f>
        <v>0</v>
      </c>
      <c r="W152" s="17">
        <f>NOVIEMBRE!W152+DICIEMBRE!AM152</f>
        <v>10000000</v>
      </c>
      <c r="X152" s="20">
        <f>SUM(U152:W152)</f>
        <v>42621313</v>
      </c>
      <c r="Y152" s="21">
        <f>NOVIEMBRE!AA152</f>
        <v>40130248</v>
      </c>
      <c r="Z152" s="457">
        <v>2281824</v>
      </c>
      <c r="AA152" s="20">
        <f>SUM(Y152:Z152)</f>
        <v>42412072</v>
      </c>
      <c r="AB152" s="21">
        <f>NOVIEMBRE!AD152</f>
        <v>40130248</v>
      </c>
      <c r="AC152" s="457">
        <v>2281824</v>
      </c>
      <c r="AD152" s="20">
        <f>SUM(AB152:AC152)</f>
        <v>42412072</v>
      </c>
      <c r="AE152" s="21">
        <f>NOVIEMBRE!AG152</f>
        <v>36407283</v>
      </c>
      <c r="AF152" s="457">
        <v>3722965</v>
      </c>
      <c r="AG152" s="20">
        <f>SUM(AE152:AF152)</f>
        <v>40130248</v>
      </c>
      <c r="AH152" s="21">
        <f>X152-AA152</f>
        <v>209241</v>
      </c>
      <c r="AI152" s="17">
        <f>X152-AD152</f>
        <v>209241</v>
      </c>
      <c r="AJ152" s="18">
        <f>X152-AG152</f>
        <v>2491065</v>
      </c>
      <c r="AK152" s="10"/>
      <c r="AL152" s="455">
        <v>0</v>
      </c>
      <c r="AM152" s="458">
        <v>0</v>
      </c>
      <c r="AN152" s="10"/>
      <c r="BQ152" s="562"/>
    </row>
    <row r="153" spans="1:69" s="467" customFormat="1" x14ac:dyDescent="0.2">
      <c r="A153" s="623"/>
      <c r="N153" s="10"/>
      <c r="R153" s="10"/>
      <c r="S153" s="155">
        <f>+IF(NOVIEMBRE!S153=0,"",NOVIEMBRE!S153)</f>
        <v>2020199</v>
      </c>
      <c r="T153" s="159" t="str">
        <f>+IF(NOVIEMBRE!T153=0,"",NOVIEMBRE!T153)</f>
        <v>Vigencias Anteriores</v>
      </c>
      <c r="U153" s="29">
        <f>+ENERO!U153</f>
        <v>4000000</v>
      </c>
      <c r="V153" s="17">
        <f>NOVIEMBRE!V153+DICIEMBRE!AL153</f>
        <v>4370491</v>
      </c>
      <c r="W153" s="17">
        <f>NOVIEMBRE!W153+DICIEMBRE!AM153</f>
        <v>9287532</v>
      </c>
      <c r="X153" s="20">
        <f>SUM(U153:W153)</f>
        <v>17658023</v>
      </c>
      <c r="Y153" s="21">
        <f>NOVIEMBRE!AA153</f>
        <v>17658023</v>
      </c>
      <c r="Z153" s="457">
        <v>0</v>
      </c>
      <c r="AA153" s="20">
        <f>SUM(Y153:Z153)</f>
        <v>17658023</v>
      </c>
      <c r="AB153" s="21">
        <f>NOVIEMBRE!AD153</f>
        <v>17658023</v>
      </c>
      <c r="AC153" s="457">
        <v>0</v>
      </c>
      <c r="AD153" s="20">
        <f>SUM(AB153:AC153)</f>
        <v>17658023</v>
      </c>
      <c r="AE153" s="21">
        <f>NOVIEMBRE!AG153</f>
        <v>16841659</v>
      </c>
      <c r="AF153" s="457">
        <v>0</v>
      </c>
      <c r="AG153" s="20">
        <f>SUM(AE153:AF153)</f>
        <v>16841659</v>
      </c>
      <c r="AH153" s="21">
        <f>X153-AA153</f>
        <v>0</v>
      </c>
      <c r="AI153" s="17">
        <f>X153-AD153</f>
        <v>0</v>
      </c>
      <c r="AJ153" s="18">
        <f>X153-AG153</f>
        <v>816364</v>
      </c>
      <c r="AK153" s="10"/>
      <c r="AL153" s="455">
        <v>0</v>
      </c>
      <c r="AM153" s="458">
        <v>0</v>
      </c>
      <c r="AN153" s="10"/>
      <c r="BQ153" s="562"/>
    </row>
    <row r="154" spans="1:69" s="467" customFormat="1" ht="15.75" x14ac:dyDescent="0.2">
      <c r="A154" s="623"/>
      <c r="N154" s="10"/>
      <c r="R154" s="10"/>
      <c r="S154" s="448" t="str">
        <f>+IF(NOVIEMBRE!S154=0,"",NOVIEMBRE!S154)</f>
        <v/>
      </c>
      <c r="T154" s="649" t="str">
        <f>+IF(NOVIEMBRE!T154=0,"",NOVIEMBRE!T154)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c r="BQ154" s="562"/>
    </row>
    <row r="155" spans="1:69" s="467" customFormat="1" ht="15" x14ac:dyDescent="0.2">
      <c r="A155" s="623"/>
      <c r="N155" s="10"/>
      <c r="R155" s="10"/>
      <c r="S155" s="34">
        <f>+IF(NOVIEMBRE!S155=0,"",NOVIEMBRE!S155)</f>
        <v>2020200</v>
      </c>
      <c r="T155" s="158" t="str">
        <f>+IF(NOVIEMBRE!T155=0,"",NOVIEMBRE!T155)</f>
        <v>Adquisición de Servicios</v>
      </c>
      <c r="U155" s="157">
        <f t="shared" ref="U155:AJ155" si="140">SUM(U156:U157)+U168</f>
        <v>214129198</v>
      </c>
      <c r="V155" s="144">
        <f t="shared" si="140"/>
        <v>-2041325</v>
      </c>
      <c r="W155" s="144">
        <f t="shared" si="140"/>
        <v>62600000</v>
      </c>
      <c r="X155" s="152">
        <f t="shared" si="140"/>
        <v>274687873</v>
      </c>
      <c r="Y155" s="151">
        <f t="shared" si="140"/>
        <v>216113139</v>
      </c>
      <c r="Z155" s="144">
        <f t="shared" si="140"/>
        <v>19498960</v>
      </c>
      <c r="AA155" s="152">
        <f t="shared" si="140"/>
        <v>235612099</v>
      </c>
      <c r="AB155" s="151">
        <f t="shared" si="140"/>
        <v>215843139</v>
      </c>
      <c r="AC155" s="144">
        <f t="shared" si="140"/>
        <v>19768960</v>
      </c>
      <c r="AD155" s="152">
        <f t="shared" si="140"/>
        <v>235612099</v>
      </c>
      <c r="AE155" s="151">
        <f t="shared" si="140"/>
        <v>187842946</v>
      </c>
      <c r="AF155" s="144">
        <f t="shared" si="140"/>
        <v>17482787</v>
      </c>
      <c r="AG155" s="152">
        <f t="shared" si="140"/>
        <v>205325733</v>
      </c>
      <c r="AH155" s="151">
        <f t="shared" si="140"/>
        <v>39075774</v>
      </c>
      <c r="AI155" s="144">
        <f t="shared" si="140"/>
        <v>39075774</v>
      </c>
      <c r="AJ155" s="153">
        <f t="shared" si="140"/>
        <v>69362140</v>
      </c>
      <c r="AK155" s="10"/>
      <c r="AL155" s="151">
        <f>SUM(AL156:AL157)+AL168</f>
        <v>0</v>
      </c>
      <c r="AM155" s="153">
        <f>SUM(AM156:AM157)+AM168</f>
        <v>0</v>
      </c>
      <c r="AN155" s="10"/>
      <c r="BQ155" s="562"/>
    </row>
    <row r="156" spans="1:69" s="467" customFormat="1" x14ac:dyDescent="0.2">
      <c r="A156" s="623"/>
      <c r="N156" s="10"/>
      <c r="P156" s="10"/>
      <c r="Q156" s="10"/>
      <c r="R156" s="10"/>
      <c r="S156" s="155">
        <f>+IF(NOVIEMBRE!S156=0,"",NOVIEMBRE!S156)</f>
        <v>2020201</v>
      </c>
      <c r="T156" s="159" t="str">
        <f>+IF(NOVIEMBRE!T156=0,"",NOVIEMBRE!T156)</f>
        <v>Mantenimiento Hospitalario</v>
      </c>
      <c r="U156" s="29">
        <f>+ENERO!U156</f>
        <v>89449384</v>
      </c>
      <c r="V156" s="17">
        <f>NOVIEMBRE!V156+DICIEMBRE!AL156</f>
        <v>0</v>
      </c>
      <c r="W156" s="17">
        <f>NOVIEMBRE!W156+DICIEMBRE!AM156</f>
        <v>30900000</v>
      </c>
      <c r="X156" s="20">
        <f>SUM(U156:W156)</f>
        <v>120349384</v>
      </c>
      <c r="Y156" s="21">
        <f>NOVIEMBRE!AA156</f>
        <v>108559982</v>
      </c>
      <c r="Z156" s="457">
        <v>8708645</v>
      </c>
      <c r="AA156" s="20">
        <f>SUM(Y156:Z156)</f>
        <v>117268627</v>
      </c>
      <c r="AB156" s="21">
        <f>NOVIEMBRE!AD156</f>
        <v>108289982</v>
      </c>
      <c r="AC156" s="457">
        <v>8978645</v>
      </c>
      <c r="AD156" s="20">
        <f>SUM(AB156:AC156)</f>
        <v>117268627</v>
      </c>
      <c r="AE156" s="21">
        <f>NOVIEMBRE!AG156</f>
        <v>97699591</v>
      </c>
      <c r="AF156" s="457">
        <v>2616720</v>
      </c>
      <c r="AG156" s="20">
        <f>SUM(AE156:AF156)</f>
        <v>100316311</v>
      </c>
      <c r="AH156" s="21">
        <f>X156-AA156</f>
        <v>3080757</v>
      </c>
      <c r="AI156" s="17">
        <f>X156-AD156</f>
        <v>3080757</v>
      </c>
      <c r="AJ156" s="18">
        <f>X156-AG156</f>
        <v>20033073</v>
      </c>
      <c r="AK156" s="10"/>
      <c r="AL156" s="455">
        <v>0</v>
      </c>
      <c r="AM156" s="458">
        <v>0</v>
      </c>
      <c r="AN156" s="10"/>
      <c r="BQ156" s="562"/>
    </row>
    <row r="157" spans="1:69" s="467" customFormat="1" x14ac:dyDescent="0.2">
      <c r="A157" s="623"/>
      <c r="N157" s="10"/>
      <c r="P157" s="10"/>
      <c r="Q157" s="10"/>
      <c r="R157" s="10"/>
      <c r="S157" s="155">
        <f>+IF(NOVIEMBRE!S157=0,"",NOVIEMBRE!S157)</f>
        <v>2020202</v>
      </c>
      <c r="T157" s="159" t="str">
        <f>+IF(NOVIEMBRE!T157=0,"",NOVIEMBRE!T157)</f>
        <v>Otros</v>
      </c>
      <c r="U157" s="29">
        <f t="shared" ref="U157:AJ157" si="141">SUM(U158:U167)</f>
        <v>111949655</v>
      </c>
      <c r="V157" s="17">
        <f t="shared" si="141"/>
        <v>0</v>
      </c>
      <c r="W157" s="17">
        <f t="shared" si="141"/>
        <v>31700000</v>
      </c>
      <c r="X157" s="20">
        <f t="shared" si="141"/>
        <v>143649655</v>
      </c>
      <c r="Y157" s="21">
        <f t="shared" si="141"/>
        <v>96864323</v>
      </c>
      <c r="Z157" s="169">
        <f t="shared" si="141"/>
        <v>10790315</v>
      </c>
      <c r="AA157" s="20">
        <f t="shared" si="141"/>
        <v>107654638</v>
      </c>
      <c r="AB157" s="21">
        <f t="shared" si="141"/>
        <v>96864323</v>
      </c>
      <c r="AC157" s="169">
        <f t="shared" si="141"/>
        <v>10790315</v>
      </c>
      <c r="AD157" s="20">
        <f t="shared" si="141"/>
        <v>107654638</v>
      </c>
      <c r="AE157" s="21">
        <f t="shared" si="141"/>
        <v>79454521</v>
      </c>
      <c r="AF157" s="169">
        <f t="shared" si="141"/>
        <v>14866067</v>
      </c>
      <c r="AG157" s="20">
        <f t="shared" si="141"/>
        <v>94320588</v>
      </c>
      <c r="AH157" s="21">
        <f t="shared" si="141"/>
        <v>35995017</v>
      </c>
      <c r="AI157" s="17">
        <f t="shared" si="141"/>
        <v>35995017</v>
      </c>
      <c r="AJ157" s="18">
        <f t="shared" si="141"/>
        <v>49329067</v>
      </c>
      <c r="AK157" s="12"/>
      <c r="AL157" s="31">
        <f>SUM(AL158:AL167)</f>
        <v>0</v>
      </c>
      <c r="AM157" s="28">
        <f>SUM(AM158:AM167)</f>
        <v>0</v>
      </c>
      <c r="AN157" s="10"/>
      <c r="BQ157" s="562"/>
    </row>
    <row r="158" spans="1:69" s="467" customFormat="1" x14ac:dyDescent="0.2">
      <c r="A158" s="623"/>
      <c r="N158" s="10"/>
      <c r="P158" s="10"/>
      <c r="Q158" s="10"/>
      <c r="R158" s="10"/>
      <c r="S158" s="156" t="str">
        <f>+IF(NOVIEMBRE!S158=0,"",NOVIEMBRE!S158)</f>
        <v>2020202-1</v>
      </c>
      <c r="T158" s="55" t="str">
        <f>+IF(NOVIEMBRE!T158=0,"",NOVIEMBRE!T158)</f>
        <v>Seguros</v>
      </c>
      <c r="U158" s="29">
        <f>+ENERO!U158</f>
        <v>10500000</v>
      </c>
      <c r="V158" s="17">
        <f>NOVIEMBRE!V158+DICIEMBRE!AL158</f>
        <v>0</v>
      </c>
      <c r="W158" s="17">
        <f>NOVIEMBRE!W158+DICIEMBRE!AM158</f>
        <v>10000000</v>
      </c>
      <c r="X158" s="20">
        <f t="shared" ref="X158:X168" si="142">SUM(U158:W158)</f>
        <v>20500000</v>
      </c>
      <c r="Y158" s="21">
        <f>NOVIEMBRE!AA158</f>
        <v>15895153</v>
      </c>
      <c r="Z158" s="457">
        <v>4000000</v>
      </c>
      <c r="AA158" s="20">
        <f t="shared" ref="AA158:AA168" si="143">SUM(Y158:Z158)</f>
        <v>19895153</v>
      </c>
      <c r="AB158" s="21">
        <f>NOVIEMBRE!AD158</f>
        <v>15895153</v>
      </c>
      <c r="AC158" s="457">
        <v>4000000</v>
      </c>
      <c r="AD158" s="20">
        <f t="shared" ref="AD158:AD168" si="144">SUM(AB158:AC158)</f>
        <v>19895153</v>
      </c>
      <c r="AE158" s="21">
        <f>NOVIEMBRE!AG158</f>
        <v>10500000</v>
      </c>
      <c r="AF158" s="457">
        <v>5395153</v>
      </c>
      <c r="AG158" s="20">
        <f t="shared" ref="AG158:AG168" si="145">SUM(AE158:AF158)</f>
        <v>15895153</v>
      </c>
      <c r="AH158" s="21">
        <f t="shared" ref="AH158:AH168" si="146">X158-AA158</f>
        <v>604847</v>
      </c>
      <c r="AI158" s="17">
        <f t="shared" ref="AI158:AI168" si="147">X158-AD158</f>
        <v>604847</v>
      </c>
      <c r="AJ158" s="18">
        <f t="shared" ref="AJ158:AJ168" si="148">X158-AG158</f>
        <v>4604847</v>
      </c>
      <c r="AK158" s="10"/>
      <c r="AL158" s="455">
        <v>0</v>
      </c>
      <c r="AM158" s="458">
        <v>0</v>
      </c>
      <c r="AN158" s="10"/>
      <c r="BQ158" s="562"/>
    </row>
    <row r="159" spans="1:69" s="467" customFormat="1" x14ac:dyDescent="0.2">
      <c r="A159" s="623"/>
      <c r="N159" s="10"/>
      <c r="P159" s="10"/>
      <c r="Q159" s="10"/>
      <c r="R159" s="10"/>
      <c r="S159" s="156" t="str">
        <f>+IF(NOVIEMBRE!S159=0,"",NOVIEMBRE!S159)</f>
        <v>2020202-2</v>
      </c>
      <c r="T159" s="55" t="str">
        <f>+IF(NOVIEMBRE!T159=0,"",NOVIEMBRE!T159)</f>
        <v>Impresos y Publicaciones</v>
      </c>
      <c r="U159" s="29">
        <f>+ENERO!U159</f>
        <v>6697601</v>
      </c>
      <c r="V159" s="17">
        <f>NOVIEMBRE!V159+DICIEMBRE!AL159</f>
        <v>0</v>
      </c>
      <c r="W159" s="17">
        <f>NOVIEMBRE!W159+DICIEMBRE!AM159</f>
        <v>4000000</v>
      </c>
      <c r="X159" s="20">
        <f t="shared" si="142"/>
        <v>10697601</v>
      </c>
      <c r="Y159" s="21">
        <f>NOVIEMBRE!AA159</f>
        <v>8558613</v>
      </c>
      <c r="Z159" s="457">
        <v>653872</v>
      </c>
      <c r="AA159" s="20">
        <f t="shared" si="143"/>
        <v>9212485</v>
      </c>
      <c r="AB159" s="21">
        <f>NOVIEMBRE!AD159</f>
        <v>8558613</v>
      </c>
      <c r="AC159" s="457">
        <v>653872</v>
      </c>
      <c r="AD159" s="20">
        <f t="shared" si="144"/>
        <v>9212485</v>
      </c>
      <c r="AE159" s="21">
        <f>NOVIEMBRE!AG159</f>
        <v>6797813</v>
      </c>
      <c r="AF159" s="457">
        <v>2094672</v>
      </c>
      <c r="AG159" s="20">
        <f t="shared" si="145"/>
        <v>8892485</v>
      </c>
      <c r="AH159" s="21">
        <f t="shared" si="146"/>
        <v>1485116</v>
      </c>
      <c r="AI159" s="17">
        <f t="shared" si="147"/>
        <v>1485116</v>
      </c>
      <c r="AJ159" s="18">
        <f t="shared" si="148"/>
        <v>1805116</v>
      </c>
      <c r="AK159" s="10"/>
      <c r="AL159" s="455">
        <v>0</v>
      </c>
      <c r="AM159" s="458">
        <v>0</v>
      </c>
      <c r="AN159" s="10"/>
      <c r="BQ159" s="562"/>
    </row>
    <row r="160" spans="1:69" s="467" customFormat="1" x14ac:dyDescent="0.2">
      <c r="A160" s="623"/>
      <c r="N160" s="10"/>
      <c r="P160" s="10"/>
      <c r="Q160" s="10"/>
      <c r="R160" s="10"/>
      <c r="S160" s="156" t="str">
        <f>+IF(NOVIEMBRE!S160=0,"",NOVIEMBRE!S160)</f>
        <v>2020202-3</v>
      </c>
      <c r="T160" s="55" t="str">
        <f>+IF(NOVIEMBRE!T160=0,"",NOVIEMBRE!T160)</f>
        <v>Pago a otras IPS</v>
      </c>
      <c r="U160" s="29">
        <f>+ENERO!U160</f>
        <v>11458020</v>
      </c>
      <c r="V160" s="17">
        <f>NOVIEMBRE!V160+DICIEMBRE!AL160</f>
        <v>0</v>
      </c>
      <c r="W160" s="17">
        <f>NOVIEMBRE!W160+DICIEMBRE!AM160</f>
        <v>0</v>
      </c>
      <c r="X160" s="20">
        <f t="shared" si="142"/>
        <v>11458020</v>
      </c>
      <c r="Y160" s="21">
        <f>NOVIEMBRE!AA160</f>
        <v>2984714</v>
      </c>
      <c r="Z160" s="457">
        <v>38400</v>
      </c>
      <c r="AA160" s="20">
        <f t="shared" si="143"/>
        <v>3023114</v>
      </c>
      <c r="AB160" s="21">
        <f>NOVIEMBRE!AD160</f>
        <v>2984714</v>
      </c>
      <c r="AC160" s="457">
        <v>38400</v>
      </c>
      <c r="AD160" s="20">
        <f t="shared" si="144"/>
        <v>3023114</v>
      </c>
      <c r="AE160" s="21">
        <f>NOVIEMBRE!AG160</f>
        <v>786749</v>
      </c>
      <c r="AF160" s="457">
        <v>0</v>
      </c>
      <c r="AG160" s="20">
        <f t="shared" si="145"/>
        <v>786749</v>
      </c>
      <c r="AH160" s="21">
        <f t="shared" si="146"/>
        <v>8434906</v>
      </c>
      <c r="AI160" s="17">
        <f t="shared" si="147"/>
        <v>8434906</v>
      </c>
      <c r="AJ160" s="18">
        <f t="shared" si="148"/>
        <v>10671271</v>
      </c>
      <c r="AK160" s="10"/>
      <c r="AL160" s="455">
        <v>0</v>
      </c>
      <c r="AM160" s="458">
        <v>0</v>
      </c>
      <c r="AN160" s="10"/>
      <c r="BQ160" s="562"/>
    </row>
    <row r="161" spans="1:69" s="467" customFormat="1" x14ac:dyDescent="0.2">
      <c r="A161" s="623"/>
      <c r="N161" s="10"/>
      <c r="P161" s="10"/>
      <c r="Q161" s="10"/>
      <c r="R161" s="10"/>
      <c r="S161" s="156" t="str">
        <f>+IF(NOVIEMBRE!S161=0,"",NOVIEMBRE!S161)</f>
        <v>2020202-4</v>
      </c>
      <c r="T161" s="55" t="str">
        <f>+IF(NOVIEMBRE!T161=0,"",NOVIEMBRE!T161)</f>
        <v>Comunicaciones y Transportes</v>
      </c>
      <c r="U161" s="29">
        <f>+ENERO!U161</f>
        <v>14340084</v>
      </c>
      <c r="V161" s="17">
        <f>NOVIEMBRE!V161+DICIEMBRE!AL161</f>
        <v>0</v>
      </c>
      <c r="W161" s="17">
        <f>NOVIEMBRE!W161+DICIEMBRE!AM161</f>
        <v>6000000</v>
      </c>
      <c r="X161" s="20">
        <f t="shared" si="142"/>
        <v>20340084</v>
      </c>
      <c r="Y161" s="21">
        <f>NOVIEMBRE!AA161</f>
        <v>14343770</v>
      </c>
      <c r="Z161" s="457">
        <v>1310000</v>
      </c>
      <c r="AA161" s="20">
        <f t="shared" si="143"/>
        <v>15653770</v>
      </c>
      <c r="AB161" s="21">
        <f>NOVIEMBRE!AD161</f>
        <v>14343770</v>
      </c>
      <c r="AC161" s="457">
        <v>1310000</v>
      </c>
      <c r="AD161" s="20">
        <f t="shared" si="144"/>
        <v>15653770</v>
      </c>
      <c r="AE161" s="21">
        <f>NOVIEMBRE!AG161</f>
        <v>12390770</v>
      </c>
      <c r="AF161" s="457">
        <v>89000</v>
      </c>
      <c r="AG161" s="20">
        <f t="shared" si="145"/>
        <v>12479770</v>
      </c>
      <c r="AH161" s="21">
        <f t="shared" si="146"/>
        <v>4686314</v>
      </c>
      <c r="AI161" s="17">
        <f t="shared" si="147"/>
        <v>4686314</v>
      </c>
      <c r="AJ161" s="18">
        <f t="shared" si="148"/>
        <v>7860314</v>
      </c>
      <c r="AK161" s="10"/>
      <c r="AL161" s="455">
        <v>0</v>
      </c>
      <c r="AM161" s="458">
        <v>0</v>
      </c>
      <c r="AN161" s="10"/>
      <c r="BQ161" s="562"/>
    </row>
    <row r="162" spans="1:69" s="467" customFormat="1" x14ac:dyDescent="0.2">
      <c r="A162" s="623"/>
      <c r="N162" s="10"/>
      <c r="P162" s="10"/>
      <c r="Q162" s="10"/>
      <c r="R162" s="10"/>
      <c r="S162" s="156" t="str">
        <f>+IF(NOVIEMBRE!S162=0,"",NOVIEMBRE!S162)</f>
        <v>2020202-5</v>
      </c>
      <c r="T162" s="55" t="str">
        <f>+IF(NOVIEMBRE!T162=0,"",NOVIEMBRE!T162)</f>
        <v>Viáticos y Gastos de Viaje</v>
      </c>
      <c r="U162" s="29">
        <f>+ENERO!U162</f>
        <v>23894636</v>
      </c>
      <c r="V162" s="17">
        <f>NOVIEMBRE!V162+DICIEMBRE!AL162</f>
        <v>0</v>
      </c>
      <c r="W162" s="17">
        <f>NOVIEMBRE!W162+DICIEMBRE!AM162</f>
        <v>6000000</v>
      </c>
      <c r="X162" s="20">
        <f t="shared" si="142"/>
        <v>29894636</v>
      </c>
      <c r="Y162" s="21">
        <f>NOVIEMBRE!AA162</f>
        <v>22221980</v>
      </c>
      <c r="Z162" s="457">
        <v>2936253</v>
      </c>
      <c r="AA162" s="20">
        <f t="shared" si="143"/>
        <v>25158233</v>
      </c>
      <c r="AB162" s="21">
        <f>NOVIEMBRE!AD162</f>
        <v>22221980</v>
      </c>
      <c r="AC162" s="457">
        <v>2936253</v>
      </c>
      <c r="AD162" s="20">
        <f t="shared" si="144"/>
        <v>25158233</v>
      </c>
      <c r="AE162" s="21">
        <f>NOVIEMBRE!AG162</f>
        <v>22208633</v>
      </c>
      <c r="AF162" s="457">
        <v>2936253</v>
      </c>
      <c r="AG162" s="20">
        <f t="shared" si="145"/>
        <v>25144886</v>
      </c>
      <c r="AH162" s="21">
        <f t="shared" si="146"/>
        <v>4736403</v>
      </c>
      <c r="AI162" s="17">
        <f t="shared" si="147"/>
        <v>4736403</v>
      </c>
      <c r="AJ162" s="18">
        <f t="shared" si="148"/>
        <v>4749750</v>
      </c>
      <c r="AK162" s="10"/>
      <c r="AL162" s="455">
        <v>0</v>
      </c>
      <c r="AM162" s="458">
        <v>0</v>
      </c>
      <c r="AN162" s="10"/>
      <c r="BQ162" s="562"/>
    </row>
    <row r="163" spans="1:69" s="467" customFormat="1" x14ac:dyDescent="0.2">
      <c r="A163" s="623"/>
      <c r="N163" s="10"/>
      <c r="P163" s="10"/>
      <c r="Q163" s="10"/>
      <c r="R163" s="10"/>
      <c r="S163" s="156" t="str">
        <f>+IF(NOVIEMBRE!S163=0,"",NOVIEMBRE!S163)</f>
        <v>2020202-6</v>
      </c>
      <c r="T163" s="55" t="str">
        <f>+IF(NOVIEMBRE!T163=0,"",NOVIEMBRE!T163)</f>
        <v>Plan Integral de Manejo de Residuos Sólidos Hospitalarios</v>
      </c>
      <c r="U163" s="29">
        <f>+ENERO!U163</f>
        <v>8565804</v>
      </c>
      <c r="V163" s="17">
        <f>NOVIEMBRE!V163+DICIEMBRE!AL163</f>
        <v>0</v>
      </c>
      <c r="W163" s="17">
        <f>NOVIEMBRE!W163+DICIEMBRE!AM163</f>
        <v>2700000</v>
      </c>
      <c r="X163" s="20">
        <f t="shared" si="142"/>
        <v>11265804</v>
      </c>
      <c r="Y163" s="21">
        <f>NOVIEMBRE!AA163</f>
        <v>6476693</v>
      </c>
      <c r="Z163" s="457">
        <v>1143390</v>
      </c>
      <c r="AA163" s="20">
        <f t="shared" si="143"/>
        <v>7620083</v>
      </c>
      <c r="AB163" s="21">
        <f>NOVIEMBRE!AD163</f>
        <v>6476693</v>
      </c>
      <c r="AC163" s="457">
        <v>1143390</v>
      </c>
      <c r="AD163" s="20">
        <f t="shared" si="144"/>
        <v>7620083</v>
      </c>
      <c r="AE163" s="21">
        <f>NOVIEMBRE!AG163</f>
        <v>4771056</v>
      </c>
      <c r="AF163" s="457">
        <v>582189</v>
      </c>
      <c r="AG163" s="20">
        <f t="shared" si="145"/>
        <v>5353245</v>
      </c>
      <c r="AH163" s="21">
        <f t="shared" si="146"/>
        <v>3645721</v>
      </c>
      <c r="AI163" s="17">
        <f t="shared" si="147"/>
        <v>3645721</v>
      </c>
      <c r="AJ163" s="18">
        <f t="shared" si="148"/>
        <v>5912559</v>
      </c>
      <c r="AK163" s="10"/>
      <c r="AL163" s="455">
        <v>0</v>
      </c>
      <c r="AM163" s="458">
        <v>0</v>
      </c>
      <c r="AN163" s="10"/>
      <c r="BQ163" s="562"/>
    </row>
    <row r="164" spans="1:69" s="467" customFormat="1" x14ac:dyDescent="0.2">
      <c r="A164" s="623"/>
      <c r="N164" s="10"/>
      <c r="P164" s="10"/>
      <c r="Q164" s="10"/>
      <c r="R164" s="10"/>
      <c r="S164" s="156" t="str">
        <f>+IF(NOVIEMBRE!S164=0,"",NOVIEMBRE!S164)</f>
        <v>2020202-7</v>
      </c>
      <c r="T164" s="55" t="str">
        <f>+IF(NOVIEMBRE!T164=0,"",NOVIEMBRE!T164)</f>
        <v>Servicios de Laboratorio contratados con terceros</v>
      </c>
      <c r="U164" s="29">
        <f>+ENERO!U164</f>
        <v>12000000</v>
      </c>
      <c r="V164" s="17">
        <f>NOVIEMBRE!V164+DICIEMBRE!AL164</f>
        <v>0</v>
      </c>
      <c r="W164" s="17">
        <f>NOVIEMBRE!W164+DICIEMBRE!AM164</f>
        <v>0</v>
      </c>
      <c r="X164" s="20">
        <f t="shared" si="142"/>
        <v>12000000</v>
      </c>
      <c r="Y164" s="21">
        <f>NOVIEMBRE!AA164</f>
        <v>3505400</v>
      </c>
      <c r="Z164" s="457">
        <v>708400</v>
      </c>
      <c r="AA164" s="20">
        <f t="shared" si="143"/>
        <v>4213800</v>
      </c>
      <c r="AB164" s="21">
        <f>NOVIEMBRE!AD164</f>
        <v>3505400</v>
      </c>
      <c r="AC164" s="457">
        <v>708400</v>
      </c>
      <c r="AD164" s="20">
        <f t="shared" si="144"/>
        <v>4213800</v>
      </c>
      <c r="AE164" s="21">
        <f>NOVIEMBRE!AG164</f>
        <v>1812500</v>
      </c>
      <c r="AF164" s="457">
        <v>1077800</v>
      </c>
      <c r="AG164" s="20">
        <f t="shared" si="145"/>
        <v>2890300</v>
      </c>
      <c r="AH164" s="21">
        <f t="shared" si="146"/>
        <v>7786200</v>
      </c>
      <c r="AI164" s="17">
        <f t="shared" si="147"/>
        <v>7786200</v>
      </c>
      <c r="AJ164" s="18">
        <f t="shared" si="148"/>
        <v>9109700</v>
      </c>
      <c r="AK164" s="10"/>
      <c r="AL164" s="455">
        <v>0</v>
      </c>
      <c r="AM164" s="458">
        <v>0</v>
      </c>
      <c r="AN164" s="10"/>
      <c r="BQ164" s="562"/>
    </row>
    <row r="165" spans="1:69" s="467" customFormat="1" x14ac:dyDescent="0.2">
      <c r="A165" s="623"/>
      <c r="N165" s="10"/>
      <c r="P165" s="10"/>
      <c r="Q165" s="10"/>
      <c r="R165" s="10"/>
      <c r="S165" s="156" t="str">
        <f>+IF(NOVIEMBRE!S165=0,"",NOVIEMBRE!S165)</f>
        <v>2020202-8</v>
      </c>
      <c r="T165" s="55" t="str">
        <f>+IF(NOVIEMBRE!T165=0,"",NOVIEMBRE!T165)</f>
        <v>Servicios de Rayos X e Imaginología contratado con terceros</v>
      </c>
      <c r="U165" s="29">
        <f>+ENERO!U165</f>
        <v>19000000</v>
      </c>
      <c r="V165" s="17">
        <f>NOVIEMBRE!V165+DICIEMBRE!AL165</f>
        <v>0</v>
      </c>
      <c r="W165" s="17">
        <f>NOVIEMBRE!W165+DICIEMBRE!AM165</f>
        <v>0</v>
      </c>
      <c r="X165" s="20">
        <f t="shared" si="142"/>
        <v>19000000</v>
      </c>
      <c r="Y165" s="21">
        <f>NOVIEMBRE!AA165</f>
        <v>17563000</v>
      </c>
      <c r="Z165" s="457"/>
      <c r="AA165" s="20">
        <f t="shared" si="143"/>
        <v>17563000</v>
      </c>
      <c r="AB165" s="21">
        <f>NOVIEMBRE!AD165</f>
        <v>17563000</v>
      </c>
      <c r="AC165" s="457">
        <v>0</v>
      </c>
      <c r="AD165" s="20">
        <f t="shared" si="144"/>
        <v>17563000</v>
      </c>
      <c r="AE165" s="21">
        <f>NOVIEMBRE!AG165</f>
        <v>14872000</v>
      </c>
      <c r="AF165" s="457">
        <v>2691000</v>
      </c>
      <c r="AG165" s="20">
        <f t="shared" si="145"/>
        <v>17563000</v>
      </c>
      <c r="AH165" s="21">
        <f t="shared" si="146"/>
        <v>1437000</v>
      </c>
      <c r="AI165" s="17">
        <f t="shared" si="147"/>
        <v>1437000</v>
      </c>
      <c r="AJ165" s="18">
        <f t="shared" si="148"/>
        <v>1437000</v>
      </c>
      <c r="AK165" s="10"/>
      <c r="AL165" s="455">
        <v>0</v>
      </c>
      <c r="AM165" s="458">
        <v>0</v>
      </c>
      <c r="AN165" s="10"/>
      <c r="BQ165" s="562"/>
    </row>
    <row r="166" spans="1:69" s="467" customFormat="1" x14ac:dyDescent="0.2">
      <c r="A166" s="623"/>
      <c r="N166" s="10"/>
      <c r="P166" s="10"/>
      <c r="Q166" s="10"/>
      <c r="R166" s="10"/>
      <c r="S166" s="156" t="str">
        <f>+IF(NOVIEMBRE!S166=0,"",NOVIEMBRE!S166)</f>
        <v>2020202-9</v>
      </c>
      <c r="T166" s="55" t="str">
        <f>+IF(NOVIEMBRE!T166=0,"",NOVIEMBRE!T166)</f>
        <v>Arrendamientos</v>
      </c>
      <c r="U166" s="29">
        <f>+ENERO!U166</f>
        <v>5493510</v>
      </c>
      <c r="V166" s="17">
        <f>NOVIEMBRE!V166+DICIEMBRE!AL166</f>
        <v>0</v>
      </c>
      <c r="W166" s="17">
        <f>NOVIEMBRE!W166+DICIEMBRE!AM166</f>
        <v>3000000</v>
      </c>
      <c r="X166" s="20">
        <f t="shared" si="142"/>
        <v>8493510</v>
      </c>
      <c r="Y166" s="21">
        <f>NOVIEMBRE!AA166</f>
        <v>5315000</v>
      </c>
      <c r="Z166" s="457">
        <v>0</v>
      </c>
      <c r="AA166" s="20">
        <f t="shared" si="143"/>
        <v>5315000</v>
      </c>
      <c r="AB166" s="21">
        <f>NOVIEMBRE!AD166</f>
        <v>5315000</v>
      </c>
      <c r="AC166" s="457">
        <v>0</v>
      </c>
      <c r="AD166" s="20">
        <f t="shared" si="144"/>
        <v>5315000</v>
      </c>
      <c r="AE166" s="21">
        <f>NOVIEMBRE!AG166</f>
        <v>5315000</v>
      </c>
      <c r="AF166" s="457">
        <v>0</v>
      </c>
      <c r="AG166" s="20">
        <f t="shared" si="145"/>
        <v>5315000</v>
      </c>
      <c r="AH166" s="21">
        <f t="shared" si="146"/>
        <v>3178510</v>
      </c>
      <c r="AI166" s="17">
        <f t="shared" si="147"/>
        <v>3178510</v>
      </c>
      <c r="AJ166" s="18">
        <f t="shared" si="148"/>
        <v>3178510</v>
      </c>
      <c r="AK166" s="10"/>
      <c r="AL166" s="455">
        <v>0</v>
      </c>
      <c r="AM166" s="458">
        <v>0</v>
      </c>
      <c r="AN166" s="10"/>
      <c r="BQ166" s="562"/>
    </row>
    <row r="167" spans="1:69" s="467" customFormat="1" x14ac:dyDescent="0.2">
      <c r="A167" s="623"/>
      <c r="N167" s="10"/>
      <c r="P167" s="10"/>
      <c r="Q167" s="10"/>
      <c r="R167" s="10"/>
      <c r="S167" s="156" t="str">
        <f>+IF(NOVIEMBRE!S167=0,"",NOVIEMBRE!S167)</f>
        <v>2020202-10</v>
      </c>
      <c r="T167" s="55" t="str">
        <f>+IF(NOVIEMBRE!T167=0,"",NOVIEMBRE!T167)</f>
        <v>Servicios Públicos</v>
      </c>
      <c r="U167" s="29">
        <f>+ENERO!U167</f>
        <v>0</v>
      </c>
      <c r="V167" s="17">
        <f>NOVIEMBRE!V167+DICIEMBRE!AL167</f>
        <v>0</v>
      </c>
      <c r="W167" s="17">
        <f>NOVIEMBRE!W167+DICIEMBRE!AM167</f>
        <v>0</v>
      </c>
      <c r="X167" s="20">
        <f>SUM(U167:W167)</f>
        <v>0</v>
      </c>
      <c r="Y167" s="21">
        <f>NOVIEMBRE!AA167</f>
        <v>0</v>
      </c>
      <c r="Z167" s="457">
        <v>0</v>
      </c>
      <c r="AA167" s="20">
        <f>SUM(Y167:Z167)</f>
        <v>0</v>
      </c>
      <c r="AB167" s="21">
        <f>NOVIEMBRE!AD167</f>
        <v>0</v>
      </c>
      <c r="AC167" s="457">
        <v>0</v>
      </c>
      <c r="AD167" s="20">
        <f>SUM(AB167:AC167)</f>
        <v>0</v>
      </c>
      <c r="AE167" s="21">
        <f>NOVIEMBRE!AG167</f>
        <v>0</v>
      </c>
      <c r="AF167" s="457">
        <v>0</v>
      </c>
      <c r="AG167" s="20">
        <f>SUM(AE167:AF167)</f>
        <v>0</v>
      </c>
      <c r="AH167" s="21">
        <f>X167-AA167</f>
        <v>0</v>
      </c>
      <c r="AI167" s="17">
        <f>X167-AD167</f>
        <v>0</v>
      </c>
      <c r="AJ167" s="18">
        <f>X167-AG167</f>
        <v>0</v>
      </c>
      <c r="AK167" s="10"/>
      <c r="AL167" s="455"/>
      <c r="AM167" s="458"/>
      <c r="AN167" s="10"/>
      <c r="BQ167" s="562"/>
    </row>
    <row r="168" spans="1:69" s="467" customFormat="1" x14ac:dyDescent="0.2">
      <c r="A168" s="623"/>
      <c r="N168" s="10"/>
      <c r="P168" s="10"/>
      <c r="Q168" s="10"/>
      <c r="R168" s="10"/>
      <c r="S168" s="155">
        <f>+IF(NOVIEMBRE!S168=0,"",NOVIEMBRE!S168)</f>
        <v>2020299</v>
      </c>
      <c r="T168" s="159" t="str">
        <f>+IF(NOVIEMBRE!T168=0,"",NOVIEMBRE!T168)</f>
        <v>Vigencias Anteriores</v>
      </c>
      <c r="U168" s="29">
        <f>+ENERO!U168</f>
        <v>12730159</v>
      </c>
      <c r="V168" s="17">
        <f>NOVIEMBRE!V168+DICIEMBRE!AL168</f>
        <v>-2041325</v>
      </c>
      <c r="W168" s="17">
        <f>NOVIEMBRE!W168+DICIEMBRE!AM168</f>
        <v>0</v>
      </c>
      <c r="X168" s="20">
        <f t="shared" si="142"/>
        <v>10688834</v>
      </c>
      <c r="Y168" s="21">
        <f>NOVIEMBRE!AA168</f>
        <v>10688834</v>
      </c>
      <c r="Z168" s="457">
        <v>0</v>
      </c>
      <c r="AA168" s="20">
        <f t="shared" si="143"/>
        <v>10688834</v>
      </c>
      <c r="AB168" s="21">
        <f>NOVIEMBRE!AD168</f>
        <v>10688834</v>
      </c>
      <c r="AC168" s="457">
        <v>0</v>
      </c>
      <c r="AD168" s="20">
        <f t="shared" si="144"/>
        <v>10688834</v>
      </c>
      <c r="AE168" s="21">
        <f>NOVIEMBRE!AG168</f>
        <v>10688834</v>
      </c>
      <c r="AF168" s="457">
        <v>0</v>
      </c>
      <c r="AG168" s="20">
        <f t="shared" si="145"/>
        <v>10688834</v>
      </c>
      <c r="AH168" s="21">
        <f t="shared" si="146"/>
        <v>0</v>
      </c>
      <c r="AI168" s="17">
        <f t="shared" si="147"/>
        <v>0</v>
      </c>
      <c r="AJ168" s="18">
        <f t="shared" si="148"/>
        <v>0</v>
      </c>
      <c r="AK168" s="10"/>
      <c r="AL168" s="455">
        <v>0</v>
      </c>
      <c r="AM168" s="458">
        <v>0</v>
      </c>
      <c r="AN168" s="10"/>
      <c r="BQ168" s="562"/>
    </row>
    <row r="169" spans="1:69" s="467" customFormat="1" ht="15.75" x14ac:dyDescent="0.2">
      <c r="A169" s="623"/>
      <c r="N169" s="10"/>
      <c r="P169" s="10"/>
      <c r="Q169" s="10"/>
      <c r="R169" s="10"/>
      <c r="S169" s="448" t="str">
        <f>+IF(NOVIEMBRE!S169=0,"",NOVIEMBRE!S169)</f>
        <v/>
      </c>
      <c r="T169" s="649" t="str">
        <f>+IF(NOVIEMBRE!T169=0,"",NOVIEMBRE!T169)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c r="BQ169" s="562"/>
    </row>
    <row r="170" spans="1:69" s="467" customFormat="1" ht="15.75" x14ac:dyDescent="0.2">
      <c r="A170" s="623"/>
      <c r="N170" s="10"/>
      <c r="P170" s="10"/>
      <c r="Q170" s="10"/>
      <c r="R170" s="10"/>
      <c r="S170" s="469">
        <f>+IF(NOVIEMBRE!S170=0,"",NOVIEMBRE!S170)</f>
        <v>3000000</v>
      </c>
      <c r="T170" s="588" t="str">
        <f>+IF(NOVIEMBRE!T170=0,"",NOVIEMBRE!T170)</f>
        <v>TRANSFERENCIAS CORRIENTES</v>
      </c>
      <c r="U170" s="589">
        <f t="shared" ref="U170:AJ170" si="149">U172+U176+U185</f>
        <v>217489235</v>
      </c>
      <c r="V170" s="590">
        <f t="shared" si="149"/>
        <v>-12907692</v>
      </c>
      <c r="W170" s="590">
        <f t="shared" si="149"/>
        <v>1000000</v>
      </c>
      <c r="X170" s="591">
        <f t="shared" si="149"/>
        <v>205581543</v>
      </c>
      <c r="Y170" s="464">
        <f t="shared" si="149"/>
        <v>126710924</v>
      </c>
      <c r="Z170" s="590">
        <f t="shared" si="149"/>
        <v>25573587</v>
      </c>
      <c r="AA170" s="591">
        <f t="shared" si="149"/>
        <v>152284511</v>
      </c>
      <c r="AB170" s="464">
        <f t="shared" si="149"/>
        <v>126710924</v>
      </c>
      <c r="AC170" s="590">
        <f t="shared" si="149"/>
        <v>25573587</v>
      </c>
      <c r="AD170" s="591">
        <f t="shared" si="149"/>
        <v>152284511</v>
      </c>
      <c r="AE170" s="464">
        <f t="shared" si="149"/>
        <v>116646152</v>
      </c>
      <c r="AF170" s="590">
        <f t="shared" si="149"/>
        <v>15374858</v>
      </c>
      <c r="AG170" s="591">
        <f t="shared" si="149"/>
        <v>132021010</v>
      </c>
      <c r="AH170" s="464">
        <f t="shared" si="149"/>
        <v>53297032</v>
      </c>
      <c r="AI170" s="590">
        <f t="shared" si="149"/>
        <v>53297032</v>
      </c>
      <c r="AJ170" s="465">
        <f t="shared" si="149"/>
        <v>73560533</v>
      </c>
      <c r="AK170" s="10"/>
      <c r="AL170" s="151">
        <f>AL172+AL176+AL185</f>
        <v>0</v>
      </c>
      <c r="AM170" s="153">
        <f>AM172+AM176+AM185</f>
        <v>0</v>
      </c>
      <c r="AN170" s="10"/>
      <c r="BQ170" s="562"/>
    </row>
    <row r="171" spans="1:69" s="467" customFormat="1" ht="15.75" x14ac:dyDescent="0.2">
      <c r="A171" s="623"/>
      <c r="N171" s="10"/>
      <c r="P171" s="10"/>
      <c r="Q171" s="10"/>
      <c r="R171" s="10"/>
      <c r="S171" s="448" t="str">
        <f>+IF(NOVIEMBRE!S171=0,"",NOVIEMBRE!S171)</f>
        <v/>
      </c>
      <c r="T171" s="649" t="str">
        <f>+IF(NOVIEMBRE!T171=0,"",NOVIEMBRE!T171)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c r="BQ171" s="562"/>
    </row>
    <row r="172" spans="1:69" s="467" customFormat="1" ht="15" x14ac:dyDescent="0.2">
      <c r="A172" s="623"/>
      <c r="N172" s="10"/>
      <c r="P172" s="10"/>
      <c r="Q172" s="10"/>
      <c r="R172" s="10"/>
      <c r="S172" s="34">
        <f>+IF(NOVIEMBRE!S172=0,"",NOVIEMBRE!S172)</f>
        <v>3100000</v>
      </c>
      <c r="T172" s="158" t="str">
        <f>+IF(NOVIEMBRE!T172=0,"",NOVIEMBRE!T172)</f>
        <v>Transferencias al Sector Público</v>
      </c>
      <c r="U172" s="157">
        <f t="shared" ref="U172:AJ172" si="150">SUM(U173:U174)</f>
        <v>2689964</v>
      </c>
      <c r="V172" s="144">
        <f t="shared" si="150"/>
        <v>746499</v>
      </c>
      <c r="W172" s="144">
        <f t="shared" si="150"/>
        <v>0</v>
      </c>
      <c r="X172" s="152">
        <f t="shared" si="150"/>
        <v>3436463</v>
      </c>
      <c r="Y172" s="151">
        <f t="shared" si="150"/>
        <v>1866112</v>
      </c>
      <c r="Z172" s="144">
        <f t="shared" si="150"/>
        <v>765614</v>
      </c>
      <c r="AA172" s="152">
        <f t="shared" si="150"/>
        <v>2631726</v>
      </c>
      <c r="AB172" s="151">
        <f t="shared" si="150"/>
        <v>1866112</v>
      </c>
      <c r="AC172" s="144">
        <f t="shared" si="150"/>
        <v>765614</v>
      </c>
      <c r="AD172" s="152">
        <f t="shared" si="150"/>
        <v>2631726</v>
      </c>
      <c r="AE172" s="151">
        <f t="shared" si="150"/>
        <v>1662546</v>
      </c>
      <c r="AF172" s="144">
        <f t="shared" si="150"/>
        <v>663830</v>
      </c>
      <c r="AG172" s="152">
        <f t="shared" si="150"/>
        <v>2326376</v>
      </c>
      <c r="AH172" s="151">
        <f t="shared" si="150"/>
        <v>804737</v>
      </c>
      <c r="AI172" s="144">
        <f t="shared" si="150"/>
        <v>804737</v>
      </c>
      <c r="AJ172" s="153">
        <f t="shared" si="150"/>
        <v>1110087</v>
      </c>
      <c r="AK172" s="10"/>
      <c r="AL172" s="151">
        <f>SUM(AL173:AL174)</f>
        <v>0</v>
      </c>
      <c r="AM172" s="153">
        <f>SUM(AM173:AM174)</f>
        <v>0</v>
      </c>
      <c r="AN172" s="10"/>
      <c r="BQ172" s="562"/>
    </row>
    <row r="173" spans="1:69" s="467" customFormat="1" x14ac:dyDescent="0.2">
      <c r="A173" s="623"/>
      <c r="N173" s="10"/>
      <c r="P173" s="10"/>
      <c r="Q173" s="10"/>
      <c r="R173" s="10"/>
      <c r="S173" s="155">
        <f>+IF(NOVIEMBRE!S173=0,"",NOVIEMBRE!S173)</f>
        <v>3100003</v>
      </c>
      <c r="T173" s="159" t="str">
        <f>+IF(NOVIEMBRE!T173=0,"",NOVIEMBRE!T173)</f>
        <v>Entidades Públicas (Contraloria, Supersalud,…)</v>
      </c>
      <c r="U173" s="29">
        <f>+ENERO!U173</f>
        <v>2689964</v>
      </c>
      <c r="V173" s="17">
        <f>NOVIEMBRE!V173+DICIEMBRE!AL173</f>
        <v>0</v>
      </c>
      <c r="W173" s="17">
        <f>NOVIEMBRE!W173+DICIEMBRE!AM173</f>
        <v>0</v>
      </c>
      <c r="X173" s="20">
        <f>SUM(U173:W173)</f>
        <v>2689964</v>
      </c>
      <c r="Y173" s="21">
        <f>NOVIEMBRE!AA173</f>
        <v>1119613</v>
      </c>
      <c r="Z173" s="457">
        <v>765614</v>
      </c>
      <c r="AA173" s="20">
        <f>SUM(Y173:Z173)</f>
        <v>1885227</v>
      </c>
      <c r="AB173" s="21">
        <f>NOVIEMBRE!AD173</f>
        <v>1119613</v>
      </c>
      <c r="AC173" s="457">
        <v>765614</v>
      </c>
      <c r="AD173" s="20">
        <f>SUM(AB173:AC173)</f>
        <v>1885227</v>
      </c>
      <c r="AE173" s="21">
        <f>NOVIEMBRE!AG173</f>
        <v>916047</v>
      </c>
      <c r="AF173" s="457">
        <v>663830</v>
      </c>
      <c r="AG173" s="20">
        <f>SUM(AE173:AF173)</f>
        <v>1579877</v>
      </c>
      <c r="AH173" s="21">
        <f>X173-AA173</f>
        <v>804737</v>
      </c>
      <c r="AI173" s="17">
        <f>X173-AD173</f>
        <v>804737</v>
      </c>
      <c r="AJ173" s="18">
        <f>X173-AG173</f>
        <v>1110087</v>
      </c>
      <c r="AK173" s="10"/>
      <c r="AL173" s="455">
        <v>0</v>
      </c>
      <c r="AM173" s="458">
        <v>0</v>
      </c>
      <c r="AN173" s="10"/>
      <c r="BQ173" s="562"/>
    </row>
    <row r="174" spans="1:69" s="467" customFormat="1" x14ac:dyDescent="0.2">
      <c r="A174" s="623"/>
      <c r="N174" s="10"/>
      <c r="P174" s="10"/>
      <c r="Q174" s="10"/>
      <c r="R174" s="10"/>
      <c r="S174" s="155">
        <f>+IF(NOVIEMBRE!S174=0,"",NOVIEMBRE!S174)</f>
        <v>3199999</v>
      </c>
      <c r="T174" s="159" t="str">
        <f>+IF(NOVIEMBRE!T174=0,"",NOVIEMBRE!T174)</f>
        <v>Vigencias Anteriores</v>
      </c>
      <c r="U174" s="29">
        <f>+ENERO!U174</f>
        <v>0</v>
      </c>
      <c r="V174" s="17">
        <f>NOVIEMBRE!V174+DICIEMBRE!AL174</f>
        <v>746499</v>
      </c>
      <c r="W174" s="17">
        <f>NOVIEMBRE!W174+DICIEMBRE!AM174</f>
        <v>0</v>
      </c>
      <c r="X174" s="20">
        <f>SUM(U174:W174)</f>
        <v>746499</v>
      </c>
      <c r="Y174" s="21">
        <f>NOVIEMBRE!AA174</f>
        <v>746499</v>
      </c>
      <c r="Z174" s="457">
        <v>0</v>
      </c>
      <c r="AA174" s="20">
        <f>SUM(Y174:Z174)</f>
        <v>746499</v>
      </c>
      <c r="AB174" s="21">
        <f>NOVIEMBRE!AD174</f>
        <v>746499</v>
      </c>
      <c r="AC174" s="457">
        <v>0</v>
      </c>
      <c r="AD174" s="20">
        <f>SUM(AB174:AC174)</f>
        <v>746499</v>
      </c>
      <c r="AE174" s="21">
        <f>NOVIEMBRE!AG174</f>
        <v>746499</v>
      </c>
      <c r="AF174" s="457">
        <v>0</v>
      </c>
      <c r="AG174" s="20">
        <f>SUM(AE174:AF174)</f>
        <v>746499</v>
      </c>
      <c r="AH174" s="21">
        <f>X174-AA174</f>
        <v>0</v>
      </c>
      <c r="AI174" s="17">
        <f>X174-AD174</f>
        <v>0</v>
      </c>
      <c r="AJ174" s="18">
        <f>X174-AG174</f>
        <v>0</v>
      </c>
      <c r="AK174" s="10"/>
      <c r="AL174" s="455">
        <v>0</v>
      </c>
      <c r="AM174" s="458">
        <v>0</v>
      </c>
      <c r="AN174" s="10"/>
      <c r="BQ174" s="562"/>
    </row>
    <row r="175" spans="1:69" s="467" customFormat="1" ht="15.75" x14ac:dyDescent="0.2">
      <c r="A175" s="623"/>
      <c r="N175" s="10"/>
      <c r="P175" s="10"/>
      <c r="Q175" s="10"/>
      <c r="R175" s="10"/>
      <c r="S175" s="448" t="str">
        <f>+IF(NOVIEMBRE!S175=0,"",NOVIEMBRE!S175)</f>
        <v/>
      </c>
      <c r="T175" s="649" t="str">
        <f>+IF(NOVIEMBRE!T175=0,"",NOVIEMBRE!T175)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c r="BQ175" s="562"/>
    </row>
    <row r="176" spans="1:69" s="467" customFormat="1" ht="15" x14ac:dyDescent="0.2">
      <c r="A176" s="623"/>
      <c r="N176" s="10"/>
      <c r="P176" s="10"/>
      <c r="Q176" s="10"/>
      <c r="R176" s="10"/>
      <c r="S176" s="34">
        <f>+IF(NOVIEMBRE!S176=0,"",NOVIEMBRE!S176)</f>
        <v>320000</v>
      </c>
      <c r="T176" s="158" t="str">
        <f>+IF(NOVIEMBRE!T176=0,"",NOVIEMBRE!T176)</f>
        <v>Transf. Previsión y Seguridad Social</v>
      </c>
      <c r="U176" s="157">
        <f t="shared" ref="U176:AJ176" si="151">SUM(U177:U183)</f>
        <v>213299271</v>
      </c>
      <c r="V176" s="144">
        <f t="shared" si="151"/>
        <v>-14130741</v>
      </c>
      <c r="W176" s="144">
        <f t="shared" si="151"/>
        <v>0</v>
      </c>
      <c r="X176" s="152">
        <f t="shared" si="151"/>
        <v>199168530</v>
      </c>
      <c r="Y176" s="151">
        <f t="shared" si="151"/>
        <v>123161568</v>
      </c>
      <c r="Z176" s="144">
        <f t="shared" si="151"/>
        <v>24807973</v>
      </c>
      <c r="AA176" s="152">
        <f t="shared" si="151"/>
        <v>147969541</v>
      </c>
      <c r="AB176" s="151">
        <f t="shared" si="151"/>
        <v>123161568</v>
      </c>
      <c r="AC176" s="144">
        <f t="shared" si="151"/>
        <v>24807973</v>
      </c>
      <c r="AD176" s="152">
        <f t="shared" si="151"/>
        <v>147969541</v>
      </c>
      <c r="AE176" s="151">
        <f t="shared" si="151"/>
        <v>113938111</v>
      </c>
      <c r="AF176" s="144">
        <f t="shared" si="151"/>
        <v>14456490</v>
      </c>
      <c r="AG176" s="152">
        <f t="shared" si="151"/>
        <v>128394601</v>
      </c>
      <c r="AH176" s="151">
        <f t="shared" si="151"/>
        <v>51198989</v>
      </c>
      <c r="AI176" s="144">
        <f t="shared" si="151"/>
        <v>51198989</v>
      </c>
      <c r="AJ176" s="153">
        <f t="shared" si="151"/>
        <v>70773929</v>
      </c>
      <c r="AK176" s="10"/>
      <c r="AL176" s="151">
        <f>SUM(AL177:AL183)</f>
        <v>0</v>
      </c>
      <c r="AM176" s="153">
        <f>SUM(AM177:AM183)</f>
        <v>0</v>
      </c>
      <c r="AN176" s="10"/>
      <c r="BQ176" s="562"/>
    </row>
    <row r="177" spans="1:69" s="467" customFormat="1" x14ac:dyDescent="0.2">
      <c r="A177" s="623"/>
      <c r="N177" s="10"/>
      <c r="P177" s="10"/>
      <c r="Q177" s="10"/>
      <c r="R177" s="10"/>
      <c r="S177" s="155">
        <f>+IF(NOVIEMBRE!S177=0,"",NOVIEMBRE!S177)</f>
        <v>3200100</v>
      </c>
      <c r="T177" s="159" t="str">
        <f>+IF(NOVIEMBRE!T177=0,"",NOVIEMBRE!T177)</f>
        <v>Pensiones y Jubilaciones (Pago Directo)</v>
      </c>
      <c r="U177" s="29">
        <f>+ENERO!U177</f>
        <v>104106866</v>
      </c>
      <c r="V177" s="17">
        <f>NOVIEMBRE!V177+DICIEMBRE!AL177</f>
        <v>0</v>
      </c>
      <c r="W177" s="17">
        <f>NOVIEMBRE!W177+DICIEMBRE!AM177</f>
        <v>0</v>
      </c>
      <c r="X177" s="20">
        <f t="shared" ref="X177:X183" si="152">SUM(U177:W177)</f>
        <v>104106866</v>
      </c>
      <c r="Y177" s="21">
        <f>NOVIEMBRE!AA177</f>
        <v>88553087</v>
      </c>
      <c r="Z177" s="457">
        <v>14402426</v>
      </c>
      <c r="AA177" s="20">
        <f t="shared" ref="AA177:AA183" si="153">SUM(Y177:Z177)</f>
        <v>102955513</v>
      </c>
      <c r="AB177" s="21">
        <f>NOVIEMBRE!AD177</f>
        <v>88553087</v>
      </c>
      <c r="AC177" s="457">
        <v>14402426</v>
      </c>
      <c r="AD177" s="20">
        <f t="shared" ref="AD177:AD183" si="154">SUM(AB177:AC177)</f>
        <v>102955513</v>
      </c>
      <c r="AE177" s="21">
        <f>NOVIEMBRE!AG177</f>
        <v>87421695</v>
      </c>
      <c r="AF177" s="457">
        <v>14402426</v>
      </c>
      <c r="AG177" s="20">
        <f t="shared" ref="AG177:AG183" si="155">SUM(AE177:AF177)</f>
        <v>101824121</v>
      </c>
      <c r="AH177" s="21">
        <f t="shared" ref="AH177:AH183" si="156">X177-AA177</f>
        <v>1151353</v>
      </c>
      <c r="AI177" s="17">
        <f t="shared" ref="AI177:AI183" si="157">X177-AD177</f>
        <v>1151353</v>
      </c>
      <c r="AJ177" s="18">
        <f t="shared" ref="AJ177:AJ183" si="158">X177-AG177</f>
        <v>2282745</v>
      </c>
      <c r="AK177" s="10"/>
      <c r="AL177" s="455">
        <v>0</v>
      </c>
      <c r="AM177" s="458">
        <v>0</v>
      </c>
      <c r="AN177" s="10"/>
      <c r="BQ177" s="562"/>
    </row>
    <row r="178" spans="1:69" s="467" customFormat="1" x14ac:dyDescent="0.2">
      <c r="A178" s="623"/>
      <c r="N178" s="10"/>
      <c r="P178" s="10"/>
      <c r="Q178" s="10"/>
      <c r="R178" s="10"/>
      <c r="S178" s="155">
        <f>+IF(NOVIEMBRE!S178=0,"",NOVIEMBRE!S178)</f>
        <v>3200200</v>
      </c>
      <c r="T178" s="159" t="str">
        <f>+IF(NOVIEMBRE!T178=0,"",NOVIEMBRE!T178)</f>
        <v>Cesantías Pago Directo (Pago Directo)</v>
      </c>
      <c r="U178" s="29">
        <f>+ENERO!U178</f>
        <v>22532311</v>
      </c>
      <c r="V178" s="17">
        <f>NOVIEMBRE!V178+DICIEMBRE!AL178</f>
        <v>0</v>
      </c>
      <c r="W178" s="17">
        <f>NOVIEMBRE!W178+DICIEMBRE!AM178</f>
        <v>0</v>
      </c>
      <c r="X178" s="20">
        <f t="shared" si="152"/>
        <v>22532311</v>
      </c>
      <c r="Y178" s="21">
        <f>NOVIEMBRE!AA178</f>
        <v>12016942</v>
      </c>
      <c r="Z178" s="457">
        <v>8310686</v>
      </c>
      <c r="AA178" s="20">
        <f t="shared" si="153"/>
        <v>20327628</v>
      </c>
      <c r="AB178" s="21">
        <f>NOVIEMBRE!AD178</f>
        <v>12016942</v>
      </c>
      <c r="AC178" s="457">
        <v>8310686</v>
      </c>
      <c r="AD178" s="20">
        <f t="shared" si="154"/>
        <v>20327628</v>
      </c>
      <c r="AE178" s="21">
        <f>NOVIEMBRE!AG178</f>
        <v>5296242</v>
      </c>
      <c r="AF178" s="457">
        <v>0</v>
      </c>
      <c r="AG178" s="20">
        <f t="shared" si="155"/>
        <v>5296242</v>
      </c>
      <c r="AH178" s="21">
        <f t="shared" si="156"/>
        <v>2204683</v>
      </c>
      <c r="AI178" s="17">
        <f t="shared" si="157"/>
        <v>2204683</v>
      </c>
      <c r="AJ178" s="18">
        <f t="shared" si="158"/>
        <v>17236069</v>
      </c>
      <c r="AK178" s="10"/>
      <c r="AL178" s="455">
        <v>0</v>
      </c>
      <c r="AM178" s="458">
        <v>0</v>
      </c>
      <c r="AN178" s="10"/>
      <c r="BQ178" s="562"/>
    </row>
    <row r="179" spans="1:69" s="467" customFormat="1" x14ac:dyDescent="0.2">
      <c r="A179" s="623"/>
      <c r="N179" s="10"/>
      <c r="P179" s="10"/>
      <c r="Q179" s="10"/>
      <c r="R179" s="10"/>
      <c r="S179" s="155">
        <f>+IF(NOVIEMBRE!S179=0,"",NOVIEMBRE!S179)</f>
        <v>3200300</v>
      </c>
      <c r="T179" s="159" t="str">
        <f>+IF(NOVIEMBRE!T179=0,"",NOVIEMBRE!T179)</f>
        <v>Bonos, Cuotas de Bonos y cuotas partes jubilatorias</v>
      </c>
      <c r="U179" s="29">
        <f>+ENERO!U179</f>
        <v>70000000</v>
      </c>
      <c r="V179" s="17">
        <f>NOVIEMBRE!V179+DICIEMBRE!AL179</f>
        <v>-17721746</v>
      </c>
      <c r="W179" s="17">
        <f>NOVIEMBRE!W179+DICIEMBRE!AM179</f>
        <v>0</v>
      </c>
      <c r="X179" s="20">
        <f t="shared" si="152"/>
        <v>52278254</v>
      </c>
      <c r="Y179" s="21">
        <f>NOVIEMBRE!AA179</f>
        <v>4600091</v>
      </c>
      <c r="Z179" s="457">
        <v>1180553</v>
      </c>
      <c r="AA179" s="20">
        <f t="shared" si="153"/>
        <v>5780644</v>
      </c>
      <c r="AB179" s="21">
        <f>NOVIEMBRE!AD179</f>
        <v>4600091</v>
      </c>
      <c r="AC179" s="457">
        <v>1180553</v>
      </c>
      <c r="AD179" s="20">
        <f t="shared" si="154"/>
        <v>5780644</v>
      </c>
      <c r="AE179" s="21">
        <f>NOVIEMBRE!AG179</f>
        <v>4205715</v>
      </c>
      <c r="AF179" s="457">
        <v>0</v>
      </c>
      <c r="AG179" s="20">
        <f t="shared" si="155"/>
        <v>4205715</v>
      </c>
      <c r="AH179" s="21">
        <f t="shared" si="156"/>
        <v>46497610</v>
      </c>
      <c r="AI179" s="17">
        <f t="shared" si="157"/>
        <v>46497610</v>
      </c>
      <c r="AJ179" s="18">
        <f t="shared" si="158"/>
        <v>48072539</v>
      </c>
      <c r="AK179" s="10"/>
      <c r="AL179" s="455">
        <v>0</v>
      </c>
      <c r="AM179" s="458">
        <v>0</v>
      </c>
      <c r="AN179" s="10"/>
      <c r="BQ179" s="562"/>
    </row>
    <row r="180" spans="1:69" s="467" customFormat="1" x14ac:dyDescent="0.2">
      <c r="A180" s="623"/>
      <c r="N180" s="10"/>
      <c r="P180" s="10"/>
      <c r="Q180" s="10"/>
      <c r="R180" s="10"/>
      <c r="S180" s="155">
        <f>+IF(NOVIEMBRE!S180=0,"",NOVIEMBRE!S180)</f>
        <v>3200400</v>
      </c>
      <c r="T180" s="159" t="str">
        <f>+IF(NOVIEMBRE!T180=0,"",NOVIEMBRE!T180)</f>
        <v>Intereses a las cesantias</v>
      </c>
      <c r="U180" s="29">
        <f>+ENERO!U180</f>
        <v>14660094</v>
      </c>
      <c r="V180" s="17">
        <f>NOVIEMBRE!V180+DICIEMBRE!AL180</f>
        <v>0</v>
      </c>
      <c r="W180" s="17">
        <f>NOVIEMBRE!W180+DICIEMBRE!AM180</f>
        <v>0</v>
      </c>
      <c r="X180" s="20">
        <f t="shared" si="152"/>
        <v>14660094</v>
      </c>
      <c r="Y180" s="21">
        <f>NOVIEMBRE!AA180</f>
        <v>12400443</v>
      </c>
      <c r="Z180" s="457">
        <v>914308</v>
      </c>
      <c r="AA180" s="20">
        <f t="shared" si="153"/>
        <v>13314751</v>
      </c>
      <c r="AB180" s="21">
        <f>NOVIEMBRE!AD180</f>
        <v>12400443</v>
      </c>
      <c r="AC180" s="457">
        <v>914308</v>
      </c>
      <c r="AD180" s="20">
        <f t="shared" si="154"/>
        <v>13314751</v>
      </c>
      <c r="AE180" s="21">
        <f>NOVIEMBRE!AG180</f>
        <v>11423454</v>
      </c>
      <c r="AF180" s="457">
        <v>54064</v>
      </c>
      <c r="AG180" s="20">
        <f t="shared" si="155"/>
        <v>11477518</v>
      </c>
      <c r="AH180" s="21">
        <f t="shared" si="156"/>
        <v>1345343</v>
      </c>
      <c r="AI180" s="17">
        <f t="shared" si="157"/>
        <v>1345343</v>
      </c>
      <c r="AJ180" s="18">
        <f t="shared" si="158"/>
        <v>3182576</v>
      </c>
      <c r="AK180" s="10"/>
      <c r="AL180" s="455">
        <v>0</v>
      </c>
      <c r="AM180" s="458">
        <v>0</v>
      </c>
      <c r="AN180" s="10"/>
      <c r="BQ180" s="562"/>
    </row>
    <row r="181" spans="1:69" s="467" customFormat="1" x14ac:dyDescent="0.2">
      <c r="A181" s="623"/>
      <c r="N181" s="10"/>
      <c r="P181" s="10"/>
      <c r="Q181" s="10"/>
      <c r="R181" s="10"/>
      <c r="S181" s="155" t="str">
        <f>+IF(NOVIEMBRE!S181=0,"",NOVIEMBRE!S181)</f>
        <v/>
      </c>
      <c r="T181" s="159" t="str">
        <f>+IF(NOVIEMBRE!T181=0,"",NOVIEMBRE!T181)</f>
        <v/>
      </c>
      <c r="U181" s="29">
        <f>+ENERO!U181</f>
        <v>0</v>
      </c>
      <c r="V181" s="17">
        <f>NOVIEMBRE!V181+DICIEMBRE!AL181</f>
        <v>0</v>
      </c>
      <c r="W181" s="17">
        <f>NOVIEMBRE!W181+DICIEMBRE!AM181</f>
        <v>0</v>
      </c>
      <c r="X181" s="20">
        <f t="shared" si="152"/>
        <v>0</v>
      </c>
      <c r="Y181" s="21">
        <f>NOVIEMBRE!AA181</f>
        <v>0</v>
      </c>
      <c r="Z181" s="457">
        <v>0</v>
      </c>
      <c r="AA181" s="20">
        <f t="shared" si="153"/>
        <v>0</v>
      </c>
      <c r="AB181" s="21">
        <f>NOVIEMBRE!AD181</f>
        <v>0</v>
      </c>
      <c r="AC181" s="457">
        <v>0</v>
      </c>
      <c r="AD181" s="20">
        <f t="shared" si="154"/>
        <v>0</v>
      </c>
      <c r="AE181" s="21">
        <f>NOVIEMBRE!AG181</f>
        <v>0</v>
      </c>
      <c r="AF181" s="457">
        <v>0</v>
      </c>
      <c r="AG181" s="20">
        <f t="shared" si="155"/>
        <v>0</v>
      </c>
      <c r="AH181" s="21">
        <f t="shared" si="156"/>
        <v>0</v>
      </c>
      <c r="AI181" s="17">
        <f t="shared" si="157"/>
        <v>0</v>
      </c>
      <c r="AJ181" s="18">
        <f t="shared" si="158"/>
        <v>0</v>
      </c>
      <c r="AK181" s="10"/>
      <c r="AL181" s="455">
        <v>0</v>
      </c>
      <c r="AM181" s="458">
        <v>0</v>
      </c>
      <c r="AN181" s="10"/>
      <c r="BQ181" s="562"/>
    </row>
    <row r="182" spans="1:69" s="467" customFormat="1" x14ac:dyDescent="0.2">
      <c r="A182" s="623"/>
      <c r="N182" s="10"/>
      <c r="P182" s="10"/>
      <c r="Q182" s="10"/>
      <c r="R182" s="10"/>
      <c r="S182" s="155" t="str">
        <f>+IF(NOVIEMBRE!S182=0,"",NOVIEMBRE!S182)</f>
        <v/>
      </c>
      <c r="T182" s="159" t="str">
        <f>+IF(NOVIEMBRE!T182=0,"",NOVIEMBRE!T182)</f>
        <v/>
      </c>
      <c r="U182" s="29">
        <f>+ENERO!U182</f>
        <v>0</v>
      </c>
      <c r="V182" s="17">
        <f>NOVIEMBRE!V182+DICIEMBRE!AL182</f>
        <v>0</v>
      </c>
      <c r="W182" s="17">
        <f>NOVIEMBRE!W182+DICIEMBRE!AM182</f>
        <v>0</v>
      </c>
      <c r="X182" s="20">
        <f t="shared" si="152"/>
        <v>0</v>
      </c>
      <c r="Y182" s="21">
        <f>NOVIEMBRE!AA182</f>
        <v>0</v>
      </c>
      <c r="Z182" s="457">
        <v>0</v>
      </c>
      <c r="AA182" s="20">
        <f t="shared" si="153"/>
        <v>0</v>
      </c>
      <c r="AB182" s="21">
        <f>NOVIEMBRE!AD182</f>
        <v>0</v>
      </c>
      <c r="AC182" s="457">
        <v>0</v>
      </c>
      <c r="AD182" s="20">
        <f t="shared" si="154"/>
        <v>0</v>
      </c>
      <c r="AE182" s="21">
        <f>NOVIEMBRE!AG182</f>
        <v>0</v>
      </c>
      <c r="AF182" s="457">
        <v>0</v>
      </c>
      <c r="AG182" s="20">
        <f t="shared" si="155"/>
        <v>0</v>
      </c>
      <c r="AH182" s="21">
        <f t="shared" si="156"/>
        <v>0</v>
      </c>
      <c r="AI182" s="17">
        <f t="shared" si="157"/>
        <v>0</v>
      </c>
      <c r="AJ182" s="18">
        <f t="shared" si="158"/>
        <v>0</v>
      </c>
      <c r="AK182" s="10"/>
      <c r="AL182" s="455">
        <v>0</v>
      </c>
      <c r="AM182" s="458">
        <v>0</v>
      </c>
      <c r="AN182" s="10"/>
      <c r="BQ182" s="562"/>
    </row>
    <row r="183" spans="1:69" s="467" customFormat="1" x14ac:dyDescent="0.2">
      <c r="A183" s="623"/>
      <c r="N183" s="10"/>
      <c r="P183" s="10"/>
      <c r="Q183" s="10"/>
      <c r="R183" s="10"/>
      <c r="S183" s="155">
        <f>+IF(NOVIEMBRE!S183=0,"",NOVIEMBRE!S183)</f>
        <v>3299999</v>
      </c>
      <c r="T183" s="159" t="str">
        <f>+IF(NOVIEMBRE!T183=0,"",NOVIEMBRE!T183)</f>
        <v>Vigencias Anteriores</v>
      </c>
      <c r="U183" s="29">
        <f>+ENERO!U183</f>
        <v>2000000</v>
      </c>
      <c r="V183" s="17">
        <f>NOVIEMBRE!V183+DICIEMBRE!AL183</f>
        <v>3591005</v>
      </c>
      <c r="W183" s="17">
        <f>NOVIEMBRE!W183+DICIEMBRE!AM183</f>
        <v>0</v>
      </c>
      <c r="X183" s="20">
        <f t="shared" si="152"/>
        <v>5591005</v>
      </c>
      <c r="Y183" s="21">
        <f>NOVIEMBRE!AA183</f>
        <v>5591005</v>
      </c>
      <c r="Z183" s="457">
        <v>0</v>
      </c>
      <c r="AA183" s="20">
        <f t="shared" si="153"/>
        <v>5591005</v>
      </c>
      <c r="AB183" s="21">
        <f>NOVIEMBRE!AD183</f>
        <v>5591005</v>
      </c>
      <c r="AC183" s="457">
        <v>0</v>
      </c>
      <c r="AD183" s="20">
        <f t="shared" si="154"/>
        <v>5591005</v>
      </c>
      <c r="AE183" s="836">
        <f>NOVIEMBRE!AG183</f>
        <v>5591005</v>
      </c>
      <c r="AF183" s="457">
        <v>0</v>
      </c>
      <c r="AG183" s="20">
        <f t="shared" si="155"/>
        <v>5591005</v>
      </c>
      <c r="AH183" s="21">
        <f t="shared" si="156"/>
        <v>0</v>
      </c>
      <c r="AI183" s="17">
        <f t="shared" si="157"/>
        <v>0</v>
      </c>
      <c r="AJ183" s="18">
        <f t="shared" si="158"/>
        <v>0</v>
      </c>
      <c r="AK183" s="10"/>
      <c r="AL183" s="455">
        <v>0</v>
      </c>
      <c r="AM183" s="458">
        <v>0</v>
      </c>
      <c r="AN183" s="10"/>
      <c r="BQ183" s="562"/>
    </row>
    <row r="184" spans="1:69" s="467" customFormat="1" ht="15.75" x14ac:dyDescent="0.2">
      <c r="A184" s="623"/>
      <c r="N184" s="10"/>
      <c r="P184" s="10"/>
      <c r="Q184" s="10"/>
      <c r="R184" s="10"/>
      <c r="S184" s="448" t="str">
        <f>+IF(NOVIEMBRE!S184=0,"",NOVIEMBRE!S184)</f>
        <v/>
      </c>
      <c r="T184" s="649" t="str">
        <f>+IF(NOVIEMBRE!T184=0,"",NOVIEMBRE!T184)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c r="BQ184" s="562"/>
    </row>
    <row r="185" spans="1:69" s="467" customFormat="1" ht="15" x14ac:dyDescent="0.2">
      <c r="A185" s="623"/>
      <c r="N185" s="10"/>
      <c r="P185" s="10"/>
      <c r="Q185" s="10"/>
      <c r="R185" s="10"/>
      <c r="S185" s="34">
        <f>+IF(NOVIEMBRE!S185=0,"",NOVIEMBRE!S185)</f>
        <v>3300000</v>
      </c>
      <c r="T185" s="158" t="str">
        <f>+IF(NOVIEMBRE!T185=0,"",NOVIEMBRE!T185)</f>
        <v>Otras Transferencias</v>
      </c>
      <c r="U185" s="157">
        <f t="shared" ref="U185:AJ185" si="159">U186+U187+U191</f>
        <v>1500000</v>
      </c>
      <c r="V185" s="144">
        <f t="shared" si="159"/>
        <v>476550</v>
      </c>
      <c r="W185" s="144">
        <f t="shared" si="159"/>
        <v>1000000</v>
      </c>
      <c r="X185" s="152">
        <f t="shared" si="159"/>
        <v>2976550</v>
      </c>
      <c r="Y185" s="151">
        <f t="shared" si="159"/>
        <v>1683244</v>
      </c>
      <c r="Z185" s="144">
        <f t="shared" si="159"/>
        <v>0</v>
      </c>
      <c r="AA185" s="152">
        <f t="shared" si="159"/>
        <v>1683244</v>
      </c>
      <c r="AB185" s="151">
        <f t="shared" si="159"/>
        <v>1683244</v>
      </c>
      <c r="AC185" s="144">
        <f t="shared" si="159"/>
        <v>0</v>
      </c>
      <c r="AD185" s="152">
        <f t="shared" si="159"/>
        <v>1683244</v>
      </c>
      <c r="AE185" s="151">
        <f t="shared" si="159"/>
        <v>1045495</v>
      </c>
      <c r="AF185" s="144">
        <f t="shared" si="159"/>
        <v>254538</v>
      </c>
      <c r="AG185" s="152">
        <f t="shared" si="159"/>
        <v>1300033</v>
      </c>
      <c r="AH185" s="151">
        <f t="shared" si="159"/>
        <v>1293306</v>
      </c>
      <c r="AI185" s="144">
        <f t="shared" si="159"/>
        <v>1293306</v>
      </c>
      <c r="AJ185" s="153">
        <f t="shared" si="159"/>
        <v>1676517</v>
      </c>
      <c r="AK185" s="10"/>
      <c r="AL185" s="151">
        <f>AL186+AL187+AL191</f>
        <v>0</v>
      </c>
      <c r="AM185" s="153">
        <f>AM186+AM187+AM191</f>
        <v>0</v>
      </c>
      <c r="AN185" s="10"/>
      <c r="BQ185" s="562"/>
    </row>
    <row r="186" spans="1:69" s="467" customFormat="1" x14ac:dyDescent="0.2">
      <c r="A186" s="623"/>
      <c r="N186" s="10"/>
      <c r="P186" s="10"/>
      <c r="Q186" s="10"/>
      <c r="R186" s="10"/>
      <c r="S186" s="155">
        <f>+IF(NOVIEMBRE!S186=0,"",NOVIEMBRE!S186)</f>
        <v>3300100</v>
      </c>
      <c r="T186" s="159" t="str">
        <f>+IF(NOVIEMBRE!T186=0,"",NOVIEMBRE!T186)</f>
        <v>Sentencias y Conciliaciones</v>
      </c>
      <c r="U186" s="29">
        <f>+ENERO!U186</f>
        <v>0</v>
      </c>
      <c r="V186" s="17">
        <f>NOVIEMBRE!V186+DICIEMBRE!AL186</f>
        <v>0</v>
      </c>
      <c r="W186" s="17">
        <f>NOVIEMBRE!W186+DICIEMBRE!AM186</f>
        <v>0</v>
      </c>
      <c r="X186" s="20">
        <f>SUM(U186:W186)</f>
        <v>0</v>
      </c>
      <c r="Y186" s="21">
        <f>NOVIEMBRE!AA186</f>
        <v>0</v>
      </c>
      <c r="Z186" s="457">
        <v>0</v>
      </c>
      <c r="AA186" s="20">
        <f>SUM(Y186:Z186)</f>
        <v>0</v>
      </c>
      <c r="AB186" s="21">
        <f>NOVIEMBRE!AD186</f>
        <v>0</v>
      </c>
      <c r="AC186" s="457">
        <v>0</v>
      </c>
      <c r="AD186" s="20">
        <f>SUM(AB186:AC186)</f>
        <v>0</v>
      </c>
      <c r="AE186" s="21">
        <f>NOVIEMBRE!AG186</f>
        <v>0</v>
      </c>
      <c r="AF186" s="457">
        <v>0</v>
      </c>
      <c r="AG186" s="20">
        <f>SUM(AE186:AF186)</f>
        <v>0</v>
      </c>
      <c r="AH186" s="21">
        <f>X186-AA186</f>
        <v>0</v>
      </c>
      <c r="AI186" s="17">
        <f>X186-AD186</f>
        <v>0</v>
      </c>
      <c r="AJ186" s="18">
        <f>X186-AG186</f>
        <v>0</v>
      </c>
      <c r="AK186" s="10"/>
      <c r="AL186" s="455">
        <v>0</v>
      </c>
      <c r="AM186" s="458">
        <v>0</v>
      </c>
      <c r="AN186" s="10"/>
      <c r="BQ186" s="562"/>
    </row>
    <row r="187" spans="1:69" s="467" customFormat="1" x14ac:dyDescent="0.2">
      <c r="A187" s="623"/>
      <c r="N187" s="10"/>
      <c r="P187" s="10"/>
      <c r="Q187" s="10"/>
      <c r="R187" s="10"/>
      <c r="S187" s="155">
        <f>+IF(NOVIEMBRE!S187=0,"",NOVIEMBRE!S187)</f>
        <v>3300200</v>
      </c>
      <c r="T187" s="159" t="str">
        <f>+IF(NOVIEMBRE!T187=0,"",NOVIEMBRE!T187)</f>
        <v>Destinatarios de otras transferencias</v>
      </c>
      <c r="U187" s="29">
        <f t="shared" ref="U187:AM187" si="160">SUM(U188:U190)</f>
        <v>1500000</v>
      </c>
      <c r="V187" s="17">
        <f t="shared" si="160"/>
        <v>0</v>
      </c>
      <c r="W187" s="17">
        <f t="shared" si="160"/>
        <v>1000000</v>
      </c>
      <c r="X187" s="20">
        <f t="shared" si="160"/>
        <v>2500000</v>
      </c>
      <c r="Y187" s="21">
        <f t="shared" si="160"/>
        <v>1206694</v>
      </c>
      <c r="Z187" s="169">
        <f t="shared" si="160"/>
        <v>0</v>
      </c>
      <c r="AA187" s="20">
        <f t="shared" si="160"/>
        <v>1206694</v>
      </c>
      <c r="AB187" s="21">
        <f t="shared" si="160"/>
        <v>1206694</v>
      </c>
      <c r="AC187" s="169">
        <f t="shared" si="160"/>
        <v>0</v>
      </c>
      <c r="AD187" s="20">
        <f t="shared" si="160"/>
        <v>1206694</v>
      </c>
      <c r="AE187" s="21">
        <f t="shared" si="160"/>
        <v>568945</v>
      </c>
      <c r="AF187" s="169">
        <f t="shared" si="160"/>
        <v>254538</v>
      </c>
      <c r="AG187" s="20">
        <f t="shared" si="160"/>
        <v>823483</v>
      </c>
      <c r="AH187" s="21">
        <f t="shared" si="160"/>
        <v>1293306</v>
      </c>
      <c r="AI187" s="17">
        <f t="shared" si="160"/>
        <v>1293306</v>
      </c>
      <c r="AJ187" s="18">
        <f t="shared" si="160"/>
        <v>1676517</v>
      </c>
      <c r="AK187" s="10"/>
      <c r="AL187" s="31">
        <f t="shared" si="160"/>
        <v>0</v>
      </c>
      <c r="AM187" s="28">
        <f t="shared" si="160"/>
        <v>0</v>
      </c>
      <c r="AN187" s="10"/>
      <c r="BQ187" s="562"/>
    </row>
    <row r="188" spans="1:69" s="467" customFormat="1" x14ac:dyDescent="0.2">
      <c r="A188" s="623"/>
      <c r="B188" s="554"/>
      <c r="N188" s="10"/>
      <c r="P188" s="10"/>
      <c r="Q188" s="10"/>
      <c r="R188" s="10"/>
      <c r="S188" s="156" t="str">
        <f>+IF(NOVIEMBRE!S188=0,"",NOVIEMBRE!S188)</f>
        <v>3300200-1</v>
      </c>
      <c r="T188" s="159" t="str">
        <f>+IF(NOVIEMBRE!T188=0,"",NOVIEMBRE!T188)</f>
        <v>COHAN</v>
      </c>
      <c r="U188" s="29">
        <f>+ENERO!U188</f>
        <v>1500000</v>
      </c>
      <c r="V188" s="17">
        <f>NOVIEMBRE!V188+DICIEMBRE!AL188</f>
        <v>0</v>
      </c>
      <c r="W188" s="17">
        <f>NOVIEMBRE!W188+DICIEMBRE!AM188</f>
        <v>1000000</v>
      </c>
      <c r="X188" s="20">
        <f>SUM(U188:W188)</f>
        <v>2500000</v>
      </c>
      <c r="Y188" s="21">
        <f>NOVIEMBRE!AA188</f>
        <v>1206694</v>
      </c>
      <c r="Z188" s="457">
        <v>0</v>
      </c>
      <c r="AA188" s="20">
        <f>SUM(Y188:Z188)</f>
        <v>1206694</v>
      </c>
      <c r="AB188" s="21">
        <f>NOVIEMBRE!AD188</f>
        <v>1206694</v>
      </c>
      <c r="AC188" s="457">
        <v>0</v>
      </c>
      <c r="AD188" s="20">
        <f>SUM(AB188:AC188)</f>
        <v>1206694</v>
      </c>
      <c r="AE188" s="21">
        <f>NOVIEMBRE!AG188</f>
        <v>568945</v>
      </c>
      <c r="AF188" s="457">
        <v>254538</v>
      </c>
      <c r="AG188" s="20">
        <f>SUM(AE188:AF188)</f>
        <v>823483</v>
      </c>
      <c r="AH188" s="21">
        <f>X188-AA188</f>
        <v>1293306</v>
      </c>
      <c r="AI188" s="17">
        <f>X188-AD188</f>
        <v>1293306</v>
      </c>
      <c r="AJ188" s="18">
        <f>X188-AG188</f>
        <v>1676517</v>
      </c>
      <c r="AK188" s="10"/>
      <c r="AL188" s="455">
        <v>0</v>
      </c>
      <c r="AM188" s="458">
        <v>0</v>
      </c>
      <c r="AN188" s="10"/>
      <c r="BQ188" s="562"/>
    </row>
    <row r="189" spans="1:69" s="467" customFormat="1" x14ac:dyDescent="0.2">
      <c r="A189" s="623"/>
      <c r="B189" s="554"/>
      <c r="N189" s="10"/>
      <c r="P189" s="10"/>
      <c r="Q189" s="10"/>
      <c r="R189" s="10"/>
      <c r="S189" s="156" t="str">
        <f>+IF(NOVIEMBRE!S189=0,"",NOVIEMBRE!S189)</f>
        <v>3300200-2</v>
      </c>
      <c r="T189" s="159" t="str">
        <f>+IF(NOVIEMBRE!T189=0,"",NOVIEMBRE!T189)</f>
        <v>AESA</v>
      </c>
      <c r="U189" s="29">
        <f>+ENERO!U189</f>
        <v>0</v>
      </c>
      <c r="V189" s="17">
        <f>NOVIEMBRE!V189+DICIEMBRE!AL189</f>
        <v>0</v>
      </c>
      <c r="W189" s="17">
        <f>NOVIEMBRE!W189+DICIEMBRE!AM189</f>
        <v>0</v>
      </c>
      <c r="X189" s="20">
        <f>SUM(U189:W189)</f>
        <v>0</v>
      </c>
      <c r="Y189" s="21">
        <f>NOVIEMBRE!AA189</f>
        <v>0</v>
      </c>
      <c r="Z189" s="457">
        <v>0</v>
      </c>
      <c r="AA189" s="20">
        <f>SUM(Y189:Z189)</f>
        <v>0</v>
      </c>
      <c r="AB189" s="21">
        <f>NOVIEMBRE!AD189</f>
        <v>0</v>
      </c>
      <c r="AC189" s="457">
        <v>0</v>
      </c>
      <c r="AD189" s="20">
        <f>SUM(AB189:AC189)</f>
        <v>0</v>
      </c>
      <c r="AE189" s="21">
        <f>NOVIEMBRE!AG189</f>
        <v>0</v>
      </c>
      <c r="AF189" s="457">
        <v>0</v>
      </c>
      <c r="AG189" s="20">
        <f>SUM(AE189:AF189)</f>
        <v>0</v>
      </c>
      <c r="AH189" s="21">
        <f>X189-AA189</f>
        <v>0</v>
      </c>
      <c r="AI189" s="17">
        <f>X189-AD189</f>
        <v>0</v>
      </c>
      <c r="AJ189" s="18">
        <f>X189-AG189</f>
        <v>0</v>
      </c>
      <c r="AK189" s="10"/>
      <c r="AL189" s="455">
        <v>0</v>
      </c>
      <c r="AM189" s="458">
        <v>0</v>
      </c>
      <c r="AN189" s="10"/>
      <c r="BQ189" s="562"/>
    </row>
    <row r="190" spans="1:69" s="467" customFormat="1" x14ac:dyDescent="0.2">
      <c r="A190" s="623"/>
      <c r="B190" s="554"/>
      <c r="N190" s="10"/>
      <c r="P190" s="10"/>
      <c r="Q190" s="10"/>
      <c r="R190" s="10"/>
      <c r="S190" s="156" t="str">
        <f>+IF(NOVIEMBRE!S190=0,"",NOVIEMBRE!S190)</f>
        <v>3300200-3</v>
      </c>
      <c r="T190" s="159" t="str">
        <f>+IF(NOVIEMBRE!T190=0,"",NOVIEMBRE!T190)</f>
        <v xml:space="preserve">OTRAS </v>
      </c>
      <c r="U190" s="29">
        <f>+ENERO!U190</f>
        <v>0</v>
      </c>
      <c r="V190" s="17">
        <f>NOVIEMBRE!V190+DICIEMBRE!AL190</f>
        <v>0</v>
      </c>
      <c r="W190" s="17">
        <f>NOVIEMBRE!W190+DICIEMBRE!AM190</f>
        <v>0</v>
      </c>
      <c r="X190" s="20">
        <f>SUM(U190:W190)</f>
        <v>0</v>
      </c>
      <c r="Y190" s="21">
        <f>NOVIEMBRE!AA190</f>
        <v>0</v>
      </c>
      <c r="Z190" s="457">
        <v>0</v>
      </c>
      <c r="AA190" s="20">
        <f>SUM(Y190:Z190)</f>
        <v>0</v>
      </c>
      <c r="AB190" s="21">
        <f>NOVIEMBRE!AD190</f>
        <v>0</v>
      </c>
      <c r="AC190" s="457">
        <v>0</v>
      </c>
      <c r="AD190" s="20">
        <f>SUM(AB190:AC190)</f>
        <v>0</v>
      </c>
      <c r="AE190" s="21">
        <f>NOVIEMBRE!AG190</f>
        <v>0</v>
      </c>
      <c r="AF190" s="457">
        <v>0</v>
      </c>
      <c r="AG190" s="20">
        <f>SUM(AE190:AF190)</f>
        <v>0</v>
      </c>
      <c r="AH190" s="21">
        <f>X190-AA190</f>
        <v>0</v>
      </c>
      <c r="AI190" s="17">
        <f>X190-AD190</f>
        <v>0</v>
      </c>
      <c r="AJ190" s="18">
        <f>X190-AG190</f>
        <v>0</v>
      </c>
      <c r="AK190" s="10"/>
      <c r="AL190" s="455">
        <v>0</v>
      </c>
      <c r="AM190" s="458">
        <v>0</v>
      </c>
      <c r="AN190" s="10"/>
      <c r="BQ190" s="562"/>
    </row>
    <row r="191" spans="1:69" s="467" customFormat="1" x14ac:dyDescent="0.2">
      <c r="A191" s="623"/>
      <c r="B191" s="554"/>
      <c r="N191" s="10"/>
      <c r="P191" s="10"/>
      <c r="Q191" s="10"/>
      <c r="R191" s="10"/>
      <c r="S191" s="155">
        <f>+IF(NOVIEMBRE!S191=0,"",NOVIEMBRE!S191)</f>
        <v>3399999</v>
      </c>
      <c r="T191" s="159" t="str">
        <f>+IF(NOVIEMBRE!T191=0,"",NOVIEMBRE!T191)</f>
        <v>Vigencias Anteriores</v>
      </c>
      <c r="U191" s="29">
        <f>+ENERO!U191</f>
        <v>0</v>
      </c>
      <c r="V191" s="17">
        <f>NOVIEMBRE!V191+DICIEMBRE!AL191</f>
        <v>476550</v>
      </c>
      <c r="W191" s="17">
        <f>NOVIEMBRE!W191+DICIEMBRE!AM191</f>
        <v>0</v>
      </c>
      <c r="X191" s="20">
        <f>SUM(U191:W191)</f>
        <v>476550</v>
      </c>
      <c r="Y191" s="21">
        <f>NOVIEMBRE!AA191</f>
        <v>476550</v>
      </c>
      <c r="Z191" s="457">
        <v>0</v>
      </c>
      <c r="AA191" s="20">
        <f>SUM(Y191:Z191)</f>
        <v>476550</v>
      </c>
      <c r="AB191" s="21">
        <f>NOVIEMBRE!AD191</f>
        <v>476550</v>
      </c>
      <c r="AC191" s="457">
        <v>0</v>
      </c>
      <c r="AD191" s="20">
        <f>SUM(AB191:AC191)</f>
        <v>476550</v>
      </c>
      <c r="AE191" s="21">
        <f>NOVIEMBRE!AG191</f>
        <v>476550</v>
      </c>
      <c r="AF191" s="457">
        <v>0</v>
      </c>
      <c r="AG191" s="20">
        <f>SUM(AE191:AF191)</f>
        <v>476550</v>
      </c>
      <c r="AH191" s="21">
        <f>X191-AA191</f>
        <v>0</v>
      </c>
      <c r="AI191" s="17">
        <f>X191-AD191</f>
        <v>0</v>
      </c>
      <c r="AJ191" s="18">
        <f>X191-AG191</f>
        <v>0</v>
      </c>
      <c r="AK191" s="10"/>
      <c r="AL191" s="455">
        <v>0</v>
      </c>
      <c r="AM191" s="458">
        <v>0</v>
      </c>
      <c r="AN191" s="10"/>
      <c r="BQ191" s="562"/>
    </row>
    <row r="192" spans="1:69" s="467" customFormat="1" ht="15.75" x14ac:dyDescent="0.2">
      <c r="A192" s="623"/>
      <c r="B192" s="554"/>
      <c r="N192" s="10"/>
      <c r="P192" s="10"/>
      <c r="Q192" s="10"/>
      <c r="R192" s="10"/>
      <c r="S192" s="448" t="str">
        <f>+IF(NOVIEMBRE!S192=0,"",NOVIEMBRE!S192)</f>
        <v/>
      </c>
      <c r="T192" s="649" t="str">
        <f>+IF(NOVIEMBRE!T192=0,"",NOVIEMBRE!T192)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c r="BQ192" s="562"/>
    </row>
    <row r="193" spans="1:69" s="467" customFormat="1" ht="15.75" x14ac:dyDescent="0.2">
      <c r="A193" s="623"/>
      <c r="B193" s="554"/>
      <c r="N193" s="10"/>
      <c r="P193" s="10"/>
      <c r="Q193" s="10"/>
      <c r="R193" s="10"/>
      <c r="S193" s="469">
        <f>+IF(NOVIEMBRE!S193=0,"",NOVIEMBRE!S193)</f>
        <v>4000000</v>
      </c>
      <c r="T193" s="588" t="str">
        <f>+IF(NOVIEMBRE!T193=0,"",NOVIEMBRE!T193)</f>
        <v>GASTOS  DE PRESTACION DE SERVICIOS</v>
      </c>
      <c r="U193" s="589">
        <f t="shared" ref="U193:AJ193" si="161">U194</f>
        <v>355892858</v>
      </c>
      <c r="V193" s="590">
        <f t="shared" si="161"/>
        <v>15217291</v>
      </c>
      <c r="W193" s="590">
        <f t="shared" si="161"/>
        <v>49783068</v>
      </c>
      <c r="X193" s="591">
        <f t="shared" si="161"/>
        <v>420893217</v>
      </c>
      <c r="Y193" s="464">
        <f t="shared" si="161"/>
        <v>331822347</v>
      </c>
      <c r="Z193" s="590">
        <f t="shared" si="161"/>
        <v>19955576</v>
      </c>
      <c r="AA193" s="591">
        <f t="shared" si="161"/>
        <v>351777923</v>
      </c>
      <c r="AB193" s="464">
        <f t="shared" si="161"/>
        <v>331795033</v>
      </c>
      <c r="AC193" s="590">
        <f t="shared" si="161"/>
        <v>19982889</v>
      </c>
      <c r="AD193" s="591">
        <f t="shared" si="161"/>
        <v>351777922</v>
      </c>
      <c r="AE193" s="464">
        <f t="shared" si="161"/>
        <v>257653201</v>
      </c>
      <c r="AF193" s="590">
        <f t="shared" si="161"/>
        <v>40722564</v>
      </c>
      <c r="AG193" s="591">
        <f t="shared" si="161"/>
        <v>298375765</v>
      </c>
      <c r="AH193" s="464">
        <f t="shared" si="161"/>
        <v>69115294</v>
      </c>
      <c r="AI193" s="590">
        <f t="shared" si="161"/>
        <v>69115295</v>
      </c>
      <c r="AJ193" s="465">
        <f t="shared" si="161"/>
        <v>122517452</v>
      </c>
      <c r="AK193" s="10"/>
      <c r="AL193" s="151">
        <f>AL194</f>
        <v>0</v>
      </c>
      <c r="AM193" s="153">
        <f>AM194</f>
        <v>0</v>
      </c>
      <c r="AN193" s="10"/>
      <c r="BQ193" s="562"/>
    </row>
    <row r="194" spans="1:69" s="467" customFormat="1" ht="15" x14ac:dyDescent="0.2">
      <c r="A194" s="623"/>
      <c r="B194" s="554"/>
      <c r="N194" s="10"/>
      <c r="P194" s="10"/>
      <c r="Q194" s="10"/>
      <c r="R194" s="10"/>
      <c r="S194" s="34">
        <f>+IF(NOVIEMBRE!S194=0,"",NOVIEMBRE!S194)</f>
        <v>4100000</v>
      </c>
      <c r="T194" s="158" t="str">
        <f>+IF(NOVIEMBRE!T194=0,"",NOVIEMBRE!T194)</f>
        <v>Insumos y Suministros Hospitalarios</v>
      </c>
      <c r="U194" s="157">
        <f t="shared" ref="U194:AJ194" si="162">U195+U203+U205</f>
        <v>355892858</v>
      </c>
      <c r="V194" s="144">
        <f t="shared" si="162"/>
        <v>15217291</v>
      </c>
      <c r="W194" s="144">
        <f t="shared" si="162"/>
        <v>49783068</v>
      </c>
      <c r="X194" s="152">
        <f t="shared" si="162"/>
        <v>420893217</v>
      </c>
      <c r="Y194" s="151">
        <f t="shared" si="162"/>
        <v>331822347</v>
      </c>
      <c r="Z194" s="144">
        <f t="shared" si="162"/>
        <v>19955576</v>
      </c>
      <c r="AA194" s="152">
        <f t="shared" si="162"/>
        <v>351777923</v>
      </c>
      <c r="AB194" s="151">
        <f t="shared" si="162"/>
        <v>331795033</v>
      </c>
      <c r="AC194" s="144">
        <f t="shared" si="162"/>
        <v>19982889</v>
      </c>
      <c r="AD194" s="152">
        <f t="shared" si="162"/>
        <v>351777922</v>
      </c>
      <c r="AE194" s="151">
        <f t="shared" si="162"/>
        <v>257653201</v>
      </c>
      <c r="AF194" s="144">
        <f t="shared" si="162"/>
        <v>40722564</v>
      </c>
      <c r="AG194" s="152">
        <f t="shared" si="162"/>
        <v>298375765</v>
      </c>
      <c r="AH194" s="151">
        <f t="shared" si="162"/>
        <v>69115294</v>
      </c>
      <c r="AI194" s="144">
        <f t="shared" si="162"/>
        <v>69115295</v>
      </c>
      <c r="AJ194" s="153">
        <f t="shared" si="162"/>
        <v>122517452</v>
      </c>
      <c r="AK194" s="12"/>
      <c r="AL194" s="151">
        <f>AL195+AL203+AL205</f>
        <v>0</v>
      </c>
      <c r="AM194" s="153">
        <f>AM195+AM203+AM205</f>
        <v>0</v>
      </c>
      <c r="AN194" s="10"/>
      <c r="BQ194" s="562"/>
    </row>
    <row r="195" spans="1:69" s="467" customFormat="1" x14ac:dyDescent="0.2">
      <c r="A195" s="623"/>
      <c r="B195" s="554"/>
      <c r="N195" s="10"/>
      <c r="P195" s="10"/>
      <c r="Q195" s="10"/>
      <c r="R195" s="10"/>
      <c r="S195" s="155">
        <f>+IF(NOVIEMBRE!S195=0,"",NOVIEMBRE!S195)</f>
        <v>4100100</v>
      </c>
      <c r="T195" s="159" t="str">
        <f>+IF(NOVIEMBRE!T195=0,"",NOVIEMBRE!T195)</f>
        <v>Compra de Bienes para la Prestacion de servicios</v>
      </c>
      <c r="U195" s="29">
        <f t="shared" ref="U195:AJ195" si="163">SUM(U196:U202)</f>
        <v>282124359</v>
      </c>
      <c r="V195" s="17">
        <f t="shared" si="163"/>
        <v>0</v>
      </c>
      <c r="W195" s="17">
        <f t="shared" si="163"/>
        <v>49783068</v>
      </c>
      <c r="X195" s="20">
        <f t="shared" si="163"/>
        <v>331907427</v>
      </c>
      <c r="Y195" s="21">
        <f t="shared" si="163"/>
        <v>253803304</v>
      </c>
      <c r="Z195" s="169">
        <f t="shared" si="163"/>
        <v>18498476</v>
      </c>
      <c r="AA195" s="20">
        <f t="shared" si="163"/>
        <v>272301780</v>
      </c>
      <c r="AB195" s="21">
        <f t="shared" si="163"/>
        <v>253775990</v>
      </c>
      <c r="AC195" s="169">
        <f t="shared" si="163"/>
        <v>18525789</v>
      </c>
      <c r="AD195" s="20">
        <f t="shared" si="163"/>
        <v>272301779</v>
      </c>
      <c r="AE195" s="21">
        <f t="shared" si="163"/>
        <v>181872174</v>
      </c>
      <c r="AF195" s="169">
        <f t="shared" si="163"/>
        <v>38331248</v>
      </c>
      <c r="AG195" s="20">
        <f t="shared" si="163"/>
        <v>220203422</v>
      </c>
      <c r="AH195" s="21">
        <f t="shared" si="163"/>
        <v>59605647</v>
      </c>
      <c r="AI195" s="17">
        <f t="shared" si="163"/>
        <v>59605648</v>
      </c>
      <c r="AJ195" s="18">
        <f t="shared" si="163"/>
        <v>111704005</v>
      </c>
      <c r="AK195" s="10"/>
      <c r="AL195" s="31">
        <f>SUM(AL196:AL202)</f>
        <v>0</v>
      </c>
      <c r="AM195" s="28">
        <f>SUM(AM196:AM202)</f>
        <v>0</v>
      </c>
      <c r="AN195" s="10"/>
      <c r="BQ195" s="562"/>
    </row>
    <row r="196" spans="1:69" s="467" customFormat="1" x14ac:dyDescent="0.2">
      <c r="A196" s="623"/>
      <c r="B196" s="554"/>
      <c r="N196" s="10"/>
      <c r="P196" s="10"/>
      <c r="Q196" s="10"/>
      <c r="R196" s="10"/>
      <c r="S196" s="156" t="str">
        <f>+IF(NOVIEMBRE!S196=0,"",NOVIEMBRE!S196)</f>
        <v>4100100-1</v>
      </c>
      <c r="T196" s="55" t="str">
        <f>+IF(NOVIEMBRE!T196=0,"",NOVIEMBRE!T196)</f>
        <v>Productos Farmaceuticos</v>
      </c>
      <c r="U196" s="29">
        <f>+ENERO!U196</f>
        <v>185254982</v>
      </c>
      <c r="V196" s="17">
        <f>NOVIEMBRE!V196+DICIEMBRE!AL196</f>
        <v>0</v>
      </c>
      <c r="W196" s="17">
        <f>NOVIEMBRE!W196+DICIEMBRE!AM196</f>
        <v>22783068</v>
      </c>
      <c r="X196" s="20">
        <f t="shared" ref="X196:X202" si="164">SUM(U196:W196)</f>
        <v>208038050</v>
      </c>
      <c r="Y196" s="21">
        <f>NOVIEMBRE!AA196</f>
        <v>164317720</v>
      </c>
      <c r="Z196" s="457">
        <v>13749508</v>
      </c>
      <c r="AA196" s="20">
        <f t="shared" ref="AA196:AA202" si="165">SUM(Y196:Z196)</f>
        <v>178067228</v>
      </c>
      <c r="AB196" s="21">
        <f>NOVIEMBRE!AD196</f>
        <v>164290711</v>
      </c>
      <c r="AC196" s="457">
        <v>13776517</v>
      </c>
      <c r="AD196" s="20">
        <f t="shared" ref="AD196:AD202" si="166">SUM(AB196:AC196)</f>
        <v>178067228</v>
      </c>
      <c r="AE196" s="21">
        <f>NOVIEMBRE!AG196</f>
        <v>116414339</v>
      </c>
      <c r="AF196" s="457">
        <v>28881825</v>
      </c>
      <c r="AG196" s="20">
        <f t="shared" ref="AG196:AG202" si="167">SUM(AE196:AF196)</f>
        <v>145296164</v>
      </c>
      <c r="AH196" s="21">
        <f t="shared" ref="AH196:AH202" si="168">X196-AA196</f>
        <v>29970822</v>
      </c>
      <c r="AI196" s="17">
        <f t="shared" ref="AI196:AI202" si="169">X196-AD196</f>
        <v>29970822</v>
      </c>
      <c r="AJ196" s="18">
        <f t="shared" ref="AJ196:AJ202" si="170">X196-AG196</f>
        <v>62741886</v>
      </c>
      <c r="AK196" s="10"/>
      <c r="AL196" s="455">
        <v>0</v>
      </c>
      <c r="AM196" s="458">
        <v>0</v>
      </c>
      <c r="AN196" s="10"/>
      <c r="BQ196" s="562"/>
    </row>
    <row r="197" spans="1:69" s="467" customFormat="1" x14ac:dyDescent="0.2">
      <c r="A197" s="623"/>
      <c r="B197" s="554"/>
      <c r="N197" s="10"/>
      <c r="P197" s="10"/>
      <c r="Q197" s="10"/>
      <c r="R197" s="10"/>
      <c r="S197" s="156" t="str">
        <f>+IF(NOVIEMBRE!S197=0,"",NOVIEMBRE!S197)</f>
        <v>4100100-2</v>
      </c>
      <c r="T197" s="55" t="str">
        <f>+IF(NOVIEMBRE!T197=0,"",NOVIEMBRE!T197)</f>
        <v>Material Médico Quirúrgico</v>
      </c>
      <c r="U197" s="29">
        <f>+ENERO!U197</f>
        <v>45805235</v>
      </c>
      <c r="V197" s="17">
        <f>NOVIEMBRE!V197+DICIEMBRE!AL197</f>
        <v>0</v>
      </c>
      <c r="W197" s="17">
        <f>NOVIEMBRE!W197+DICIEMBRE!AM197</f>
        <v>10000000</v>
      </c>
      <c r="X197" s="20">
        <f t="shared" si="164"/>
        <v>55805235</v>
      </c>
      <c r="Y197" s="21">
        <f>NOVIEMBRE!AA197</f>
        <v>45620321</v>
      </c>
      <c r="Z197" s="457">
        <v>2975938</v>
      </c>
      <c r="AA197" s="20">
        <f t="shared" si="165"/>
        <v>48596259</v>
      </c>
      <c r="AB197" s="21">
        <f>NOVIEMBRE!AD197</f>
        <v>45620316</v>
      </c>
      <c r="AC197" s="457">
        <v>2975942</v>
      </c>
      <c r="AD197" s="20">
        <f t="shared" si="166"/>
        <v>48596258</v>
      </c>
      <c r="AE197" s="21">
        <f>NOVIEMBRE!AG197</f>
        <v>32598187</v>
      </c>
      <c r="AF197" s="457">
        <v>7154703</v>
      </c>
      <c r="AG197" s="20">
        <f t="shared" si="167"/>
        <v>39752890</v>
      </c>
      <c r="AH197" s="21">
        <f t="shared" si="168"/>
        <v>7208976</v>
      </c>
      <c r="AI197" s="17">
        <f t="shared" si="169"/>
        <v>7208977</v>
      </c>
      <c r="AJ197" s="18">
        <f t="shared" si="170"/>
        <v>16052345</v>
      </c>
      <c r="AK197" s="10"/>
      <c r="AL197" s="455">
        <v>0</v>
      </c>
      <c r="AM197" s="458">
        <v>0</v>
      </c>
      <c r="AN197" s="10"/>
      <c r="BQ197" s="562"/>
    </row>
    <row r="198" spans="1:69" s="467" customFormat="1" x14ac:dyDescent="0.2">
      <c r="A198" s="623"/>
      <c r="B198" s="554"/>
      <c r="N198" s="10"/>
      <c r="P198" s="10"/>
      <c r="Q198" s="10"/>
      <c r="R198" s="10"/>
      <c r="S198" s="156" t="str">
        <f>+IF(NOVIEMBRE!S198=0,"",NOVIEMBRE!S198)</f>
        <v>4100100-3</v>
      </c>
      <c r="T198" s="55" t="str">
        <f>+IF(NOVIEMBRE!T198=0,"",NOVIEMBRE!T198)</f>
        <v>Material de Laboratorio</v>
      </c>
      <c r="U198" s="29">
        <f>+ENERO!U198</f>
        <v>28507645</v>
      </c>
      <c r="V198" s="17">
        <f>NOVIEMBRE!V198+DICIEMBRE!AL198</f>
        <v>0</v>
      </c>
      <c r="W198" s="17">
        <f>NOVIEMBRE!W198+DICIEMBRE!AM198</f>
        <v>9000000</v>
      </c>
      <c r="X198" s="20">
        <f t="shared" si="164"/>
        <v>37507645</v>
      </c>
      <c r="Y198" s="21">
        <f>NOVIEMBRE!AA198</f>
        <v>26141353</v>
      </c>
      <c r="Z198" s="457">
        <v>649700</v>
      </c>
      <c r="AA198" s="20">
        <f t="shared" si="165"/>
        <v>26791053</v>
      </c>
      <c r="AB198" s="21">
        <f>NOVIEMBRE!AD198</f>
        <v>26141053</v>
      </c>
      <c r="AC198" s="457">
        <v>650000</v>
      </c>
      <c r="AD198" s="20">
        <f t="shared" si="166"/>
        <v>26791053</v>
      </c>
      <c r="AE198" s="21">
        <f>NOVIEMBRE!AG198</f>
        <v>18955166</v>
      </c>
      <c r="AF198" s="457">
        <v>340000</v>
      </c>
      <c r="AG198" s="20">
        <f t="shared" si="167"/>
        <v>19295166</v>
      </c>
      <c r="AH198" s="21">
        <f t="shared" si="168"/>
        <v>10716592</v>
      </c>
      <c r="AI198" s="17">
        <f t="shared" si="169"/>
        <v>10716592</v>
      </c>
      <c r="AJ198" s="18">
        <f t="shared" si="170"/>
        <v>18212479</v>
      </c>
      <c r="AK198" s="10"/>
      <c r="AL198" s="455">
        <v>0</v>
      </c>
      <c r="AM198" s="458">
        <v>0</v>
      </c>
      <c r="AN198" s="10"/>
      <c r="BQ198" s="562"/>
    </row>
    <row r="199" spans="1:69" s="467" customFormat="1" x14ac:dyDescent="0.2">
      <c r="A199" s="623"/>
      <c r="B199" s="554"/>
      <c r="N199" s="10"/>
      <c r="P199" s="10"/>
      <c r="Q199" s="10"/>
      <c r="R199" s="10"/>
      <c r="S199" s="156" t="str">
        <f>+IF(NOVIEMBRE!S199=0,"",NOVIEMBRE!S199)</f>
        <v>4100100-4</v>
      </c>
      <c r="T199" s="55" t="str">
        <f>+IF(NOVIEMBRE!T199=0,"",NOVIEMBRE!T199)</f>
        <v>Material para Odontologia</v>
      </c>
      <c r="U199" s="29">
        <f>+ENERO!U199</f>
        <v>13598841</v>
      </c>
      <c r="V199" s="17">
        <f>NOVIEMBRE!V199+DICIEMBRE!AL199</f>
        <v>0</v>
      </c>
      <c r="W199" s="17">
        <f>NOVIEMBRE!W199+DICIEMBRE!AM199</f>
        <v>5000000</v>
      </c>
      <c r="X199" s="20">
        <f t="shared" si="164"/>
        <v>18598841</v>
      </c>
      <c r="Y199" s="21">
        <f>NOVIEMBRE!AA199</f>
        <v>11951434</v>
      </c>
      <c r="Z199" s="457">
        <v>293800</v>
      </c>
      <c r="AA199" s="20">
        <f t="shared" si="165"/>
        <v>12245234</v>
      </c>
      <c r="AB199" s="21">
        <f>NOVIEMBRE!AD199</f>
        <v>11951434</v>
      </c>
      <c r="AC199" s="457">
        <v>293800</v>
      </c>
      <c r="AD199" s="20">
        <f t="shared" si="166"/>
        <v>12245234</v>
      </c>
      <c r="AE199" s="21">
        <f>NOVIEMBRE!AG199</f>
        <v>9996714</v>
      </c>
      <c r="AF199" s="457">
        <v>1954720</v>
      </c>
      <c r="AG199" s="20">
        <f t="shared" si="167"/>
        <v>11951434</v>
      </c>
      <c r="AH199" s="21">
        <f t="shared" si="168"/>
        <v>6353607</v>
      </c>
      <c r="AI199" s="17">
        <f t="shared" si="169"/>
        <v>6353607</v>
      </c>
      <c r="AJ199" s="18">
        <f t="shared" si="170"/>
        <v>6647407</v>
      </c>
      <c r="AK199" s="10"/>
      <c r="AL199" s="455">
        <v>0</v>
      </c>
      <c r="AM199" s="458">
        <v>0</v>
      </c>
      <c r="AN199" s="10"/>
      <c r="BQ199" s="562"/>
    </row>
    <row r="200" spans="1:69" s="467" customFormat="1" x14ac:dyDescent="0.2">
      <c r="A200" s="623"/>
      <c r="B200" s="554"/>
      <c r="N200" s="10"/>
      <c r="P200" s="10"/>
      <c r="Q200" s="10"/>
      <c r="R200" s="10"/>
      <c r="S200" s="156" t="str">
        <f>+IF(NOVIEMBRE!S200=0,"",NOVIEMBRE!S200)</f>
        <v>4100100-5</v>
      </c>
      <c r="T200" s="55" t="str">
        <f>+IF(NOVIEMBRE!T200=0,"",NOVIEMBRE!T200)</f>
        <v>Material para Rayos X</v>
      </c>
      <c r="U200" s="29">
        <f>+ENERO!U200</f>
        <v>8957656</v>
      </c>
      <c r="V200" s="17">
        <f>NOVIEMBRE!V200+DICIEMBRE!AL200</f>
        <v>0</v>
      </c>
      <c r="W200" s="17">
        <f>NOVIEMBRE!W200+DICIEMBRE!AM200</f>
        <v>3000000</v>
      </c>
      <c r="X200" s="20">
        <f t="shared" si="164"/>
        <v>11957656</v>
      </c>
      <c r="Y200" s="21">
        <f>NOVIEMBRE!AA200</f>
        <v>5772476</v>
      </c>
      <c r="Z200" s="457">
        <v>829530</v>
      </c>
      <c r="AA200" s="20">
        <f t="shared" si="165"/>
        <v>6602006</v>
      </c>
      <c r="AB200" s="21">
        <f>NOVIEMBRE!AD200</f>
        <v>5772476</v>
      </c>
      <c r="AC200" s="457">
        <v>829530</v>
      </c>
      <c r="AD200" s="20">
        <f t="shared" si="166"/>
        <v>6602006</v>
      </c>
      <c r="AE200" s="21">
        <f>NOVIEMBRE!AG200</f>
        <v>3907768</v>
      </c>
      <c r="AF200" s="457">
        <v>0</v>
      </c>
      <c r="AG200" s="20">
        <f t="shared" si="167"/>
        <v>3907768</v>
      </c>
      <c r="AH200" s="21">
        <f t="shared" si="168"/>
        <v>5355650</v>
      </c>
      <c r="AI200" s="17">
        <f t="shared" si="169"/>
        <v>5355650</v>
      </c>
      <c r="AJ200" s="18">
        <f t="shared" si="170"/>
        <v>8049888</v>
      </c>
      <c r="AK200" s="10"/>
      <c r="AL200" s="455">
        <v>0</v>
      </c>
      <c r="AM200" s="458">
        <v>0</v>
      </c>
      <c r="AN200" s="10"/>
      <c r="BQ200" s="562"/>
    </row>
    <row r="201" spans="1:69" s="467" customFormat="1" x14ac:dyDescent="0.2">
      <c r="A201" s="623"/>
      <c r="B201" s="554"/>
      <c r="N201" s="10"/>
      <c r="P201" s="10"/>
      <c r="Q201" s="10"/>
      <c r="R201" s="10"/>
      <c r="S201" s="156" t="str">
        <f>+IF(NOVIEMBRE!S201=0,"",NOVIEMBRE!S201)</f>
        <v/>
      </c>
      <c r="T201" s="55" t="str">
        <f>+IF(NOVIEMBRE!T201=0,"",NOVIEMBRE!T201)</f>
        <v/>
      </c>
      <c r="U201" s="29">
        <f>+ENERO!U201</f>
        <v>0</v>
      </c>
      <c r="V201" s="17">
        <f>NOVIEMBRE!V201+DICIEMBRE!AL201</f>
        <v>0</v>
      </c>
      <c r="W201" s="17">
        <f>NOVIEMBRE!W201+DICIEMBRE!AM201</f>
        <v>0</v>
      </c>
      <c r="X201" s="20">
        <f t="shared" si="164"/>
        <v>0</v>
      </c>
      <c r="Y201" s="21">
        <f>NOVIEMBRE!AA201</f>
        <v>0</v>
      </c>
      <c r="Z201" s="457">
        <v>0</v>
      </c>
      <c r="AA201" s="20">
        <f t="shared" si="165"/>
        <v>0</v>
      </c>
      <c r="AB201" s="21">
        <f>NOVIEMBRE!AD201</f>
        <v>0</v>
      </c>
      <c r="AC201" s="457">
        <v>0</v>
      </c>
      <c r="AD201" s="20">
        <f t="shared" si="166"/>
        <v>0</v>
      </c>
      <c r="AE201" s="21">
        <f>NOVIEMBRE!AG201</f>
        <v>0</v>
      </c>
      <c r="AF201" s="457">
        <v>0</v>
      </c>
      <c r="AG201" s="20">
        <f t="shared" si="167"/>
        <v>0</v>
      </c>
      <c r="AH201" s="21">
        <f t="shared" si="168"/>
        <v>0</v>
      </c>
      <c r="AI201" s="17">
        <f t="shared" si="169"/>
        <v>0</v>
      </c>
      <c r="AJ201" s="18">
        <f t="shared" si="170"/>
        <v>0</v>
      </c>
      <c r="AK201" s="10"/>
      <c r="AL201" s="455">
        <v>0</v>
      </c>
      <c r="AM201" s="458">
        <v>0</v>
      </c>
      <c r="AN201" s="10"/>
      <c r="BQ201" s="562"/>
    </row>
    <row r="202" spans="1:69" s="467" customFormat="1" x14ac:dyDescent="0.2">
      <c r="A202" s="623"/>
      <c r="B202" s="554"/>
      <c r="N202" s="10"/>
      <c r="P202" s="10"/>
      <c r="Q202" s="10"/>
      <c r="R202" s="10"/>
      <c r="S202" s="156" t="str">
        <f>+IF(NOVIEMBRE!S202=0,"",NOVIEMBRE!S202)</f>
        <v/>
      </c>
      <c r="T202" s="55" t="str">
        <f>+IF(NOVIEMBRE!T202=0,"",NOVIEMBRE!T202)</f>
        <v/>
      </c>
      <c r="U202" s="29">
        <f>+ENERO!U202</f>
        <v>0</v>
      </c>
      <c r="V202" s="17">
        <f>NOVIEMBRE!V202+DICIEMBRE!AL202</f>
        <v>0</v>
      </c>
      <c r="W202" s="17">
        <f>NOVIEMBRE!W202+DICIEMBRE!AM202</f>
        <v>0</v>
      </c>
      <c r="X202" s="20">
        <f t="shared" si="164"/>
        <v>0</v>
      </c>
      <c r="Y202" s="21">
        <f>NOVIEMBRE!AA202</f>
        <v>0</v>
      </c>
      <c r="Z202" s="457">
        <v>0</v>
      </c>
      <c r="AA202" s="20">
        <f t="shared" si="165"/>
        <v>0</v>
      </c>
      <c r="AB202" s="21">
        <f>NOVIEMBRE!AD202</f>
        <v>0</v>
      </c>
      <c r="AC202" s="457">
        <v>0</v>
      </c>
      <c r="AD202" s="20">
        <f t="shared" si="166"/>
        <v>0</v>
      </c>
      <c r="AE202" s="21">
        <f>NOVIEMBRE!AG202</f>
        <v>0</v>
      </c>
      <c r="AF202" s="457">
        <v>0</v>
      </c>
      <c r="AG202" s="20">
        <f t="shared" si="167"/>
        <v>0</v>
      </c>
      <c r="AH202" s="21">
        <f t="shared" si="168"/>
        <v>0</v>
      </c>
      <c r="AI202" s="17">
        <f t="shared" si="169"/>
        <v>0</v>
      </c>
      <c r="AJ202" s="18">
        <f t="shared" si="170"/>
        <v>0</v>
      </c>
      <c r="AK202" s="10"/>
      <c r="AL202" s="455">
        <v>0</v>
      </c>
      <c r="AM202" s="458">
        <v>0</v>
      </c>
      <c r="AN202" s="10"/>
      <c r="BQ202" s="562"/>
    </row>
    <row r="203" spans="1:69" s="467" customFormat="1" x14ac:dyDescent="0.2">
      <c r="A203" s="623"/>
      <c r="B203" s="554"/>
      <c r="N203" s="10"/>
      <c r="P203" s="10"/>
      <c r="Q203" s="10"/>
      <c r="R203" s="10"/>
      <c r="S203" s="155">
        <f>+IF(NOVIEMBRE!S203=0,"",NOVIEMBRE!S203)</f>
        <v>4100200</v>
      </c>
      <c r="T203" s="159" t="str">
        <f>+IF(NOVIEMBRE!T203=0,"",NOVIEMBRE!T203)</f>
        <v>Gastos Complementarios e Intermedios</v>
      </c>
      <c r="U203" s="29">
        <f t="shared" ref="U203:AJ203" si="171">U204</f>
        <v>28768499</v>
      </c>
      <c r="V203" s="17">
        <f t="shared" si="171"/>
        <v>0</v>
      </c>
      <c r="W203" s="17">
        <f t="shared" si="171"/>
        <v>0</v>
      </c>
      <c r="X203" s="20">
        <f t="shared" si="171"/>
        <v>28768499</v>
      </c>
      <c r="Y203" s="21">
        <f t="shared" si="171"/>
        <v>17801752</v>
      </c>
      <c r="Z203" s="169">
        <f t="shared" si="171"/>
        <v>1457100</v>
      </c>
      <c r="AA203" s="20">
        <f t="shared" si="171"/>
        <v>19258852</v>
      </c>
      <c r="AB203" s="21">
        <f t="shared" si="171"/>
        <v>17801752</v>
      </c>
      <c r="AC203" s="169">
        <f t="shared" si="171"/>
        <v>1457100</v>
      </c>
      <c r="AD203" s="20">
        <f t="shared" si="171"/>
        <v>19258852</v>
      </c>
      <c r="AE203" s="21">
        <f t="shared" si="171"/>
        <v>15563736</v>
      </c>
      <c r="AF203" s="169">
        <f t="shared" si="171"/>
        <v>2391316</v>
      </c>
      <c r="AG203" s="20">
        <f t="shared" si="171"/>
        <v>17955052</v>
      </c>
      <c r="AH203" s="21">
        <f t="shared" si="171"/>
        <v>9509647</v>
      </c>
      <c r="AI203" s="17">
        <f t="shared" si="171"/>
        <v>9509647</v>
      </c>
      <c r="AJ203" s="18">
        <f t="shared" si="171"/>
        <v>10813447</v>
      </c>
      <c r="AK203" s="10"/>
      <c r="AL203" s="31">
        <f>AL204</f>
        <v>0</v>
      </c>
      <c r="AM203" s="28">
        <f>AM204</f>
        <v>0</v>
      </c>
      <c r="AN203" s="10"/>
      <c r="BQ203" s="562"/>
    </row>
    <row r="204" spans="1:69" s="467" customFormat="1" x14ac:dyDescent="0.2">
      <c r="A204" s="623"/>
      <c r="B204" s="554"/>
      <c r="N204" s="10"/>
      <c r="P204" s="10"/>
      <c r="Q204" s="10"/>
      <c r="R204" s="10"/>
      <c r="S204" s="156" t="str">
        <f>+IF(NOVIEMBRE!S204=0,"",NOVIEMBRE!S204)</f>
        <v>4100200-1</v>
      </c>
      <c r="T204" s="55" t="str">
        <f>+IF(NOVIEMBRE!T204=0,"",NOVIEMBRE!T204)</f>
        <v>Alimentación</v>
      </c>
      <c r="U204" s="29">
        <f>+ENERO!U204</f>
        <v>28768499</v>
      </c>
      <c r="V204" s="17">
        <f>NOVIEMBRE!V204+DICIEMBRE!AL204</f>
        <v>0</v>
      </c>
      <c r="W204" s="17">
        <f>NOVIEMBRE!W204+DICIEMBRE!AM204</f>
        <v>0</v>
      </c>
      <c r="X204" s="20">
        <f>SUM(U204:W204)</f>
        <v>28768499</v>
      </c>
      <c r="Y204" s="21">
        <f>NOVIEMBRE!AA204</f>
        <v>17801752</v>
      </c>
      <c r="Z204" s="457">
        <v>1457100</v>
      </c>
      <c r="AA204" s="20">
        <f>SUM(Y204:Z204)</f>
        <v>19258852</v>
      </c>
      <c r="AB204" s="21">
        <f>NOVIEMBRE!AD204</f>
        <v>17801752</v>
      </c>
      <c r="AC204" s="457">
        <v>1457100</v>
      </c>
      <c r="AD204" s="20">
        <f>SUM(AB204:AC204)</f>
        <v>19258852</v>
      </c>
      <c r="AE204" s="21">
        <f>NOVIEMBRE!AG204</f>
        <v>15563736</v>
      </c>
      <c r="AF204" s="457">
        <v>2391316</v>
      </c>
      <c r="AG204" s="20">
        <f>SUM(AE204:AF204)</f>
        <v>17955052</v>
      </c>
      <c r="AH204" s="21">
        <f>X204-AA204</f>
        <v>9509647</v>
      </c>
      <c r="AI204" s="17">
        <f>X204-AD204</f>
        <v>9509647</v>
      </c>
      <c r="AJ204" s="18">
        <f>X204-AG204</f>
        <v>10813447</v>
      </c>
      <c r="AK204" s="10"/>
      <c r="AL204" s="455">
        <v>0</v>
      </c>
      <c r="AM204" s="458">
        <v>0</v>
      </c>
      <c r="AN204" s="10"/>
      <c r="BQ204" s="562"/>
    </row>
    <row r="205" spans="1:69" s="467" customFormat="1" ht="13.5" thickBot="1" x14ac:dyDescent="0.25">
      <c r="A205" s="623"/>
      <c r="B205" s="554"/>
      <c r="N205" s="10"/>
      <c r="P205" s="10"/>
      <c r="Q205" s="10"/>
      <c r="R205" s="10"/>
      <c r="S205" s="624">
        <f>+IF(NOVIEMBRE!S205=0,"",NOVIEMBRE!S205)</f>
        <v>4199999</v>
      </c>
      <c r="T205" s="625" t="str">
        <f>+IF(NOVIEMBRE!T205=0,"",NOVIEMBRE!T205)</f>
        <v>Vigencias Anteriores</v>
      </c>
      <c r="U205" s="160">
        <f>+ENERO!U205</f>
        <v>45000000</v>
      </c>
      <c r="V205" s="143">
        <f>NOVIEMBRE!V205+DICIEMBRE!AL205</f>
        <v>15217291</v>
      </c>
      <c r="W205" s="143">
        <f>NOVIEMBRE!W205+DICIEMBRE!AM205</f>
        <v>0</v>
      </c>
      <c r="X205" s="149">
        <f>SUM(U205:W205)</f>
        <v>60217291</v>
      </c>
      <c r="Y205" s="147">
        <f>NOVIEMBRE!AA205</f>
        <v>60217291</v>
      </c>
      <c r="Z205" s="475">
        <v>0</v>
      </c>
      <c r="AA205" s="149">
        <f>SUM(Y205:Z205)</f>
        <v>60217291</v>
      </c>
      <c r="AB205" s="147">
        <f>NOVIEMBRE!AD205</f>
        <v>60217291</v>
      </c>
      <c r="AC205" s="475">
        <v>0</v>
      </c>
      <c r="AD205" s="149">
        <f>SUM(AB205:AC205)</f>
        <v>60217291</v>
      </c>
      <c r="AE205" s="147">
        <f>NOVIEMBRE!AG205</f>
        <v>60217291</v>
      </c>
      <c r="AF205" s="475">
        <v>0</v>
      </c>
      <c r="AG205" s="149">
        <f>SUM(AE205:AF205)</f>
        <v>60217291</v>
      </c>
      <c r="AH205" s="147">
        <f>X205-AA205</f>
        <v>0</v>
      </c>
      <c r="AI205" s="143">
        <f>X205-AD205</f>
        <v>0</v>
      </c>
      <c r="AJ205" s="148">
        <f>X205-AG205</f>
        <v>0</v>
      </c>
      <c r="AK205" s="10"/>
      <c r="AL205" s="471">
        <v>0</v>
      </c>
      <c r="AM205" s="476">
        <v>0</v>
      </c>
      <c r="AN205" s="10"/>
      <c r="BQ205" s="562"/>
    </row>
    <row r="206" spans="1:69" s="467" customFormat="1" ht="15.75" x14ac:dyDescent="0.2">
      <c r="A206" s="623"/>
      <c r="B206" s="554"/>
      <c r="N206" s="10"/>
      <c r="P206" s="10"/>
      <c r="Q206" s="10"/>
      <c r="R206" s="10"/>
      <c r="S206" s="627" t="str">
        <f>+IF(NOVIEMBRE!S206=0,"",NOVIEMBRE!S206)</f>
        <v/>
      </c>
      <c r="T206" s="628" t="str">
        <f>+IF(NOVIEMBRE!T206=0,"",NOVIEMBRE!T206)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c r="BQ206" s="562"/>
    </row>
    <row r="207" spans="1:69" s="467" customFormat="1" ht="19.5" x14ac:dyDescent="0.2">
      <c r="A207" s="623"/>
      <c r="B207" s="554"/>
      <c r="N207" s="10"/>
      <c r="P207" s="10"/>
      <c r="Q207" s="10"/>
      <c r="R207" s="10"/>
      <c r="S207" s="654" t="str">
        <f>+IF(NOVIEMBRE!S207=0,"",NOVIEMBRE!S207)</f>
        <v>B</v>
      </c>
      <c r="T207" s="655" t="str">
        <f>+IF(NOVIEMBRE!T207=0,"",NOVIEMBRE!T207)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c r="BQ207" s="562"/>
    </row>
    <row r="208" spans="1:69"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c r="BQ208" s="562"/>
    </row>
    <row r="209" spans="1:69" s="467" customFormat="1" ht="15.75" x14ac:dyDescent="0.2">
      <c r="A209" s="623"/>
      <c r="B209" s="554"/>
      <c r="N209" s="10"/>
      <c r="P209" s="10"/>
      <c r="Q209" s="10"/>
      <c r="R209" s="10"/>
      <c r="S209" s="469">
        <f>+IF(NOVIEMBRE!S209=0,"",NOVIEMBRE!S209)</f>
        <v>5000000</v>
      </c>
      <c r="T209" s="588" t="s">
        <v>480</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c r="BQ209" s="562"/>
    </row>
    <row r="210" spans="1:69" s="467" customFormat="1" ht="15" x14ac:dyDescent="0.2">
      <c r="A210" s="623"/>
      <c r="B210" s="554"/>
      <c r="N210" s="10"/>
      <c r="P210" s="10"/>
      <c r="Q210" s="10"/>
      <c r="R210" s="10"/>
      <c r="S210" s="34">
        <f>+IF(NOVIEMBRE!S210=0,"",NOVIEMBRE!S210)</f>
        <v>5100000</v>
      </c>
      <c r="T210" s="158" t="str">
        <f>+IF(NOVIEMBRE!T210=0,"",NOVIEMBRE!T210)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c r="BQ210" s="562"/>
    </row>
    <row r="211" spans="1:69" s="467" customFormat="1" x14ac:dyDescent="0.2">
      <c r="A211" s="623"/>
      <c r="B211" s="554"/>
      <c r="N211" s="10"/>
      <c r="P211" s="10"/>
      <c r="Q211" s="10"/>
      <c r="R211" s="10"/>
      <c r="S211" s="155">
        <f>+IF(NOVIEMBRE!S211=0,"",NOVIEMBRE!S211)</f>
        <v>5100100</v>
      </c>
      <c r="T211" s="159" t="str">
        <f>+IF(NOVIEMBRE!T211=0,"",NOVIEMBRE!T211)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c r="BQ211" s="562"/>
    </row>
    <row r="212" spans="1:69" s="467" customFormat="1" x14ac:dyDescent="0.2">
      <c r="A212" s="623"/>
      <c r="B212" s="554"/>
      <c r="N212" s="10"/>
      <c r="P212" s="10"/>
      <c r="Q212" s="10"/>
      <c r="R212" s="10"/>
      <c r="S212" s="156" t="str">
        <f>+IF(NOVIEMBRE!S212=0,"",NOVIEMBRE!S212)</f>
        <v>5100100-1</v>
      </c>
      <c r="T212" s="55" t="str">
        <f>+IF(NOVIEMBRE!T212=0,"",NOVIEMBRE!T212)</f>
        <v>Productos Farmaceuticos</v>
      </c>
      <c r="U212" s="29">
        <f>+ENERO!U212</f>
        <v>0</v>
      </c>
      <c r="V212" s="17">
        <f>NOVIEMBRE!V212+DICIEMBRE!AL212</f>
        <v>0</v>
      </c>
      <c r="W212" s="17">
        <f>NOVIEMBRE!W212+DICIEMBRE!AM212</f>
        <v>0</v>
      </c>
      <c r="X212" s="20">
        <f t="shared" ref="X212:X218" si="176">SUM(U212:W212)</f>
        <v>0</v>
      </c>
      <c r="Y212" s="21">
        <f>NOVIEMBRE!AA212</f>
        <v>0</v>
      </c>
      <c r="Z212" s="457">
        <v>0</v>
      </c>
      <c r="AA212" s="20">
        <f t="shared" ref="AA212:AA218" si="177">SUM(Y212:Z212)</f>
        <v>0</v>
      </c>
      <c r="AB212" s="21">
        <f>NOVIEMBRE!AD212</f>
        <v>0</v>
      </c>
      <c r="AC212" s="457">
        <v>0</v>
      </c>
      <c r="AD212" s="20">
        <f t="shared" ref="AD212:AD218" si="178">SUM(AB212:AC212)</f>
        <v>0</v>
      </c>
      <c r="AE212" s="21">
        <f>NOVIEMBRE!AG212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c r="BQ212" s="562"/>
    </row>
    <row r="213" spans="1:69" s="467" customFormat="1" x14ac:dyDescent="0.2">
      <c r="A213" s="623"/>
      <c r="B213" s="554"/>
      <c r="N213" s="10"/>
      <c r="P213" s="10"/>
      <c r="Q213" s="10"/>
      <c r="R213" s="10"/>
      <c r="S213" s="156" t="str">
        <f>+IF(NOVIEMBRE!S213=0,"",NOVIEMBRE!S213)</f>
        <v>5100100-2</v>
      </c>
      <c r="T213" s="55" t="str">
        <f>+IF(NOVIEMBRE!T213=0,"",NOVIEMBRE!T213)</f>
        <v>Material Médico Quirúrgico</v>
      </c>
      <c r="U213" s="29">
        <f>+ENERO!U213</f>
        <v>0</v>
      </c>
      <c r="V213" s="17">
        <f>NOVIEMBRE!V213+DICIEMBRE!AL213</f>
        <v>0</v>
      </c>
      <c r="W213" s="17">
        <f>NOVIEMBRE!W213+DICIEMBRE!AM213</f>
        <v>0</v>
      </c>
      <c r="X213" s="20">
        <f t="shared" si="176"/>
        <v>0</v>
      </c>
      <c r="Y213" s="21">
        <f>NOVIEMBRE!AA213</f>
        <v>0</v>
      </c>
      <c r="Z213" s="457">
        <v>0</v>
      </c>
      <c r="AA213" s="20">
        <f t="shared" si="177"/>
        <v>0</v>
      </c>
      <c r="AB213" s="21">
        <f>NOVIEMBRE!AD213</f>
        <v>0</v>
      </c>
      <c r="AC213" s="457">
        <v>0</v>
      </c>
      <c r="AD213" s="20">
        <f t="shared" si="178"/>
        <v>0</v>
      </c>
      <c r="AE213" s="21">
        <f>NOVIEMBRE!AG213</f>
        <v>0</v>
      </c>
      <c r="AF213" s="457">
        <v>0</v>
      </c>
      <c r="AG213" s="20">
        <f t="shared" si="179"/>
        <v>0</v>
      </c>
      <c r="AH213" s="21">
        <f t="shared" si="180"/>
        <v>0</v>
      </c>
      <c r="AI213" s="17">
        <f t="shared" si="181"/>
        <v>0</v>
      </c>
      <c r="AJ213" s="18">
        <f t="shared" si="182"/>
        <v>0</v>
      </c>
      <c r="AK213" s="10"/>
      <c r="AL213" s="455">
        <v>0</v>
      </c>
      <c r="AM213" s="458">
        <v>0</v>
      </c>
      <c r="AN213" s="10"/>
      <c r="BQ213" s="562"/>
    </row>
    <row r="214" spans="1:69" s="467" customFormat="1" x14ac:dyDescent="0.2">
      <c r="A214" s="623"/>
      <c r="B214" s="554"/>
      <c r="N214" s="10"/>
      <c r="P214" s="10"/>
      <c r="Q214" s="10"/>
      <c r="R214" s="10"/>
      <c r="S214" s="156" t="str">
        <f>+IF(NOVIEMBRE!S214=0,"",NOVIEMBRE!S214)</f>
        <v>5100100-3</v>
      </c>
      <c r="T214" s="55" t="str">
        <f>+IF(NOVIEMBRE!T214=0,"",NOVIEMBRE!T214)</f>
        <v>Material de Laboratorio</v>
      </c>
      <c r="U214" s="29">
        <f>+ENERO!U214</f>
        <v>0</v>
      </c>
      <c r="V214" s="17">
        <f>NOVIEMBRE!V214+DICIEMBRE!AL214</f>
        <v>0</v>
      </c>
      <c r="W214" s="17">
        <f>NOVIEMBRE!W214+DICIEMBRE!AM214</f>
        <v>0</v>
      </c>
      <c r="X214" s="20">
        <f t="shared" si="176"/>
        <v>0</v>
      </c>
      <c r="Y214" s="21">
        <f>NOVIEMBRE!AA214</f>
        <v>0</v>
      </c>
      <c r="Z214" s="457">
        <v>0</v>
      </c>
      <c r="AA214" s="20">
        <f t="shared" si="177"/>
        <v>0</v>
      </c>
      <c r="AB214" s="21">
        <f>NOVIEMBRE!AD214</f>
        <v>0</v>
      </c>
      <c r="AC214" s="457">
        <v>0</v>
      </c>
      <c r="AD214" s="20">
        <f t="shared" si="178"/>
        <v>0</v>
      </c>
      <c r="AE214" s="21">
        <f>NOVIEMBRE!AG214</f>
        <v>0</v>
      </c>
      <c r="AF214" s="457">
        <v>0</v>
      </c>
      <c r="AG214" s="20">
        <f t="shared" si="179"/>
        <v>0</v>
      </c>
      <c r="AH214" s="21">
        <f t="shared" si="180"/>
        <v>0</v>
      </c>
      <c r="AI214" s="17">
        <f t="shared" si="181"/>
        <v>0</v>
      </c>
      <c r="AJ214" s="18">
        <f t="shared" si="182"/>
        <v>0</v>
      </c>
      <c r="AK214" s="10"/>
      <c r="AL214" s="455">
        <v>0</v>
      </c>
      <c r="AM214" s="458">
        <v>0</v>
      </c>
      <c r="AN214" s="10"/>
      <c r="BQ214" s="562"/>
    </row>
    <row r="215" spans="1:69" s="467" customFormat="1" x14ac:dyDescent="0.2">
      <c r="A215" s="623"/>
      <c r="B215" s="554"/>
      <c r="N215" s="10"/>
      <c r="P215" s="10"/>
      <c r="Q215" s="10"/>
      <c r="R215" s="10"/>
      <c r="S215" s="156" t="str">
        <f>+IF(NOVIEMBRE!S215=0,"",NOVIEMBRE!S215)</f>
        <v>5100100-4</v>
      </c>
      <c r="T215" s="55" t="str">
        <f>+IF(NOVIEMBRE!T215=0,"",NOVIEMBRE!T215)</f>
        <v>Material para Odontologia</v>
      </c>
      <c r="U215" s="29">
        <f>+ENERO!U215</f>
        <v>0</v>
      </c>
      <c r="V215" s="17">
        <f>NOVIEMBRE!V215+DICIEMBRE!AL215</f>
        <v>0</v>
      </c>
      <c r="W215" s="17">
        <f>NOVIEMBRE!W215+DICIEMBRE!AM215</f>
        <v>0</v>
      </c>
      <c r="X215" s="20">
        <f t="shared" si="176"/>
        <v>0</v>
      </c>
      <c r="Y215" s="21">
        <f>NOVIEMBRE!AA215</f>
        <v>0</v>
      </c>
      <c r="Z215" s="457">
        <v>0</v>
      </c>
      <c r="AA215" s="20">
        <f t="shared" si="177"/>
        <v>0</v>
      </c>
      <c r="AB215" s="21">
        <f>NOVIEMBRE!AD215</f>
        <v>0</v>
      </c>
      <c r="AC215" s="457">
        <v>0</v>
      </c>
      <c r="AD215" s="20">
        <f t="shared" si="178"/>
        <v>0</v>
      </c>
      <c r="AE215" s="21">
        <f>NOVIEMBRE!AG215</f>
        <v>0</v>
      </c>
      <c r="AF215" s="457">
        <v>0</v>
      </c>
      <c r="AG215" s="20">
        <f t="shared" si="179"/>
        <v>0</v>
      </c>
      <c r="AH215" s="21">
        <f t="shared" si="180"/>
        <v>0</v>
      </c>
      <c r="AI215" s="17">
        <f t="shared" si="181"/>
        <v>0</v>
      </c>
      <c r="AJ215" s="18">
        <f t="shared" si="182"/>
        <v>0</v>
      </c>
      <c r="AK215" s="10"/>
      <c r="AL215" s="455">
        <v>0</v>
      </c>
      <c r="AM215" s="458">
        <v>0</v>
      </c>
      <c r="AN215" s="10"/>
      <c r="BQ215" s="562"/>
    </row>
    <row r="216" spans="1:69" s="467" customFormat="1" x14ac:dyDescent="0.2">
      <c r="A216" s="623"/>
      <c r="B216" s="554"/>
      <c r="N216" s="10"/>
      <c r="P216" s="10"/>
      <c r="Q216" s="10"/>
      <c r="R216" s="10"/>
      <c r="S216" s="156" t="str">
        <f>+IF(NOVIEMBRE!S216=0,"",NOVIEMBRE!S216)</f>
        <v>5100100-5</v>
      </c>
      <c r="T216" s="55" t="str">
        <f>+IF(NOVIEMBRE!T216=0,"",NOVIEMBRE!T216)</f>
        <v>Material para Rayos X</v>
      </c>
      <c r="U216" s="29">
        <f>+ENERO!U216</f>
        <v>0</v>
      </c>
      <c r="V216" s="17">
        <f>NOVIEMBRE!V216+DICIEMBRE!AL216</f>
        <v>0</v>
      </c>
      <c r="W216" s="17">
        <f>NOVIEMBRE!W216+DICIEMBRE!AM216</f>
        <v>0</v>
      </c>
      <c r="X216" s="20">
        <f t="shared" si="176"/>
        <v>0</v>
      </c>
      <c r="Y216" s="21">
        <f>NOVIEMBRE!AA216</f>
        <v>0</v>
      </c>
      <c r="Z216" s="457">
        <v>0</v>
      </c>
      <c r="AA216" s="20">
        <f t="shared" si="177"/>
        <v>0</v>
      </c>
      <c r="AB216" s="21">
        <f>NOVIEMBRE!AD216</f>
        <v>0</v>
      </c>
      <c r="AC216" s="457">
        <v>0</v>
      </c>
      <c r="AD216" s="20">
        <f t="shared" si="178"/>
        <v>0</v>
      </c>
      <c r="AE216" s="21">
        <f>NOVIEMBRE!AG216</f>
        <v>0</v>
      </c>
      <c r="AF216" s="457">
        <v>0</v>
      </c>
      <c r="AG216" s="20">
        <f t="shared" si="179"/>
        <v>0</v>
      </c>
      <c r="AH216" s="21">
        <f t="shared" si="180"/>
        <v>0</v>
      </c>
      <c r="AI216" s="17">
        <f t="shared" si="181"/>
        <v>0</v>
      </c>
      <c r="AJ216" s="18">
        <f t="shared" si="182"/>
        <v>0</v>
      </c>
      <c r="AK216" s="10"/>
      <c r="AL216" s="455">
        <v>0</v>
      </c>
      <c r="AM216" s="458">
        <v>0</v>
      </c>
      <c r="AN216" s="10"/>
      <c r="BQ216" s="562"/>
    </row>
    <row r="217" spans="1:69" s="467" customFormat="1" x14ac:dyDescent="0.2">
      <c r="A217" s="623"/>
      <c r="B217" s="554"/>
      <c r="N217" s="10"/>
      <c r="P217" s="10"/>
      <c r="Q217" s="10"/>
      <c r="R217" s="10"/>
      <c r="S217" s="156" t="str">
        <f>+IF(NOVIEMBRE!S217=0,"",NOVIEMBRE!S217)</f>
        <v>5100100-6</v>
      </c>
      <c r="T217" s="55" t="str">
        <f>+IF(NOVIEMBRE!T217=0,"",NOVIEMBRE!T217)</f>
        <v>Material aseo personal, etc.</v>
      </c>
      <c r="U217" s="29">
        <f>+ENERO!U217</f>
        <v>0</v>
      </c>
      <c r="V217" s="17">
        <f>NOVIEMBRE!V217+DICIEMBRE!AL217</f>
        <v>0</v>
      </c>
      <c r="W217" s="17">
        <f>NOVIEMBRE!W217+DICIEMBRE!AM217</f>
        <v>0</v>
      </c>
      <c r="X217" s="20">
        <f t="shared" si="176"/>
        <v>0</v>
      </c>
      <c r="Y217" s="21">
        <f>NOVIEMBRE!AA217</f>
        <v>0</v>
      </c>
      <c r="Z217" s="457">
        <v>0</v>
      </c>
      <c r="AA217" s="20">
        <f t="shared" si="177"/>
        <v>0</v>
      </c>
      <c r="AB217" s="21">
        <f>NOVIEMBRE!AD217</f>
        <v>0</v>
      </c>
      <c r="AC217" s="457">
        <v>0</v>
      </c>
      <c r="AD217" s="20">
        <f t="shared" si="178"/>
        <v>0</v>
      </c>
      <c r="AE217" s="21">
        <f>NOVIEMBRE!AG217</f>
        <v>0</v>
      </c>
      <c r="AF217" s="457">
        <v>0</v>
      </c>
      <c r="AG217" s="20">
        <f t="shared" si="179"/>
        <v>0</v>
      </c>
      <c r="AH217" s="21">
        <f t="shared" si="180"/>
        <v>0</v>
      </c>
      <c r="AI217" s="17">
        <f t="shared" si="181"/>
        <v>0</v>
      </c>
      <c r="AJ217" s="18">
        <f t="shared" si="182"/>
        <v>0</v>
      </c>
      <c r="AK217" s="10"/>
      <c r="AL217" s="455">
        <v>0</v>
      </c>
      <c r="AM217" s="458">
        <v>0</v>
      </c>
      <c r="AN217" s="10"/>
      <c r="BQ217" s="562"/>
    </row>
    <row r="218" spans="1:69" s="467" customFormat="1" ht="15" thickBot="1" x14ac:dyDescent="0.25">
      <c r="A218" s="623"/>
      <c r="B218" s="554"/>
      <c r="N218" s="10"/>
      <c r="P218" s="10"/>
      <c r="Q218" s="10"/>
      <c r="R218" s="10"/>
      <c r="S218" s="657">
        <f>+IF(NOVIEMBRE!S218=0,"",NOVIEMBRE!S218)</f>
        <v>5199999</v>
      </c>
      <c r="T218" s="658" t="str">
        <f>+IF(NOVIEMBRE!T218=0,"",NOVIEMBRE!T218)</f>
        <v>Vigencias Anteriores</v>
      </c>
      <c r="U218" s="160">
        <f>+ENERO!U218</f>
        <v>0</v>
      </c>
      <c r="V218" s="143">
        <f>NOVIEMBRE!V218+DICIEMBRE!AL218</f>
        <v>0</v>
      </c>
      <c r="W218" s="143">
        <f>NOVIEMBRE!W218+DICIEMBRE!AM218</f>
        <v>0</v>
      </c>
      <c r="X218" s="149">
        <f t="shared" si="176"/>
        <v>0</v>
      </c>
      <c r="Y218" s="147">
        <f>NOVIEMBRE!AA218</f>
        <v>0</v>
      </c>
      <c r="Z218" s="475">
        <v>0</v>
      </c>
      <c r="AA218" s="149">
        <f t="shared" si="177"/>
        <v>0</v>
      </c>
      <c r="AB218" s="147">
        <f>NOVIEMBRE!AD218</f>
        <v>0</v>
      </c>
      <c r="AC218" s="475">
        <v>0</v>
      </c>
      <c r="AD218" s="149">
        <f t="shared" si="178"/>
        <v>0</v>
      </c>
      <c r="AE218" s="147">
        <f>NOVIEMBRE!AG218</f>
        <v>0</v>
      </c>
      <c r="AF218" s="475">
        <v>0</v>
      </c>
      <c r="AG218" s="149">
        <f t="shared" si="179"/>
        <v>0</v>
      </c>
      <c r="AH218" s="147">
        <f t="shared" si="180"/>
        <v>0</v>
      </c>
      <c r="AI218" s="143">
        <f t="shared" si="181"/>
        <v>0</v>
      </c>
      <c r="AJ218" s="148">
        <f t="shared" si="182"/>
        <v>0</v>
      </c>
      <c r="AK218" s="10"/>
      <c r="AL218" s="650">
        <v>0</v>
      </c>
      <c r="AM218" s="651">
        <v>0</v>
      </c>
      <c r="AN218" s="10"/>
      <c r="BQ218" s="562"/>
    </row>
    <row r="219" spans="1:69" s="467" customFormat="1" ht="16.5" thickBot="1" x14ac:dyDescent="0.25">
      <c r="A219" s="623"/>
      <c r="B219" s="554"/>
      <c r="N219" s="10"/>
      <c r="P219" s="10"/>
      <c r="Q219" s="10"/>
      <c r="R219" s="10"/>
      <c r="S219" s="643" t="str">
        <f>+IF(NOVIEMBRE!S219=0,"",NOVIEMBRE!S219)</f>
        <v/>
      </c>
      <c r="T219" s="357" t="str">
        <f>+IF(NOVIEMBRE!T219=0,"",NOVIEMBRE!T219)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c r="BQ219" s="562"/>
    </row>
    <row r="220" spans="1:69" s="467" customFormat="1" ht="19.5" x14ac:dyDescent="0.2">
      <c r="A220" s="623"/>
      <c r="B220" s="554"/>
      <c r="N220" s="10"/>
      <c r="P220" s="10"/>
      <c r="Q220" s="10"/>
      <c r="R220" s="10"/>
      <c r="S220" s="438" t="str">
        <f>+IF(NOVIEMBRE!S220=0,"",NOVIEMBRE!S220)</f>
        <v>C</v>
      </c>
      <c r="T220" s="439" t="str">
        <f>+IF(NOVIEMBRE!T220=0,"",NOVIEMBRE!T220)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c r="BQ220" s="562"/>
    </row>
    <row r="221" spans="1:69" s="467" customFormat="1" ht="15.75" x14ac:dyDescent="0.2">
      <c r="A221" s="623"/>
      <c r="B221" s="554"/>
      <c r="N221" s="10"/>
      <c r="P221" s="10"/>
      <c r="Q221" s="10"/>
      <c r="R221" s="10"/>
      <c r="S221" s="448" t="str">
        <f>+IF(NOVIEMBRE!S221=0,"",NOVIEMBRE!S221)</f>
        <v/>
      </c>
      <c r="T221" s="649" t="str">
        <f>+IF(NOVIEMBRE!T221=0,"",NOVIEMBRE!T221)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c r="BQ221" s="562"/>
    </row>
    <row r="222" spans="1:69" s="467" customFormat="1" ht="15" x14ac:dyDescent="0.2">
      <c r="A222" s="623"/>
      <c r="B222" s="554"/>
      <c r="N222" s="10"/>
      <c r="P222" s="10"/>
      <c r="Q222" s="10"/>
      <c r="R222" s="10"/>
      <c r="S222" s="34">
        <f>+IF(NOVIEMBRE!S222=0,"",NOVIEMBRE!S222)</f>
        <v>7001000</v>
      </c>
      <c r="T222" s="158" t="str">
        <f>+IF(NOVIEMBRE!T222=0,"",NOVIEMBRE!T222)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c r="BQ222" s="562"/>
    </row>
    <row r="223" spans="1:69" s="467" customFormat="1" x14ac:dyDescent="0.2">
      <c r="A223" s="623"/>
      <c r="B223" s="554"/>
      <c r="N223" s="10"/>
      <c r="P223" s="10"/>
      <c r="Q223" s="10"/>
      <c r="R223" s="10"/>
      <c r="S223" s="155">
        <f>+IF(NOVIEMBRE!S223=0,"",NOVIEMBRE!S223)</f>
        <v>7001100</v>
      </c>
      <c r="T223" s="159" t="str">
        <f>+IF(NOVIEMBRE!T223=0,"",NOVIEMBRE!T223)</f>
        <v>Amortización deuda Pública Interna</v>
      </c>
      <c r="U223" s="29">
        <f>+ENERO!U223</f>
        <v>0</v>
      </c>
      <c r="V223" s="17">
        <f>NOVIEMBRE!V223+DICIEMBRE!AL223</f>
        <v>0</v>
      </c>
      <c r="W223" s="17">
        <f>NOVIEMBRE!W223+DICIEMBRE!AM223</f>
        <v>0</v>
      </c>
      <c r="X223" s="20">
        <f>SUM(U223:W223)</f>
        <v>0</v>
      </c>
      <c r="Y223" s="21">
        <f>NOVIEMBRE!AA223</f>
        <v>0</v>
      </c>
      <c r="Z223" s="457">
        <v>0</v>
      </c>
      <c r="AA223" s="20">
        <f>SUM(Y223:Z223)</f>
        <v>0</v>
      </c>
      <c r="AB223" s="21">
        <f>NOVIEMBRE!AD223</f>
        <v>0</v>
      </c>
      <c r="AC223" s="457">
        <v>0</v>
      </c>
      <c r="AD223" s="20">
        <f>SUM(AB223:AC223)</f>
        <v>0</v>
      </c>
      <c r="AE223" s="21">
        <f>NOVIEMBRE!AG223</f>
        <v>0</v>
      </c>
      <c r="AF223" s="457">
        <v>0</v>
      </c>
      <c r="AG223" s="20">
        <f>SUM(AE223:AF223)</f>
        <v>0</v>
      </c>
      <c r="AH223" s="21">
        <f>X223-AA223</f>
        <v>0</v>
      </c>
      <c r="AI223" s="17">
        <f>X223-AD223</f>
        <v>0</v>
      </c>
      <c r="AJ223" s="18">
        <f>X223-AG223</f>
        <v>0</v>
      </c>
      <c r="AK223" s="10"/>
      <c r="AL223" s="455">
        <v>0</v>
      </c>
      <c r="AM223" s="458">
        <v>0</v>
      </c>
      <c r="AN223" s="10"/>
      <c r="BQ223" s="562"/>
    </row>
    <row r="224" spans="1:69" s="467" customFormat="1" x14ac:dyDescent="0.2">
      <c r="A224" s="623"/>
      <c r="B224" s="554"/>
      <c r="N224" s="10"/>
      <c r="P224" s="10"/>
      <c r="Q224" s="10"/>
      <c r="R224" s="10"/>
      <c r="S224" s="155">
        <f>+IF(NOVIEMBRE!S224=0,"",NOVIEMBRE!S224)</f>
        <v>7001200</v>
      </c>
      <c r="T224" s="159" t="str">
        <f>+IF(NOVIEMBRE!T224=0,"",NOVIEMBRE!T224)</f>
        <v>Intereses Comisiones y gastos de la Deuda Pública</v>
      </c>
      <c r="U224" s="29">
        <f>+ENERO!U224</f>
        <v>0</v>
      </c>
      <c r="V224" s="17">
        <f>NOVIEMBRE!V224+DICIEMBRE!AL224</f>
        <v>0</v>
      </c>
      <c r="W224" s="17">
        <f>NOVIEMBRE!W224+DICIEMBRE!AM224</f>
        <v>0</v>
      </c>
      <c r="X224" s="20">
        <f>SUM(U224:W224)</f>
        <v>0</v>
      </c>
      <c r="Y224" s="21">
        <f>NOVIEMBRE!AA224</f>
        <v>0</v>
      </c>
      <c r="Z224" s="457">
        <v>0</v>
      </c>
      <c r="AA224" s="20">
        <f>SUM(Y224:Z224)</f>
        <v>0</v>
      </c>
      <c r="AB224" s="21">
        <f>NOVIEMBRE!AD224</f>
        <v>0</v>
      </c>
      <c r="AC224" s="457">
        <v>0</v>
      </c>
      <c r="AD224" s="20">
        <f>SUM(AB224:AC224)</f>
        <v>0</v>
      </c>
      <c r="AE224" s="21">
        <f>NOVIEMBRE!AG224</f>
        <v>0</v>
      </c>
      <c r="AF224" s="457">
        <v>0</v>
      </c>
      <c r="AG224" s="20">
        <f>SUM(AE224:AF224)</f>
        <v>0</v>
      </c>
      <c r="AH224" s="21">
        <f>X224-AA224</f>
        <v>0</v>
      </c>
      <c r="AI224" s="17">
        <f>X224-AD224</f>
        <v>0</v>
      </c>
      <c r="AJ224" s="18">
        <f>X224-AG224</f>
        <v>0</v>
      </c>
      <c r="AK224" s="10"/>
      <c r="AL224" s="455">
        <v>0</v>
      </c>
      <c r="AM224" s="458">
        <v>0</v>
      </c>
      <c r="AN224" s="10"/>
      <c r="BQ224" s="562"/>
    </row>
    <row r="225" spans="1:69" s="467" customFormat="1" x14ac:dyDescent="0.2">
      <c r="A225" s="623"/>
      <c r="B225" s="554"/>
      <c r="N225" s="10"/>
      <c r="P225" s="10"/>
      <c r="Q225" s="10"/>
      <c r="R225" s="10"/>
      <c r="S225" s="155">
        <f>+IF(NOVIEMBRE!S225=0,"",NOVIEMBRE!S225)</f>
        <v>7001999</v>
      </c>
      <c r="T225" s="159" t="str">
        <f>+IF(NOVIEMBRE!T225=0,"",NOVIEMBRE!T225)</f>
        <v>Vigencias Anteriores</v>
      </c>
      <c r="U225" s="29">
        <f>+ENERO!U225</f>
        <v>0</v>
      </c>
      <c r="V225" s="17">
        <f>NOVIEMBRE!V225+DICIEMBRE!AL225</f>
        <v>0</v>
      </c>
      <c r="W225" s="17">
        <f>NOVIEMBRE!W225+DICIEMBRE!AM225</f>
        <v>0</v>
      </c>
      <c r="X225" s="20">
        <f>SUM(U225:W225)</f>
        <v>0</v>
      </c>
      <c r="Y225" s="21">
        <f>NOVIEMBRE!AA225</f>
        <v>0</v>
      </c>
      <c r="Z225" s="457">
        <v>0</v>
      </c>
      <c r="AA225" s="20">
        <f>SUM(Y225:Z225)</f>
        <v>0</v>
      </c>
      <c r="AB225" s="21">
        <f>NOVIEMBRE!AD225</f>
        <v>0</v>
      </c>
      <c r="AC225" s="457">
        <v>0</v>
      </c>
      <c r="AD225" s="20">
        <f>SUM(AB225:AC225)</f>
        <v>0</v>
      </c>
      <c r="AE225" s="21">
        <f>NOVIEMBRE!AG225</f>
        <v>0</v>
      </c>
      <c r="AF225" s="457">
        <v>0</v>
      </c>
      <c r="AG225" s="20">
        <f>SUM(AE225:AF225)</f>
        <v>0</v>
      </c>
      <c r="AH225" s="21">
        <f>X225-AA225</f>
        <v>0</v>
      </c>
      <c r="AI225" s="17">
        <f>X225-AD225</f>
        <v>0</v>
      </c>
      <c r="AJ225" s="18">
        <f>X225-AG225</f>
        <v>0</v>
      </c>
      <c r="AK225" s="10"/>
      <c r="AL225" s="455">
        <v>0</v>
      </c>
      <c r="AM225" s="458">
        <v>0</v>
      </c>
      <c r="AN225" s="10"/>
      <c r="BQ225" s="562"/>
    </row>
    <row r="226" spans="1:69" s="467" customFormat="1" ht="15.75" x14ac:dyDescent="0.2">
      <c r="A226" s="623"/>
      <c r="B226" s="554"/>
      <c r="N226" s="10"/>
      <c r="P226" s="10"/>
      <c r="Q226" s="10"/>
      <c r="R226" s="10"/>
      <c r="S226" s="448" t="str">
        <f>+IF(NOVIEMBRE!S226=0,"",NOVIEMBRE!S226)</f>
        <v/>
      </c>
      <c r="T226" s="649" t="str">
        <f>+IF(NOVIEMBRE!T226=0,"",NOVIEMBRE!T226)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c r="BQ226" s="562"/>
    </row>
    <row r="227" spans="1:69" s="467" customFormat="1" ht="15" x14ac:dyDescent="0.2">
      <c r="A227" s="623"/>
      <c r="B227" s="554"/>
      <c r="N227" s="10"/>
      <c r="P227" s="10"/>
      <c r="Q227" s="10"/>
      <c r="R227" s="10"/>
      <c r="S227" s="34">
        <f>+IF(NOVIEMBRE!S227=0,"",NOVIEMBRE!S227)</f>
        <v>7002001</v>
      </c>
      <c r="T227" s="158" t="str">
        <f>+IF(NOVIEMBRE!T227=0,"",NOVIEMBRE!T227)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c r="BQ227" s="562"/>
    </row>
    <row r="228" spans="1:69" s="467" customFormat="1" x14ac:dyDescent="0.2">
      <c r="A228" s="623"/>
      <c r="B228" s="554"/>
      <c r="N228" s="10"/>
      <c r="P228" s="10"/>
      <c r="Q228" s="10"/>
      <c r="R228" s="10"/>
      <c r="S228" s="155">
        <f>+IF(NOVIEMBRE!S228=0,"",NOVIEMBRE!S228)</f>
        <v>7002100</v>
      </c>
      <c r="T228" s="159" t="str">
        <f>+IF(NOVIEMBRE!T228=0,"",NOVIEMBRE!T228)</f>
        <v>Amortización deuda Pública Externa</v>
      </c>
      <c r="U228" s="29">
        <f>+ENERO!U228</f>
        <v>0</v>
      </c>
      <c r="V228" s="17">
        <f>NOVIEMBRE!V228+DICIEMBRE!AL228</f>
        <v>0</v>
      </c>
      <c r="W228" s="17">
        <f>NOVIEMBRE!W228+DICIEMBRE!AM228</f>
        <v>0</v>
      </c>
      <c r="X228" s="20">
        <f>SUM(U228:W228)</f>
        <v>0</v>
      </c>
      <c r="Y228" s="21">
        <f>NOVIEMBRE!AA228</f>
        <v>0</v>
      </c>
      <c r="Z228" s="457">
        <v>0</v>
      </c>
      <c r="AA228" s="20">
        <f>SUM(Y228:Z228)</f>
        <v>0</v>
      </c>
      <c r="AB228" s="21">
        <f>NOVIEMBRE!AD228</f>
        <v>0</v>
      </c>
      <c r="AC228" s="457">
        <v>0</v>
      </c>
      <c r="AD228" s="20">
        <f>SUM(AB228:AC228)</f>
        <v>0</v>
      </c>
      <c r="AE228" s="21">
        <f>NOVIEMBRE!AG228</f>
        <v>0</v>
      </c>
      <c r="AF228" s="457">
        <v>0</v>
      </c>
      <c r="AG228" s="20">
        <f>SUM(AE228:AF228)</f>
        <v>0</v>
      </c>
      <c r="AH228" s="21">
        <f>X228-AA228</f>
        <v>0</v>
      </c>
      <c r="AI228" s="17">
        <f>X228-AD228</f>
        <v>0</v>
      </c>
      <c r="AJ228" s="18">
        <f>X228-AG228</f>
        <v>0</v>
      </c>
      <c r="AK228" s="10"/>
      <c r="AL228" s="455">
        <v>0</v>
      </c>
      <c r="AM228" s="458">
        <v>0</v>
      </c>
      <c r="AN228" s="10"/>
      <c r="BQ228" s="562"/>
    </row>
    <row r="229" spans="1:69" s="467" customFormat="1" x14ac:dyDescent="0.2">
      <c r="A229" s="623"/>
      <c r="B229" s="554"/>
      <c r="N229" s="10"/>
      <c r="P229" s="10"/>
      <c r="Q229" s="10"/>
      <c r="R229" s="10"/>
      <c r="S229" s="155">
        <f>+IF(NOVIEMBRE!S229=0,"",NOVIEMBRE!S229)</f>
        <v>7002200</v>
      </c>
      <c r="T229" s="159" t="str">
        <f>+IF(NOVIEMBRE!T229=0,"",NOVIEMBRE!T229)</f>
        <v>Intereses Comisiones y gastos de la Deuda Pública</v>
      </c>
      <c r="U229" s="29">
        <f>+ENERO!U229</f>
        <v>0</v>
      </c>
      <c r="V229" s="17">
        <f>NOVIEMBRE!V229+DICIEMBRE!AL229</f>
        <v>0</v>
      </c>
      <c r="W229" s="17">
        <f>NOVIEMBRE!W229+DICIEMBRE!AM229</f>
        <v>0</v>
      </c>
      <c r="X229" s="20">
        <f>SUM(U229:W229)</f>
        <v>0</v>
      </c>
      <c r="Y229" s="21">
        <f>NOVIEMBRE!AA229</f>
        <v>0</v>
      </c>
      <c r="Z229" s="457">
        <v>0</v>
      </c>
      <c r="AA229" s="20">
        <f>SUM(Y229:Z229)</f>
        <v>0</v>
      </c>
      <c r="AB229" s="21">
        <f>NOVIEMBRE!AD229</f>
        <v>0</v>
      </c>
      <c r="AC229" s="457">
        <v>0</v>
      </c>
      <c r="AD229" s="20">
        <f>SUM(AB229:AC229)</f>
        <v>0</v>
      </c>
      <c r="AE229" s="21">
        <f>NOVIEMBRE!AG229</f>
        <v>0</v>
      </c>
      <c r="AF229" s="457">
        <v>0</v>
      </c>
      <c r="AG229" s="20">
        <f>SUM(AE229:AF229)</f>
        <v>0</v>
      </c>
      <c r="AH229" s="21">
        <f>X229-AA229</f>
        <v>0</v>
      </c>
      <c r="AI229" s="17">
        <f>X229-AD229</f>
        <v>0</v>
      </c>
      <c r="AJ229" s="18">
        <f>X229-AG229</f>
        <v>0</v>
      </c>
      <c r="AK229" s="10"/>
      <c r="AL229" s="455">
        <v>0</v>
      </c>
      <c r="AM229" s="458">
        <v>0</v>
      </c>
      <c r="AN229" s="10"/>
      <c r="BQ229" s="562"/>
    </row>
    <row r="230" spans="1:69" s="467" customFormat="1" ht="13.5" thickBot="1" x14ac:dyDescent="0.25">
      <c r="A230" s="623"/>
      <c r="B230" s="554"/>
      <c r="N230" s="10"/>
      <c r="P230" s="10"/>
      <c r="Q230" s="10"/>
      <c r="R230" s="10"/>
      <c r="S230" s="624">
        <f>+IF(NOVIEMBRE!S230=0,"",NOVIEMBRE!S230)</f>
        <v>7002999</v>
      </c>
      <c r="T230" s="625" t="str">
        <f>+IF(NOVIEMBRE!T230=0,"",NOVIEMBRE!T230)</f>
        <v>Vigencias Anteriores</v>
      </c>
      <c r="U230" s="160">
        <f>+ENERO!U230</f>
        <v>0</v>
      </c>
      <c r="V230" s="143">
        <f>NOVIEMBRE!V230+DICIEMBRE!AL230</f>
        <v>0</v>
      </c>
      <c r="W230" s="143">
        <f>NOVIEMBRE!W230+DICIEMBRE!AM230</f>
        <v>0</v>
      </c>
      <c r="X230" s="149">
        <f>SUM(U230:W230)</f>
        <v>0</v>
      </c>
      <c r="Y230" s="147">
        <f>NOVIEMBRE!AA230</f>
        <v>0</v>
      </c>
      <c r="Z230" s="475">
        <v>0</v>
      </c>
      <c r="AA230" s="149">
        <f>SUM(Y230:Z230)</f>
        <v>0</v>
      </c>
      <c r="AB230" s="147">
        <f>NOVIEMBRE!AD230</f>
        <v>0</v>
      </c>
      <c r="AC230" s="475">
        <v>0</v>
      </c>
      <c r="AD230" s="149">
        <f>SUM(AB230:AC230)</f>
        <v>0</v>
      </c>
      <c r="AE230" s="147">
        <f>NOVIEMBRE!AG230</f>
        <v>0</v>
      </c>
      <c r="AF230" s="475">
        <v>0</v>
      </c>
      <c r="AG230" s="149">
        <f>SUM(AE230:AF230)</f>
        <v>0</v>
      </c>
      <c r="AH230" s="147">
        <f>X230-AA230</f>
        <v>0</v>
      </c>
      <c r="AI230" s="143">
        <f>X230-AD230</f>
        <v>0</v>
      </c>
      <c r="AJ230" s="148">
        <f>X230-AG230</f>
        <v>0</v>
      </c>
      <c r="AK230" s="10"/>
      <c r="AL230" s="650">
        <v>0</v>
      </c>
      <c r="AM230" s="651">
        <v>0</v>
      </c>
      <c r="AN230" s="10"/>
      <c r="BQ230" s="562"/>
    </row>
    <row r="231" spans="1:69" s="467" customFormat="1" ht="15.75" x14ac:dyDescent="0.2">
      <c r="A231" s="623"/>
      <c r="B231" s="554"/>
      <c r="N231" s="10"/>
      <c r="P231" s="10"/>
      <c r="Q231" s="10"/>
      <c r="R231" s="10"/>
      <c r="S231" s="627" t="str">
        <f>+IF(NOVIEMBRE!S231=0,"",NOVIEMBRE!S231)</f>
        <v/>
      </c>
      <c r="T231" s="628" t="str">
        <f>+IF(NOVIEMBRE!T231=0,"",NOVIEMBRE!T231)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c r="BQ231" s="562"/>
    </row>
    <row r="232" spans="1:69" s="467" customFormat="1" ht="19.5" x14ac:dyDescent="0.2">
      <c r="A232" s="623"/>
      <c r="B232" s="554"/>
      <c r="N232" s="10"/>
      <c r="P232" s="10"/>
      <c r="Q232" s="10"/>
      <c r="R232" s="10"/>
      <c r="S232" s="654" t="str">
        <f>+IF(NOVIEMBRE!S232=0,"",NOVIEMBRE!S232)</f>
        <v>D</v>
      </c>
      <c r="T232" s="655" t="str">
        <f>+IF(NOVIEMBRE!T232=0,"",NOVIEMBRE!T232)</f>
        <v>INVERSION</v>
      </c>
      <c r="U232" s="589">
        <f t="shared" ref="U232:AJ232" si="186">U234</f>
        <v>121563100</v>
      </c>
      <c r="V232" s="590">
        <f t="shared" si="186"/>
        <v>-1563100</v>
      </c>
      <c r="W232" s="590">
        <f t="shared" si="186"/>
        <v>135410140</v>
      </c>
      <c r="X232" s="591">
        <f t="shared" si="186"/>
        <v>255410140</v>
      </c>
      <c r="Y232" s="464">
        <f t="shared" si="186"/>
        <v>202323570</v>
      </c>
      <c r="Z232" s="590">
        <f t="shared" si="186"/>
        <v>26346638</v>
      </c>
      <c r="AA232" s="591">
        <f t="shared" si="186"/>
        <v>228670208</v>
      </c>
      <c r="AB232" s="464">
        <f t="shared" si="186"/>
        <v>202322341</v>
      </c>
      <c r="AC232" s="590">
        <f t="shared" si="186"/>
        <v>26347867</v>
      </c>
      <c r="AD232" s="591">
        <f t="shared" si="186"/>
        <v>228670208</v>
      </c>
      <c r="AE232" s="464">
        <f t="shared" si="186"/>
        <v>180323858</v>
      </c>
      <c r="AF232" s="590">
        <f t="shared" si="186"/>
        <v>34923883</v>
      </c>
      <c r="AG232" s="591">
        <f t="shared" si="186"/>
        <v>215247741</v>
      </c>
      <c r="AH232" s="464">
        <f t="shared" si="186"/>
        <v>26739932</v>
      </c>
      <c r="AI232" s="590">
        <f t="shared" si="186"/>
        <v>26739932</v>
      </c>
      <c r="AJ232" s="465">
        <f t="shared" si="186"/>
        <v>40162399</v>
      </c>
      <c r="AK232" s="648"/>
      <c r="AL232" s="464">
        <f>AL234</f>
        <v>0</v>
      </c>
      <c r="AM232" s="465">
        <f>AM234</f>
        <v>0</v>
      </c>
      <c r="AN232" s="10"/>
      <c r="BQ232" s="562"/>
    </row>
    <row r="233" spans="1:69" s="467" customFormat="1" ht="15.75" x14ac:dyDescent="0.2">
      <c r="A233" s="623"/>
      <c r="B233" s="554"/>
      <c r="N233" s="10"/>
      <c r="P233" s="10"/>
      <c r="Q233" s="10"/>
      <c r="R233" s="10"/>
      <c r="S233" s="448" t="str">
        <f>+IF(NOVIEMBRE!S233=0,"",NOVIEMBRE!S233)</f>
        <v/>
      </c>
      <c r="T233" s="649" t="str">
        <f>+IF(NOVIEMBRE!T233=0,"",NOVIEMBRE!T233)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c r="BQ233" s="562"/>
    </row>
    <row r="234" spans="1:69" s="467" customFormat="1" ht="15" x14ac:dyDescent="0.2">
      <c r="A234" s="623"/>
      <c r="B234" s="554"/>
      <c r="N234" s="10"/>
      <c r="P234" s="10"/>
      <c r="Q234" s="10"/>
      <c r="R234" s="10"/>
      <c r="S234" s="34">
        <f>+IF(NOVIEMBRE!S234=0,"",NOVIEMBRE!S234)</f>
        <v>8000000</v>
      </c>
      <c r="T234" s="158" t="str">
        <f>+IF(NOVIEMBRE!T234=0,"",NOVIEMBRE!T234)</f>
        <v>Programas de Inversión</v>
      </c>
      <c r="U234" s="157">
        <f t="shared" ref="U234:AJ234" si="187">U235+U243</f>
        <v>121563100</v>
      </c>
      <c r="V234" s="144">
        <f t="shared" si="187"/>
        <v>-1563100</v>
      </c>
      <c r="W234" s="144">
        <f t="shared" si="187"/>
        <v>135410140</v>
      </c>
      <c r="X234" s="152">
        <f t="shared" si="187"/>
        <v>255410140</v>
      </c>
      <c r="Y234" s="151">
        <f t="shared" si="187"/>
        <v>202323570</v>
      </c>
      <c r="Z234" s="144">
        <f t="shared" si="187"/>
        <v>26346638</v>
      </c>
      <c r="AA234" s="152">
        <f t="shared" si="187"/>
        <v>228670208</v>
      </c>
      <c r="AB234" s="151">
        <f t="shared" si="187"/>
        <v>202322341</v>
      </c>
      <c r="AC234" s="144">
        <f t="shared" si="187"/>
        <v>26347867</v>
      </c>
      <c r="AD234" s="152">
        <f t="shared" si="187"/>
        <v>228670208</v>
      </c>
      <c r="AE234" s="151">
        <f t="shared" si="187"/>
        <v>180323858</v>
      </c>
      <c r="AF234" s="144">
        <f t="shared" si="187"/>
        <v>34923883</v>
      </c>
      <c r="AG234" s="152">
        <f t="shared" si="187"/>
        <v>215247741</v>
      </c>
      <c r="AH234" s="151">
        <f t="shared" si="187"/>
        <v>26739932</v>
      </c>
      <c r="AI234" s="144">
        <f t="shared" si="187"/>
        <v>26739932</v>
      </c>
      <c r="AJ234" s="153">
        <f t="shared" si="187"/>
        <v>40162399</v>
      </c>
      <c r="AK234" s="10"/>
      <c r="AL234" s="151">
        <f>AL235+AL243</f>
        <v>0</v>
      </c>
      <c r="AM234" s="153">
        <f>AM235+AM243</f>
        <v>0</v>
      </c>
      <c r="AN234" s="10"/>
      <c r="BQ234" s="562"/>
    </row>
    <row r="235" spans="1:69" s="467" customFormat="1" x14ac:dyDescent="0.2">
      <c r="A235" s="623"/>
      <c r="B235" s="554"/>
      <c r="N235" s="10"/>
      <c r="P235" s="10"/>
      <c r="Q235" s="10"/>
      <c r="R235" s="10"/>
      <c r="S235" s="155">
        <f>+IF(NOVIEMBRE!S235=0,"",NOVIEMBRE!S235)</f>
        <v>8001000</v>
      </c>
      <c r="T235" s="159" t="str">
        <f>+IF(NOVIEMBRE!T235=0,"",NOVIEMBRE!T235)</f>
        <v>Formación Bruta del Capital</v>
      </c>
      <c r="U235" s="29">
        <f t="shared" ref="U235:AJ235" si="188">SUM(U236:U241)</f>
        <v>0</v>
      </c>
      <c r="V235" s="17">
        <f t="shared" si="188"/>
        <v>0</v>
      </c>
      <c r="W235" s="17">
        <f t="shared" si="188"/>
        <v>85410140</v>
      </c>
      <c r="X235" s="20">
        <f t="shared" si="188"/>
        <v>85410140</v>
      </c>
      <c r="Y235" s="21">
        <f t="shared" si="188"/>
        <v>85410140</v>
      </c>
      <c r="Z235" s="169">
        <f t="shared" si="188"/>
        <v>-1229</v>
      </c>
      <c r="AA235" s="20">
        <f t="shared" si="188"/>
        <v>85408911</v>
      </c>
      <c r="AB235" s="21">
        <f t="shared" si="188"/>
        <v>85408911</v>
      </c>
      <c r="AC235" s="169">
        <f t="shared" si="188"/>
        <v>0</v>
      </c>
      <c r="AD235" s="20">
        <f t="shared" si="188"/>
        <v>85408911</v>
      </c>
      <c r="AE235" s="21">
        <f t="shared" si="188"/>
        <v>85408911</v>
      </c>
      <c r="AF235" s="169">
        <f t="shared" si="188"/>
        <v>0</v>
      </c>
      <c r="AG235" s="20">
        <f t="shared" si="188"/>
        <v>85408911</v>
      </c>
      <c r="AH235" s="21">
        <f t="shared" si="188"/>
        <v>1229</v>
      </c>
      <c r="AI235" s="17">
        <f t="shared" si="188"/>
        <v>1229</v>
      </c>
      <c r="AJ235" s="18">
        <f t="shared" si="188"/>
        <v>1229</v>
      </c>
      <c r="AK235" s="10"/>
      <c r="AL235" s="31">
        <f>SUM(AL236:AL241)</f>
        <v>0</v>
      </c>
      <c r="AM235" s="28">
        <f>SUM(AM236:AM241)</f>
        <v>0</v>
      </c>
      <c r="AN235" s="10"/>
      <c r="BQ235" s="562"/>
    </row>
    <row r="236" spans="1:69" s="467" customFormat="1" x14ac:dyDescent="0.2">
      <c r="A236" s="623"/>
      <c r="B236" s="554"/>
      <c r="N236" s="10"/>
      <c r="P236" s="10"/>
      <c r="Q236" s="10"/>
      <c r="R236" s="10"/>
      <c r="S236" s="156" t="str">
        <f>+IF(NOVIEMBRE!S236=0,"",NOVIEMBRE!S236)</f>
        <v>8001000-1</v>
      </c>
      <c r="T236" s="55" t="str">
        <f>+IF(NOVIEMBRE!T236=0,"",NOVIEMBRE!T236)</f>
        <v>Subprogr.Construc. Remodelac. Adecuación y Apliac.1</v>
      </c>
      <c r="U236" s="29">
        <f>+ENERO!U236</f>
        <v>0</v>
      </c>
      <c r="V236" s="17">
        <f>NOVIEMBRE!V236+DICIEMBRE!AL236</f>
        <v>0</v>
      </c>
      <c r="W236" s="17">
        <f>NOVIEMBRE!W236+DICIEMBRE!AM236</f>
        <v>85410140</v>
      </c>
      <c r="X236" s="20">
        <f t="shared" ref="X236:X241" si="189">SUM(U236:W236)</f>
        <v>85410140</v>
      </c>
      <c r="Y236" s="21">
        <f>NOVIEMBRE!AA236</f>
        <v>85410140</v>
      </c>
      <c r="Z236" s="457">
        <v>-1229</v>
      </c>
      <c r="AA236" s="20">
        <f t="shared" ref="AA236:AA241" si="190">SUM(Y236:Z236)</f>
        <v>85408911</v>
      </c>
      <c r="AB236" s="21">
        <f>NOVIEMBRE!AD236</f>
        <v>85408911</v>
      </c>
      <c r="AC236" s="457">
        <v>0</v>
      </c>
      <c r="AD236" s="20">
        <f t="shared" ref="AD236:AD241" si="191">SUM(AB236:AC236)</f>
        <v>85408911</v>
      </c>
      <c r="AE236" s="21">
        <f>NOVIEMBRE!AG236</f>
        <v>85408911</v>
      </c>
      <c r="AF236" s="457">
        <v>0</v>
      </c>
      <c r="AG236" s="20">
        <f t="shared" ref="AG236:AG241" si="192">SUM(AE236:AF236)</f>
        <v>85408911</v>
      </c>
      <c r="AH236" s="21">
        <f t="shared" ref="AH236:AH241" si="193">X236-AA236</f>
        <v>1229</v>
      </c>
      <c r="AI236" s="17">
        <f t="shared" ref="AI236:AI241" si="194">X236-AD236</f>
        <v>1229</v>
      </c>
      <c r="AJ236" s="18">
        <f t="shared" ref="AJ236:AJ241" si="195">X236-AG236</f>
        <v>1229</v>
      </c>
      <c r="AK236" s="10"/>
      <c r="AL236" s="455">
        <v>0</v>
      </c>
      <c r="AM236" s="458">
        <v>0</v>
      </c>
      <c r="AN236" s="10"/>
      <c r="BQ236" s="562"/>
    </row>
    <row r="237" spans="1:69" s="467" customFormat="1" x14ac:dyDescent="0.2">
      <c r="A237" s="623"/>
      <c r="B237" s="554"/>
      <c r="N237" s="10"/>
      <c r="P237" s="10"/>
      <c r="Q237" s="10"/>
      <c r="R237" s="10"/>
      <c r="S237" s="156" t="str">
        <f>+IF(NOVIEMBRE!S237=0,"",NOVIEMBRE!S237)</f>
        <v>8001000-2</v>
      </c>
      <c r="T237" s="55" t="str">
        <f>+IF(NOVIEMBRE!T237=0,"",NOVIEMBRE!T237)</f>
        <v>Subprogr.Construc. Remodelac. Adecuación y Apliac.2</v>
      </c>
      <c r="U237" s="29">
        <f>+ENERO!U237</f>
        <v>0</v>
      </c>
      <c r="V237" s="17">
        <f>NOVIEMBRE!V237+DICIEMBRE!AL237</f>
        <v>0</v>
      </c>
      <c r="W237" s="17">
        <f>NOVIEMBRE!W237+DICIEMBRE!AM237</f>
        <v>0</v>
      </c>
      <c r="X237" s="20">
        <f t="shared" si="189"/>
        <v>0</v>
      </c>
      <c r="Y237" s="21">
        <f>NOVIEMBRE!AA237</f>
        <v>0</v>
      </c>
      <c r="Z237" s="457">
        <v>0</v>
      </c>
      <c r="AA237" s="20">
        <f t="shared" si="190"/>
        <v>0</v>
      </c>
      <c r="AB237" s="21">
        <f>NOVIEMBRE!AD237</f>
        <v>0</v>
      </c>
      <c r="AC237" s="457">
        <v>0</v>
      </c>
      <c r="AD237" s="20">
        <f t="shared" si="191"/>
        <v>0</v>
      </c>
      <c r="AE237" s="21">
        <f>NOVIEMBRE!AG237</f>
        <v>0</v>
      </c>
      <c r="AF237" s="457">
        <v>0</v>
      </c>
      <c r="AG237" s="20">
        <f t="shared" si="192"/>
        <v>0</v>
      </c>
      <c r="AH237" s="21">
        <f t="shared" si="193"/>
        <v>0</v>
      </c>
      <c r="AI237" s="17">
        <f t="shared" si="194"/>
        <v>0</v>
      </c>
      <c r="AJ237" s="18">
        <f t="shared" si="195"/>
        <v>0</v>
      </c>
      <c r="AK237" s="10"/>
      <c r="AL237" s="455">
        <v>0</v>
      </c>
      <c r="AM237" s="458">
        <v>0</v>
      </c>
      <c r="AN237" s="10"/>
      <c r="BQ237" s="562"/>
    </row>
    <row r="238" spans="1:69" s="467" customFormat="1" x14ac:dyDescent="0.2">
      <c r="A238" s="623"/>
      <c r="B238" s="554"/>
      <c r="N238" s="10"/>
      <c r="P238" s="10"/>
      <c r="Q238" s="10"/>
      <c r="R238" s="10"/>
      <c r="S238" s="156" t="str">
        <f>+IF(NOVIEMBRE!S238=0,"",NOVIEMBRE!S238)</f>
        <v>8001000-3</v>
      </c>
      <c r="T238" s="55" t="str">
        <f>+IF(NOVIEMBRE!T238=0,"",NOVIEMBRE!T238)</f>
        <v>Subprogr.Construc. Remodelac. Adecuación y Apliac.3</v>
      </c>
      <c r="U238" s="29">
        <f>+ENERO!U238</f>
        <v>0</v>
      </c>
      <c r="V238" s="17">
        <f>NOVIEMBRE!V238+DICIEMBRE!AL238</f>
        <v>0</v>
      </c>
      <c r="W238" s="17">
        <f>NOVIEMBRE!W238+DICIEMBRE!AM238</f>
        <v>0</v>
      </c>
      <c r="X238" s="20">
        <f t="shared" si="189"/>
        <v>0</v>
      </c>
      <c r="Y238" s="21">
        <f>NOVIEMBRE!AA238</f>
        <v>0</v>
      </c>
      <c r="Z238" s="457">
        <v>0</v>
      </c>
      <c r="AA238" s="20">
        <f t="shared" si="190"/>
        <v>0</v>
      </c>
      <c r="AB238" s="21">
        <f>NOVIEMBRE!AD238</f>
        <v>0</v>
      </c>
      <c r="AC238" s="457">
        <v>0</v>
      </c>
      <c r="AD238" s="20">
        <f t="shared" si="191"/>
        <v>0</v>
      </c>
      <c r="AE238" s="21">
        <f>NOVIEMBRE!AG238</f>
        <v>0</v>
      </c>
      <c r="AF238" s="457">
        <v>0</v>
      </c>
      <c r="AG238" s="20">
        <f t="shared" si="192"/>
        <v>0</v>
      </c>
      <c r="AH238" s="21">
        <f t="shared" si="193"/>
        <v>0</v>
      </c>
      <c r="AI238" s="17">
        <f t="shared" si="194"/>
        <v>0</v>
      </c>
      <c r="AJ238" s="18">
        <f t="shared" si="195"/>
        <v>0</v>
      </c>
      <c r="AK238" s="10"/>
      <c r="AL238" s="455">
        <v>0</v>
      </c>
      <c r="AM238" s="458">
        <v>0</v>
      </c>
      <c r="AN238" s="10"/>
      <c r="BQ238" s="562"/>
    </row>
    <row r="239" spans="1:69" s="467" customFormat="1" x14ac:dyDescent="0.2">
      <c r="A239" s="623"/>
      <c r="B239" s="554"/>
      <c r="N239" s="10"/>
      <c r="P239" s="10"/>
      <c r="Q239" s="10"/>
      <c r="S239" s="156" t="str">
        <f>+IF(NOVIEMBRE!S239=0,"",NOVIEMBRE!S239)</f>
        <v>8001000-4</v>
      </c>
      <c r="T239" s="55" t="str">
        <f>+IF(NOVIEMBRE!T239=0,"",NOVIEMBRE!T239)</f>
        <v>Subprogr.Construc. Remodelac. Adecuación y Apliac.4</v>
      </c>
      <c r="U239" s="29">
        <f>+ENERO!U239</f>
        <v>0</v>
      </c>
      <c r="V239" s="17">
        <f>NOVIEMBRE!V239+DICIEMBRE!AL239</f>
        <v>0</v>
      </c>
      <c r="W239" s="17">
        <f>NOVIEMBRE!W239+DICIEMBRE!AM239</f>
        <v>0</v>
      </c>
      <c r="X239" s="20">
        <f t="shared" si="189"/>
        <v>0</v>
      </c>
      <c r="Y239" s="21">
        <f>NOVIEMBRE!AA239</f>
        <v>0</v>
      </c>
      <c r="Z239" s="457">
        <v>0</v>
      </c>
      <c r="AA239" s="20">
        <f t="shared" si="190"/>
        <v>0</v>
      </c>
      <c r="AB239" s="21">
        <f>NOVIEMBRE!AD239</f>
        <v>0</v>
      </c>
      <c r="AC239" s="457">
        <v>0</v>
      </c>
      <c r="AD239" s="20">
        <f t="shared" si="191"/>
        <v>0</v>
      </c>
      <c r="AE239" s="21">
        <f>NOVIEMBRE!AG239</f>
        <v>0</v>
      </c>
      <c r="AF239" s="457">
        <v>0</v>
      </c>
      <c r="AG239" s="20">
        <f t="shared" si="192"/>
        <v>0</v>
      </c>
      <c r="AH239" s="21">
        <f t="shared" si="193"/>
        <v>0</v>
      </c>
      <c r="AI239" s="17">
        <f t="shared" si="194"/>
        <v>0</v>
      </c>
      <c r="AJ239" s="18">
        <f t="shared" si="195"/>
        <v>0</v>
      </c>
      <c r="AK239" s="10"/>
      <c r="AL239" s="455">
        <v>0</v>
      </c>
      <c r="AM239" s="458">
        <v>0</v>
      </c>
      <c r="AN239" s="10"/>
      <c r="BQ239" s="562"/>
    </row>
    <row r="240" spans="1:69" s="467" customFormat="1" x14ac:dyDescent="0.2">
      <c r="A240" s="623"/>
      <c r="B240" s="554"/>
      <c r="N240" s="10"/>
      <c r="P240" s="10"/>
      <c r="Q240" s="10"/>
      <c r="S240" s="156" t="str">
        <f>+IF(NOVIEMBRE!S240=0,"",NOVIEMBRE!S240)</f>
        <v>8001000-7</v>
      </c>
      <c r="T240" s="55" t="str">
        <f>+IF(NOVIEMBRE!T240=0,"",NOVIEMBRE!T240)</f>
        <v>Subprogr.Construc. Remodelac. Adecuación y Apliac.5</v>
      </c>
      <c r="U240" s="29">
        <f>+ENERO!U240</f>
        <v>0</v>
      </c>
      <c r="V240" s="17">
        <f>NOVIEMBRE!V240+DICIEMBRE!AL240</f>
        <v>0</v>
      </c>
      <c r="W240" s="17">
        <f>NOVIEMBRE!W240+DICIEMBRE!AM240</f>
        <v>0</v>
      </c>
      <c r="X240" s="20">
        <f t="shared" si="189"/>
        <v>0</v>
      </c>
      <c r="Y240" s="21">
        <f>NOVIEMBRE!AA240</f>
        <v>0</v>
      </c>
      <c r="Z240" s="457">
        <v>0</v>
      </c>
      <c r="AA240" s="20">
        <f t="shared" si="190"/>
        <v>0</v>
      </c>
      <c r="AB240" s="21">
        <f>NOVIEMBRE!AD240</f>
        <v>0</v>
      </c>
      <c r="AC240" s="457">
        <v>0</v>
      </c>
      <c r="AD240" s="20">
        <f t="shared" si="191"/>
        <v>0</v>
      </c>
      <c r="AE240" s="21">
        <f>NOVIEMBRE!AG240</f>
        <v>0</v>
      </c>
      <c r="AF240" s="457">
        <v>0</v>
      </c>
      <c r="AG240" s="20">
        <f t="shared" si="192"/>
        <v>0</v>
      </c>
      <c r="AH240" s="21">
        <f t="shared" si="193"/>
        <v>0</v>
      </c>
      <c r="AI240" s="17">
        <f t="shared" si="194"/>
        <v>0</v>
      </c>
      <c r="AJ240" s="18">
        <f t="shared" si="195"/>
        <v>0</v>
      </c>
      <c r="AK240" s="10"/>
      <c r="AL240" s="455">
        <v>0</v>
      </c>
      <c r="AM240" s="458">
        <v>0</v>
      </c>
      <c r="AN240" s="10"/>
      <c r="BQ240" s="562"/>
    </row>
    <row r="241" spans="1:70" s="467" customFormat="1" ht="14.25" x14ac:dyDescent="0.2">
      <c r="A241" s="623"/>
      <c r="B241" s="554"/>
      <c r="N241" s="10"/>
      <c r="P241" s="10"/>
      <c r="Q241" s="10"/>
      <c r="S241" s="656">
        <f>+IF(NOVIEMBRE!S241=0,"",NOVIEMBRE!S241)</f>
        <v>8001999</v>
      </c>
      <c r="T241" s="55" t="str">
        <f>+IF(NOVIEMBRE!T241=0,"",NOVIEMBRE!T241)</f>
        <v>Vigencias Anteriores</v>
      </c>
      <c r="U241" s="29">
        <f>+ENERO!U241</f>
        <v>0</v>
      </c>
      <c r="V241" s="17">
        <f>NOVIEMBRE!V241+DICIEMBRE!AL241</f>
        <v>0</v>
      </c>
      <c r="W241" s="17">
        <f>NOVIEMBRE!W241+DICIEMBRE!AM241</f>
        <v>0</v>
      </c>
      <c r="X241" s="20">
        <f t="shared" si="189"/>
        <v>0</v>
      </c>
      <c r="Y241" s="21">
        <f>NOVIEMBRE!AA241</f>
        <v>0</v>
      </c>
      <c r="Z241" s="457">
        <v>0</v>
      </c>
      <c r="AA241" s="20">
        <f t="shared" si="190"/>
        <v>0</v>
      </c>
      <c r="AB241" s="21">
        <f>NOVIEMBRE!AD241</f>
        <v>0</v>
      </c>
      <c r="AC241" s="457">
        <v>0</v>
      </c>
      <c r="AD241" s="20">
        <f t="shared" si="191"/>
        <v>0</v>
      </c>
      <c r="AE241" s="21">
        <f>NOVIEMBRE!AG241</f>
        <v>0</v>
      </c>
      <c r="AF241" s="457">
        <v>0</v>
      </c>
      <c r="AG241" s="20">
        <f t="shared" si="192"/>
        <v>0</v>
      </c>
      <c r="AH241" s="21">
        <f t="shared" si="193"/>
        <v>0</v>
      </c>
      <c r="AI241" s="17">
        <f t="shared" si="194"/>
        <v>0</v>
      </c>
      <c r="AJ241" s="18">
        <f t="shared" si="195"/>
        <v>0</v>
      </c>
      <c r="AK241" s="10"/>
      <c r="AL241" s="455">
        <v>0</v>
      </c>
      <c r="AM241" s="458">
        <v>0</v>
      </c>
      <c r="AN241" s="10"/>
      <c r="BQ241" s="562"/>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+IF(NOVIEMBRE!S242=0,"",NOVIEMBRE!S242)</f>
        <v/>
      </c>
      <c r="T242" s="649" t="str">
        <f>+IF(NOVIEMBRE!T242=0,"",NOVIEMBRE!T242)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562"/>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+IF(NOVIEMBRE!S243=0,"",NOVIEMBRE!S243)</f>
        <v>8002001</v>
      </c>
      <c r="T243" s="159" t="str">
        <f>+IF(NOVIEMBRE!T243=0,"",NOVIEMBRE!T243)</f>
        <v>Gastos Operativos de Inversion   (Programas Especiales)</v>
      </c>
      <c r="U243" s="29">
        <f t="shared" ref="U243:AJ243" si="196">SUM(U244:U256)</f>
        <v>121563100</v>
      </c>
      <c r="V243" s="17">
        <f t="shared" si="196"/>
        <v>-1563100</v>
      </c>
      <c r="W243" s="17">
        <f t="shared" si="196"/>
        <v>50000000</v>
      </c>
      <c r="X243" s="20">
        <f t="shared" si="196"/>
        <v>170000000</v>
      </c>
      <c r="Y243" s="21">
        <f t="shared" si="196"/>
        <v>116913430</v>
      </c>
      <c r="Z243" s="169">
        <f t="shared" si="196"/>
        <v>26347867</v>
      </c>
      <c r="AA243" s="20">
        <f t="shared" si="196"/>
        <v>143261297</v>
      </c>
      <c r="AB243" s="21">
        <f t="shared" si="196"/>
        <v>116913430</v>
      </c>
      <c r="AC243" s="169">
        <f t="shared" si="196"/>
        <v>26347867</v>
      </c>
      <c r="AD243" s="20">
        <f t="shared" si="196"/>
        <v>143261297</v>
      </c>
      <c r="AE243" s="21">
        <f t="shared" si="196"/>
        <v>94914947</v>
      </c>
      <c r="AF243" s="169">
        <f t="shared" si="196"/>
        <v>34923883</v>
      </c>
      <c r="AG243" s="20">
        <f t="shared" si="196"/>
        <v>129838830</v>
      </c>
      <c r="AH243" s="21">
        <f t="shared" si="196"/>
        <v>26738703</v>
      </c>
      <c r="AI243" s="17">
        <f t="shared" si="196"/>
        <v>26738703</v>
      </c>
      <c r="AJ243" s="18">
        <f t="shared" si="196"/>
        <v>40161170</v>
      </c>
      <c r="AK243" s="10"/>
      <c r="AL243" s="21">
        <f>SUM(AL244:AL256)</f>
        <v>0</v>
      </c>
      <c r="AM243" s="18">
        <f>SUM(AM244:AM256)</f>
        <v>0</v>
      </c>
      <c r="BM243" s="467"/>
      <c r="BN243" s="467"/>
      <c r="BO243" s="467"/>
      <c r="BP243" s="467"/>
      <c r="BQ243" s="562"/>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+IF(NOVIEMBRE!S244=0,"",NOVIEMBRE!S244)</f>
        <v>8002100-1</v>
      </c>
      <c r="T244" s="55" t="str">
        <f>+IF(NOVIEMBRE!T244=0,"",NOVIEMBRE!T244)</f>
        <v>Salud Pública</v>
      </c>
      <c r="U244" s="29">
        <f>+ENERO!U244</f>
        <v>120000000</v>
      </c>
      <c r="V244" s="17">
        <f>NOVIEMBRE!V244+DICIEMBRE!AL244</f>
        <v>0</v>
      </c>
      <c r="W244" s="17">
        <f>NOVIEMBRE!W244+DICIEMBRE!AM244</f>
        <v>50000000</v>
      </c>
      <c r="X244" s="20">
        <f t="shared" ref="X244:X256" si="197">SUM(U244:W244)</f>
        <v>170000000</v>
      </c>
      <c r="Y244" s="21">
        <f>NOVIEMBRE!AA244</f>
        <v>116913430</v>
      </c>
      <c r="Z244" s="457">
        <v>26347867</v>
      </c>
      <c r="AA244" s="20">
        <f t="shared" ref="AA244:AA256" si="198">SUM(Y244:Z244)</f>
        <v>143261297</v>
      </c>
      <c r="AB244" s="21">
        <f>NOVIEMBRE!AD244</f>
        <v>116913430</v>
      </c>
      <c r="AC244" s="457">
        <v>26347867</v>
      </c>
      <c r="AD244" s="20">
        <f t="shared" ref="AD244:AD256" si="199">SUM(AB244:AC244)</f>
        <v>143261297</v>
      </c>
      <c r="AE244" s="21">
        <f>NOVIEMBRE!AG244</f>
        <v>94914947</v>
      </c>
      <c r="AF244" s="457">
        <v>34923883</v>
      </c>
      <c r="AG244" s="20">
        <f t="shared" ref="AG244:AG256" si="200">SUM(AE244:AF244)</f>
        <v>129838830</v>
      </c>
      <c r="AH244" s="21">
        <f t="shared" ref="AH244:AH256" si="201">X244-AA244</f>
        <v>26738703</v>
      </c>
      <c r="AI244" s="17">
        <f t="shared" ref="AI244:AI256" si="202">X244-AD244</f>
        <v>26738703</v>
      </c>
      <c r="AJ244" s="18">
        <f t="shared" ref="AJ244:AJ256" si="203">X244-AG244</f>
        <v>40161170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+IF(NOVIEMBRE!S245=0,"",NOVIEMBRE!S245)</f>
        <v>8002100-2</v>
      </c>
      <c r="T245" s="55" t="str">
        <f>+IF(NOVIEMBRE!T245=0,"",NOVIEMBRE!T245)</f>
        <v>Programas Especial 01</v>
      </c>
      <c r="U245" s="29">
        <f>+ENERO!U245</f>
        <v>0</v>
      </c>
      <c r="V245" s="17">
        <f>NOVIEMBRE!V245+DICIEMBRE!AL245</f>
        <v>0</v>
      </c>
      <c r="W245" s="17">
        <f>NOVIEMBRE!W245+DICIEMBRE!AM245</f>
        <v>0</v>
      </c>
      <c r="X245" s="20">
        <f t="shared" si="197"/>
        <v>0</v>
      </c>
      <c r="Y245" s="21">
        <f>NOVIEMBRE!AA245</f>
        <v>0</v>
      </c>
      <c r="Z245" s="457">
        <v>0</v>
      </c>
      <c r="AA245" s="20">
        <f t="shared" si="198"/>
        <v>0</v>
      </c>
      <c r="AB245" s="21">
        <f>NOVIEMBRE!AD245</f>
        <v>0</v>
      </c>
      <c r="AC245" s="457">
        <v>0</v>
      </c>
      <c r="AD245" s="20">
        <f t="shared" si="199"/>
        <v>0</v>
      </c>
      <c r="AE245" s="21">
        <f>NOVIEMBRE!AG245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+IF(NOVIEMBRE!S246=0,"",NOVIEMBRE!S246)</f>
        <v>8002100-3</v>
      </c>
      <c r="T246" s="55" t="str">
        <f>+IF(NOVIEMBRE!T246=0,"",NOVIEMBRE!T246)</f>
        <v>Programas Especial 02</v>
      </c>
      <c r="U246" s="29">
        <f>+ENERO!U246</f>
        <v>0</v>
      </c>
      <c r="V246" s="17">
        <f>NOVIEMBRE!V246+DICIEMBRE!AL246</f>
        <v>0</v>
      </c>
      <c r="W246" s="17">
        <f>NOVIEMBRE!W246+DICIEMBRE!AM246</f>
        <v>0</v>
      </c>
      <c r="X246" s="20">
        <f t="shared" si="197"/>
        <v>0</v>
      </c>
      <c r="Y246" s="21">
        <f>NOVIEMBRE!AA246</f>
        <v>0</v>
      </c>
      <c r="Z246" s="457">
        <v>0</v>
      </c>
      <c r="AA246" s="20">
        <f t="shared" si="198"/>
        <v>0</v>
      </c>
      <c r="AB246" s="21">
        <f>NOVIEMBRE!AD246</f>
        <v>0</v>
      </c>
      <c r="AC246" s="457">
        <v>0</v>
      </c>
      <c r="AD246" s="20">
        <f t="shared" si="199"/>
        <v>0</v>
      </c>
      <c r="AE246" s="21">
        <f>NOVIEMBRE!AG246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+IF(NOVIEMBRE!S247=0,"",NOVIEMBRE!S247)</f>
        <v>8002100-4</v>
      </c>
      <c r="T247" s="55" t="str">
        <f>+IF(NOVIEMBRE!T247=0,"",NOVIEMBRE!T247)</f>
        <v>Programas Especial 03</v>
      </c>
      <c r="U247" s="29">
        <f>+ENERO!U247</f>
        <v>0</v>
      </c>
      <c r="V247" s="17">
        <f>NOVIEMBRE!V247+DICIEMBRE!AL247</f>
        <v>0</v>
      </c>
      <c r="W247" s="17">
        <f>NOVIEMBRE!W247+DICIEMBRE!AM247</f>
        <v>0</v>
      </c>
      <c r="X247" s="20">
        <f t="shared" si="197"/>
        <v>0</v>
      </c>
      <c r="Y247" s="21">
        <f>NOVIEMBRE!AA247</f>
        <v>0</v>
      </c>
      <c r="Z247" s="457">
        <v>0</v>
      </c>
      <c r="AA247" s="20">
        <f t="shared" si="198"/>
        <v>0</v>
      </c>
      <c r="AB247" s="21">
        <f>NOVIEMBRE!AD247</f>
        <v>0</v>
      </c>
      <c r="AC247" s="457">
        <v>0</v>
      </c>
      <c r="AD247" s="20">
        <f t="shared" si="199"/>
        <v>0</v>
      </c>
      <c r="AE247" s="21">
        <f>NOVIEMBRE!AG247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+IF(NOVIEMBRE!S248=0,"",NOVIEMBRE!S248)</f>
        <v>8002100-5</v>
      </c>
      <c r="T248" s="55" t="str">
        <f>+IF(NOVIEMBRE!T248=0,"",NOVIEMBRE!T248)</f>
        <v>Programas Especial 04</v>
      </c>
      <c r="U248" s="29">
        <f>+ENERO!U248</f>
        <v>0</v>
      </c>
      <c r="V248" s="17">
        <f>NOVIEMBRE!V248+DICIEMBRE!AL248</f>
        <v>0</v>
      </c>
      <c r="W248" s="17">
        <f>NOVIEMBRE!W248+DICIEMBRE!AM248</f>
        <v>0</v>
      </c>
      <c r="X248" s="20">
        <f t="shared" si="197"/>
        <v>0</v>
      </c>
      <c r="Y248" s="21">
        <f>NOVIEMBRE!AA248</f>
        <v>0</v>
      </c>
      <c r="Z248" s="457">
        <v>0</v>
      </c>
      <c r="AA248" s="20">
        <f t="shared" si="198"/>
        <v>0</v>
      </c>
      <c r="AB248" s="21">
        <f>NOVIEMBRE!AD248</f>
        <v>0</v>
      </c>
      <c r="AC248" s="457">
        <v>0</v>
      </c>
      <c r="AD248" s="20">
        <f t="shared" si="199"/>
        <v>0</v>
      </c>
      <c r="AE248" s="21">
        <f>NOVIEMBRE!AG248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+IF(NOVIEMBRE!S249=0,"",NOVIEMBRE!S249)</f>
        <v>8002100-6</v>
      </c>
      <c r="T249" s="55" t="str">
        <f>+IF(NOVIEMBRE!T249=0,"",NOVIEMBRE!T249)</f>
        <v>Programas Especial 05</v>
      </c>
      <c r="U249" s="29">
        <f>+ENERO!U249</f>
        <v>0</v>
      </c>
      <c r="V249" s="17">
        <f>NOVIEMBRE!V249+DICIEMBRE!AL249</f>
        <v>0</v>
      </c>
      <c r="W249" s="17">
        <f>NOVIEMBRE!W249+DICIEMBRE!AM249</f>
        <v>0</v>
      </c>
      <c r="X249" s="20">
        <f t="shared" si="197"/>
        <v>0</v>
      </c>
      <c r="Y249" s="21">
        <f>NOVIEMBRE!AA249</f>
        <v>0</v>
      </c>
      <c r="Z249" s="457">
        <v>0</v>
      </c>
      <c r="AA249" s="20">
        <f t="shared" si="198"/>
        <v>0</v>
      </c>
      <c r="AB249" s="21">
        <f>NOVIEMBRE!AD249</f>
        <v>0</v>
      </c>
      <c r="AC249" s="457">
        <v>0</v>
      </c>
      <c r="AD249" s="20">
        <f t="shared" si="199"/>
        <v>0</v>
      </c>
      <c r="AE249" s="21">
        <f>NOVIEMBRE!AG249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+IF(NOVIEMBRE!S250=0,"",NOVIEMBRE!S250)</f>
        <v>8002100-7</v>
      </c>
      <c r="T250" s="55" t="str">
        <f>+IF(NOVIEMBRE!T250=0,"",NOVIEMBRE!T250)</f>
        <v>Programas Especial 06</v>
      </c>
      <c r="U250" s="29">
        <f>+ENERO!U250</f>
        <v>0</v>
      </c>
      <c r="V250" s="17">
        <f>NOVIEMBRE!V250+DICIEMBRE!AL250</f>
        <v>0</v>
      </c>
      <c r="W250" s="17">
        <f>NOVIEMBRE!W250+DICIEMBRE!AM250</f>
        <v>0</v>
      </c>
      <c r="X250" s="20">
        <f>SUM(U250:W250)</f>
        <v>0</v>
      </c>
      <c r="Y250" s="21">
        <f>NOVIEMBRE!AA250</f>
        <v>0</v>
      </c>
      <c r="Z250" s="457">
        <v>0</v>
      </c>
      <c r="AA250" s="20">
        <f>SUM(Y250:Z250)</f>
        <v>0</v>
      </c>
      <c r="AB250" s="21">
        <f>NOVIEMBRE!AD250</f>
        <v>0</v>
      </c>
      <c r="AC250" s="457">
        <v>0</v>
      </c>
      <c r="AD250" s="20">
        <f>SUM(AB250:AC250)</f>
        <v>0</v>
      </c>
      <c r="AE250" s="21">
        <f>NOVIEMBRE!AG250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+IF(NOVIEMBRE!S251=0,"",NOVIEMBRE!S251)</f>
        <v>8002100-8</v>
      </c>
      <c r="T251" s="55" t="str">
        <f>+IF(NOVIEMBRE!T251=0,"",NOVIEMBRE!T251)</f>
        <v>Programas Especial 07</v>
      </c>
      <c r="U251" s="29">
        <f>+ENERO!U251</f>
        <v>0</v>
      </c>
      <c r="V251" s="17">
        <f>NOVIEMBRE!V251+DICIEMBRE!AL251</f>
        <v>0</v>
      </c>
      <c r="W251" s="17">
        <f>NOVIEMBRE!W251+DICIEMBRE!AM251</f>
        <v>0</v>
      </c>
      <c r="X251" s="20">
        <f>SUM(U251:W251)</f>
        <v>0</v>
      </c>
      <c r="Y251" s="21">
        <f>NOVIEMBRE!AA251</f>
        <v>0</v>
      </c>
      <c r="Z251" s="457">
        <v>0</v>
      </c>
      <c r="AA251" s="20">
        <f>SUM(Y251:Z251)</f>
        <v>0</v>
      </c>
      <c r="AB251" s="21">
        <f>NOVIEMBRE!AD251</f>
        <v>0</v>
      </c>
      <c r="AC251" s="457">
        <v>0</v>
      </c>
      <c r="AD251" s="20">
        <f>SUM(AB251:AC251)</f>
        <v>0</v>
      </c>
      <c r="AE251" s="21">
        <f>NOVIEMBRE!AG251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+IF(NOVIEMBRE!S252=0,"",NOVIEMBRE!S252)</f>
        <v>8002100-9</v>
      </c>
      <c r="T252" s="55" t="str">
        <f>+IF(NOVIEMBRE!T252=0,"",NOVIEMBRE!T252)</f>
        <v>Programas Especial 08</v>
      </c>
      <c r="U252" s="29">
        <f>+ENERO!U252</f>
        <v>0</v>
      </c>
      <c r="V252" s="17">
        <f>NOVIEMBRE!V252+DICIEMBRE!AL252</f>
        <v>0</v>
      </c>
      <c r="W252" s="17">
        <f>NOVIEMBRE!W252+DICIEMBRE!AM252</f>
        <v>0</v>
      </c>
      <c r="X252" s="20">
        <f>SUM(U252:W252)</f>
        <v>0</v>
      </c>
      <c r="Y252" s="21">
        <f>NOVIEMBRE!AA252</f>
        <v>0</v>
      </c>
      <c r="Z252" s="457">
        <v>0</v>
      </c>
      <c r="AA252" s="20">
        <f>SUM(Y252:Z252)</f>
        <v>0</v>
      </c>
      <c r="AB252" s="21">
        <f>NOVIEMBRE!AD252</f>
        <v>0</v>
      </c>
      <c r="AC252" s="457">
        <v>0</v>
      </c>
      <c r="AD252" s="20">
        <f>SUM(AB252:AC252)</f>
        <v>0</v>
      </c>
      <c r="AE252" s="21">
        <f>NOVIEMBRE!AG252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+IF(NOVIEMBRE!S253=0,"",NOVIEMBRE!S253)</f>
        <v>8002100-10</v>
      </c>
      <c r="T253" s="55" t="str">
        <f>+IF(NOVIEMBRE!T253=0,"",NOVIEMBRE!T253)</f>
        <v>Programas Especial 09</v>
      </c>
      <c r="U253" s="29">
        <f>+ENERO!U253</f>
        <v>0</v>
      </c>
      <c r="V253" s="17">
        <f>NOVIEMBRE!V253+DICIEMBRE!AL253</f>
        <v>0</v>
      </c>
      <c r="W253" s="17">
        <f>NOVIEMBRE!W253+DICIEMBRE!AM253</f>
        <v>0</v>
      </c>
      <c r="X253" s="20">
        <f>SUM(U253:W253)</f>
        <v>0</v>
      </c>
      <c r="Y253" s="21">
        <f>NOVIEMBRE!AA253</f>
        <v>0</v>
      </c>
      <c r="Z253" s="457">
        <v>0</v>
      </c>
      <c r="AA253" s="20">
        <f>SUM(Y253:Z253)</f>
        <v>0</v>
      </c>
      <c r="AB253" s="21">
        <f>NOVIEMBRE!AD253</f>
        <v>0</v>
      </c>
      <c r="AC253" s="457">
        <v>0</v>
      </c>
      <c r="AD253" s="20">
        <f>SUM(AB253:AC253)</f>
        <v>0</v>
      </c>
      <c r="AE253" s="21">
        <f>NOVIEMBRE!AG253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+IF(NOVIEMBRE!S254=0,"",NOVIEMBRE!S254)</f>
        <v>8002100-11</v>
      </c>
      <c r="T254" s="55" t="str">
        <f>+IF(NOVIEMBRE!T254=0,"",NOVIEMBRE!T254)</f>
        <v>Programas Especial 10</v>
      </c>
      <c r="U254" s="29">
        <f>+ENERO!U254</f>
        <v>0</v>
      </c>
      <c r="V254" s="17">
        <f>NOVIEMBRE!V254+DICIEMBRE!AL254</f>
        <v>0</v>
      </c>
      <c r="W254" s="17">
        <f>NOVIEMBRE!W254+DICIEMBRE!AM254</f>
        <v>0</v>
      </c>
      <c r="X254" s="20">
        <f>SUM(U254:W254)</f>
        <v>0</v>
      </c>
      <c r="Y254" s="21">
        <f>NOVIEMBRE!AA254</f>
        <v>0</v>
      </c>
      <c r="Z254" s="457">
        <v>0</v>
      </c>
      <c r="AA254" s="20">
        <f>SUM(Y254:Z254)</f>
        <v>0</v>
      </c>
      <c r="AB254" s="21">
        <f>NOVIEMBRE!AD254</f>
        <v>0</v>
      </c>
      <c r="AC254" s="457">
        <v>0</v>
      </c>
      <c r="AD254" s="20">
        <f>SUM(AB254:AC254)</f>
        <v>0</v>
      </c>
      <c r="AE254" s="21">
        <f>NOVIEMBRE!AG254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+IF(NOVIEMBRE!S255=0,"",NOVIEMBRE!S255)</f>
        <v>8002100-12</v>
      </c>
      <c r="T255" s="55" t="str">
        <f>+IF(NOVIEMBRE!T255=0,"",NOVIEMBRE!T255)</f>
        <v>Programas Especial 11</v>
      </c>
      <c r="U255" s="29">
        <f>+ENERO!U255</f>
        <v>0</v>
      </c>
      <c r="V255" s="17">
        <f>NOVIEMBRE!V255+DICIEMBRE!AL255</f>
        <v>0</v>
      </c>
      <c r="W255" s="17">
        <f>NOVIEMBRE!W255+DICIEMBRE!AM255</f>
        <v>0</v>
      </c>
      <c r="X255" s="20">
        <f t="shared" si="197"/>
        <v>0</v>
      </c>
      <c r="Y255" s="21">
        <f>NOVIEMBRE!AA255</f>
        <v>0</v>
      </c>
      <c r="Z255" s="457">
        <v>0</v>
      </c>
      <c r="AA255" s="20">
        <f t="shared" si="198"/>
        <v>0</v>
      </c>
      <c r="AB255" s="21">
        <f>NOVIEMBRE!AD255</f>
        <v>0</v>
      </c>
      <c r="AC255" s="457">
        <v>0</v>
      </c>
      <c r="AD255" s="20">
        <f t="shared" si="199"/>
        <v>0</v>
      </c>
      <c r="AE255" s="21">
        <f>NOVIEMBRE!AG255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+IF(NOVIEMBRE!S256=0,"",NOVIEMBRE!S256)</f>
        <v>8002999</v>
      </c>
      <c r="T256" s="658" t="str">
        <f>+IF(NOVIEMBRE!T256=0,"",NOVIEMBRE!T256)</f>
        <v>Vigencias Anteriores</v>
      </c>
      <c r="U256" s="160">
        <f>+ENERO!U256</f>
        <v>1563100</v>
      </c>
      <c r="V256" s="143">
        <f>NOVIEMBRE!V256+DICIEMBRE!AL256</f>
        <v>-1563100</v>
      </c>
      <c r="W256" s="143">
        <f>NOVIEMBRE!W256+DICIEMBRE!AM256</f>
        <v>0</v>
      </c>
      <c r="X256" s="149">
        <f t="shared" si="197"/>
        <v>0</v>
      </c>
      <c r="Y256" s="147">
        <f>NOVIEMBRE!AA256</f>
        <v>0</v>
      </c>
      <c r="Z256" s="475">
        <v>0</v>
      </c>
      <c r="AA256" s="149">
        <f t="shared" si="198"/>
        <v>0</v>
      </c>
      <c r="AB256" s="147">
        <f>NOVIEMBRE!AD256</f>
        <v>0</v>
      </c>
      <c r="AC256" s="475">
        <v>0</v>
      </c>
      <c r="AD256" s="149">
        <f t="shared" si="199"/>
        <v>0</v>
      </c>
      <c r="AE256" s="147">
        <f>NOVIEMBRE!AG256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+IF(NOVIEMBRE!S257=0,"",NOVIEMBRE!S257)</f>
        <v/>
      </c>
      <c r="T257" s="357" t="str">
        <f>+IF(NOVIEMBRE!T257=0,"",NOVIEMBRE!T257)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+IF(NOVIEMBRE!S258=0,"",NOVIEMBRE!S258)</f>
        <v>E</v>
      </c>
      <c r="T258" s="664" t="str">
        <f>+IF(NOVIEMBRE!T258=0,"",NOVIEMBRE!T258)</f>
        <v>DISPONIBILIDAD FINAL</v>
      </c>
      <c r="U258" s="415">
        <f>+(C10+C17+C108)-(U10+U207+U220+U232)</f>
        <v>0</v>
      </c>
      <c r="V258" s="415">
        <f t="shared" ref="V258:AJ258" si="204">+(D10+D17+D108)-(V10+V207+V220+V232)</f>
        <v>0</v>
      </c>
      <c r="W258" s="415">
        <f t="shared" si="204"/>
        <v>0</v>
      </c>
      <c r="X258" s="415">
        <f t="shared" si="204"/>
        <v>0</v>
      </c>
      <c r="Y258" s="415">
        <f t="shared" si="204"/>
        <v>629686022</v>
      </c>
      <c r="Z258" s="415">
        <f t="shared" si="204"/>
        <v>82121512</v>
      </c>
      <c r="AA258" s="415">
        <f t="shared" si="204"/>
        <v>711807534</v>
      </c>
      <c r="AB258" s="415">
        <f t="shared" si="204"/>
        <v>173490053</v>
      </c>
      <c r="AC258" s="415">
        <f t="shared" si="204"/>
        <v>25519403</v>
      </c>
      <c r="AD258" s="415">
        <f t="shared" si="204"/>
        <v>199009456</v>
      </c>
      <c r="AE258" s="415">
        <f t="shared" si="204"/>
        <v>-3273363889</v>
      </c>
      <c r="AF258" s="415">
        <f t="shared" si="204"/>
        <v>-254493529</v>
      </c>
      <c r="AG258" s="415">
        <f t="shared" si="204"/>
        <v>-3413643801</v>
      </c>
      <c r="AH258" s="415">
        <f t="shared" si="204"/>
        <v>-398301686</v>
      </c>
      <c r="AI258" s="415">
        <f t="shared" si="204"/>
        <v>-398301687</v>
      </c>
      <c r="AJ258" s="415">
        <f t="shared" si="204"/>
        <v>-675190534</v>
      </c>
      <c r="AK258" s="10"/>
      <c r="AL258" s="415">
        <v>0</v>
      </c>
      <c r="AM258" s="416">
        <v>0</v>
      </c>
    </row>
    <row r="259" spans="1:39" ht="17.25" thickBot="1" x14ac:dyDescent="0.25">
      <c r="S259" s="982" t="str">
        <f>+IF(NOVIEMBRE!S259=0,"",NOVIEMBRE!S259)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144524291</v>
      </c>
      <c r="AF259" s="133">
        <f t="shared" si="205"/>
        <v>0</v>
      </c>
      <c r="AG259" s="146">
        <f t="shared" si="205"/>
        <v>144524291</v>
      </c>
      <c r="AH259" s="145">
        <f t="shared" si="205"/>
        <v>466000</v>
      </c>
      <c r="AI259" s="133">
        <f t="shared" si="205"/>
        <v>466000</v>
      </c>
      <c r="AJ259" s="134">
        <f t="shared" si="205"/>
        <v>1395200</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60"/>
  <sheetViews>
    <sheetView showGridLines="0" showZeros="0" view="pageBreakPreview" zoomScale="80" zoomScaleNormal="80" zoomScaleSheetLayoutView="80" workbookViewId="0">
      <selection activeCell="K5" sqref="K5"/>
    </sheetView>
  </sheetViews>
  <sheetFormatPr baseColWidth="10" defaultColWidth="0" defaultRowHeight="0" customHeight="1" zeroHeight="1" x14ac:dyDescent="0.2"/>
  <cols>
    <col min="1" max="1" width="1.5703125" style="806" customWidth="1"/>
    <col min="2" max="2" width="54.85546875" style="806" customWidth="1"/>
    <col min="3" max="3" width="28.7109375" style="806" customWidth="1"/>
    <col min="4" max="4" width="23.85546875" style="806" customWidth="1"/>
    <col min="5" max="5" width="22.5703125" style="806" customWidth="1"/>
    <col min="6" max="17" width="22.42578125" style="806" customWidth="1"/>
    <col min="18" max="18" width="20.7109375" style="806" customWidth="1"/>
    <col min="19" max="19" width="2.85546875" style="796" customWidth="1"/>
    <col min="20" max="20" width="5.28515625" style="806" hidden="1" customWidth="1"/>
    <col min="21" max="16384" width="0" style="806" hidden="1"/>
  </cols>
  <sheetData>
    <row r="1" spans="1:19" s="796" customFormat="1" ht="30.75" customHeight="1" x14ac:dyDescent="0.4">
      <c r="A1" s="793">
        <v>123</v>
      </c>
      <c r="B1" s="1035" t="s">
        <v>397</v>
      </c>
      <c r="C1" s="1035"/>
      <c r="D1" s="1035"/>
      <c r="E1" s="1035"/>
      <c r="F1" s="1035"/>
      <c r="G1" s="1035"/>
      <c r="H1" s="1035"/>
      <c r="I1" s="1035"/>
      <c r="J1" s="1035"/>
      <c r="K1" s="794" t="str">
        <f>+CONCATENATE("VIGENCIA ",INSTRUCCIONES!F3)</f>
        <v>VIGENCIA 2014</v>
      </c>
      <c r="L1" s="795"/>
      <c r="M1" s="795"/>
      <c r="N1" s="795"/>
      <c r="O1" s="795"/>
      <c r="P1" s="795"/>
      <c r="Q1" s="795"/>
      <c r="R1" s="795"/>
    </row>
    <row r="2" spans="1:19" s="800" customFormat="1" ht="26.25" x14ac:dyDescent="0.4">
      <c r="A2" s="797"/>
      <c r="B2" s="798"/>
      <c r="C2" s="798"/>
      <c r="D2" s="799"/>
      <c r="E2" s="799"/>
      <c r="F2" s="799"/>
      <c r="G2" s="799"/>
      <c r="H2" s="1036" t="str">
        <f>+IF((G4+I4+K4+M4)&gt;1,"OJO - SOLO DEBE SECCIONAR UNO DE LOS TRIMESTRES A LA VEZ","")</f>
        <v/>
      </c>
      <c r="I2" s="1036"/>
      <c r="J2" s="1036"/>
      <c r="K2" s="1036"/>
      <c r="L2" s="1036"/>
      <c r="M2" s="1036"/>
      <c r="N2" s="1036"/>
      <c r="O2" s="1036"/>
      <c r="P2" s="1036"/>
      <c r="Q2" s="1036"/>
      <c r="R2" s="1036"/>
      <c r="S2" s="796"/>
    </row>
    <row r="3" spans="1:19" s="800" customFormat="1" ht="77.25" customHeight="1" x14ac:dyDescent="0.2">
      <c r="A3" s="797"/>
      <c r="B3" s="1041" t="str">
        <f>+CONCATENATE(INSTRUCCIONES!B5," - ",INSTRUCCIONES!B3)</f>
        <v>ESE HOSPITAL SAN JUAN DE DIOS - CONCORDIA</v>
      </c>
      <c r="C3" s="1041"/>
      <c r="D3" s="1041"/>
      <c r="E3" s="1041"/>
      <c r="F3" s="1041"/>
      <c r="G3" s="1041"/>
      <c r="H3" s="1041"/>
      <c r="I3" s="1041"/>
      <c r="J3" s="1041"/>
      <c r="K3" s="1041"/>
      <c r="L3" s="1041"/>
      <c r="M3" s="1041"/>
      <c r="N3" s="801"/>
      <c r="O3" s="801"/>
      <c r="P3" s="801"/>
      <c r="Q3" s="801"/>
      <c r="R3" s="801"/>
    </row>
    <row r="4" spans="1:19" s="800" customFormat="1" ht="36" customHeight="1" x14ac:dyDescent="0.2">
      <c r="A4" s="797"/>
      <c r="B4" s="1037" t="s">
        <v>406</v>
      </c>
      <c r="C4" s="1037"/>
      <c r="D4" s="1037"/>
      <c r="E4" s="802"/>
      <c r="F4" s="803" t="s">
        <v>398</v>
      </c>
      <c r="G4" s="168"/>
      <c r="H4" s="803" t="s">
        <v>399</v>
      </c>
      <c r="I4" s="168"/>
      <c r="J4" s="803" t="s">
        <v>400</v>
      </c>
      <c r="K4" s="168">
        <v>1</v>
      </c>
      <c r="L4" s="803" t="s">
        <v>401</v>
      </c>
      <c r="M4" s="168"/>
    </row>
    <row r="5" spans="1:19" s="796" customFormat="1" ht="13.5" customHeight="1" thickBot="1" x14ac:dyDescent="0.3">
      <c r="A5" s="793"/>
      <c r="B5" s="804"/>
      <c r="C5" s="804"/>
      <c r="D5" s="804"/>
      <c r="E5" s="804"/>
      <c r="F5" s="805"/>
      <c r="G5" s="805"/>
      <c r="H5" s="805"/>
      <c r="I5" s="805"/>
      <c r="J5" s="805"/>
      <c r="K5" s="805"/>
      <c r="L5" s="805"/>
      <c r="M5" s="805"/>
      <c r="N5" s="805"/>
      <c r="O5" s="805"/>
      <c r="P5" s="805"/>
      <c r="Q5" s="805"/>
      <c r="R5" s="795"/>
    </row>
    <row r="6" spans="1:19" ht="37.5" customHeight="1" thickBot="1" x14ac:dyDescent="0.25">
      <c r="B6" s="1023" t="s">
        <v>33</v>
      </c>
      <c r="C6" s="1028" t="s">
        <v>595</v>
      </c>
      <c r="D6" s="1028" t="s">
        <v>562</v>
      </c>
      <c r="E6" s="1029"/>
      <c r="F6" s="317" t="s">
        <v>402</v>
      </c>
      <c r="G6" s="318"/>
      <c r="H6" s="318"/>
      <c r="I6" s="318"/>
      <c r="J6" s="318"/>
      <c r="K6" s="318"/>
      <c r="L6" s="318"/>
      <c r="M6" s="318"/>
      <c r="N6" s="318"/>
      <c r="O6" s="318"/>
      <c r="P6" s="318"/>
      <c r="Q6" s="318"/>
      <c r="R6" s="1039" t="s">
        <v>403</v>
      </c>
    </row>
    <row r="7" spans="1:19" ht="49.5" customHeight="1" thickBot="1" x14ac:dyDescent="0.25">
      <c r="B7" s="1038"/>
      <c r="C7" s="1030"/>
      <c r="D7" s="1030"/>
      <c r="E7" s="1031"/>
      <c r="F7" s="319" t="s">
        <v>10</v>
      </c>
      <c r="G7" s="320" t="s">
        <v>384</v>
      </c>
      <c r="H7" s="320" t="s">
        <v>385</v>
      </c>
      <c r="I7" s="320" t="s">
        <v>388</v>
      </c>
      <c r="J7" s="320" t="s">
        <v>389</v>
      </c>
      <c r="K7" s="320" t="s">
        <v>390</v>
      </c>
      <c r="L7" s="320" t="s">
        <v>391</v>
      </c>
      <c r="M7" s="320" t="s">
        <v>392</v>
      </c>
      <c r="N7" s="320" t="s">
        <v>393</v>
      </c>
      <c r="O7" s="320" t="s">
        <v>394</v>
      </c>
      <c r="P7" s="320" t="s">
        <v>395</v>
      </c>
      <c r="Q7" s="733" t="s">
        <v>396</v>
      </c>
      <c r="R7" s="1040"/>
    </row>
    <row r="8" spans="1:19" s="807" customFormat="1" ht="18" x14ac:dyDescent="0.2">
      <c r="B8" s="321" t="s">
        <v>57</v>
      </c>
      <c r="C8" s="746">
        <f>+DICIEMBRE!F10</f>
        <v>133074115</v>
      </c>
      <c r="D8" s="1032">
        <f>+DICIEMBRE!I10</f>
        <v>133074115</v>
      </c>
      <c r="E8" s="1033"/>
      <c r="F8" s="322">
        <f>+DICIEMBRE!L10</f>
        <v>133074115</v>
      </c>
      <c r="G8" s="747">
        <f t="shared" ref="G8:Q8" si="0">F57</f>
        <v>101332159</v>
      </c>
      <c r="H8" s="747">
        <f t="shared" si="0"/>
        <v>-78895581</v>
      </c>
      <c r="I8" s="747">
        <f t="shared" si="0"/>
        <v>82172405</v>
      </c>
      <c r="J8" s="747">
        <f t="shared" si="0"/>
        <v>28272569</v>
      </c>
      <c r="K8" s="747">
        <f t="shared" si="0"/>
        <v>-27840889</v>
      </c>
      <c r="L8" s="747">
        <f t="shared" si="0"/>
        <v>62173063</v>
      </c>
      <c r="M8" s="747">
        <f t="shared" si="0"/>
        <v>-104960232</v>
      </c>
      <c r="N8" s="747">
        <f t="shared" si="0"/>
        <v>55977457</v>
      </c>
      <c r="O8" s="747">
        <f t="shared" si="0"/>
        <v>128116369</v>
      </c>
      <c r="P8" s="747">
        <f t="shared" si="0"/>
        <v>13543654</v>
      </c>
      <c r="Q8" s="748">
        <f t="shared" si="0"/>
        <v>30426305</v>
      </c>
      <c r="R8" s="742">
        <f>F8</f>
        <v>133074115</v>
      </c>
      <c r="S8" s="808"/>
    </row>
    <row r="9" spans="1:19" s="807" customFormat="1" ht="19.5" x14ac:dyDescent="0.2">
      <c r="B9" s="323" t="s">
        <v>59</v>
      </c>
      <c r="C9" s="749">
        <f>C10+C18+C19+C20+C21+C22</f>
        <v>3390927588</v>
      </c>
      <c r="D9" s="1015">
        <f>D10+D18+D19+D20+D21+D22</f>
        <v>2580409623</v>
      </c>
      <c r="E9" s="1016"/>
      <c r="F9" s="750">
        <f>F10+F18+F19+F20+F21+F22</f>
        <v>180322512</v>
      </c>
      <c r="G9" s="751">
        <f t="shared" ref="G9:R9" si="1">G10+G18+G19+G20+G21+G22</f>
        <v>241289381</v>
      </c>
      <c r="H9" s="751">
        <f t="shared" si="1"/>
        <v>261343786</v>
      </c>
      <c r="I9" s="751">
        <f t="shared" si="1"/>
        <v>215719311</v>
      </c>
      <c r="J9" s="751">
        <f t="shared" si="1"/>
        <v>228580312</v>
      </c>
      <c r="K9" s="751">
        <f t="shared" si="1"/>
        <v>211733272</v>
      </c>
      <c r="L9" s="751">
        <f t="shared" si="1"/>
        <v>250052396</v>
      </c>
      <c r="M9" s="751">
        <f t="shared" si="1"/>
        <v>289731495</v>
      </c>
      <c r="N9" s="751">
        <f t="shared" si="1"/>
        <v>262614394</v>
      </c>
      <c r="O9" s="751">
        <f t="shared" si="1"/>
        <v>280000435</v>
      </c>
      <c r="P9" s="751">
        <f t="shared" si="1"/>
        <v>300419604</v>
      </c>
      <c r="Q9" s="752">
        <f t="shared" si="1"/>
        <v>505642768</v>
      </c>
      <c r="R9" s="743">
        <f t="shared" si="1"/>
        <v>3227449666</v>
      </c>
      <c r="S9" s="808"/>
    </row>
    <row r="10" spans="1:19" s="807" customFormat="1" ht="15.75" x14ac:dyDescent="0.2">
      <c r="B10" s="324" t="s">
        <v>457</v>
      </c>
      <c r="C10" s="749">
        <f>C11+C12+C13+C14+C15+C16+C17</f>
        <v>3023223118</v>
      </c>
      <c r="D10" s="1015">
        <f t="shared" ref="D10:R10" si="2">D11+D12+D13+D14+D15+D16+D17</f>
        <v>2275620837</v>
      </c>
      <c r="E10" s="1016"/>
      <c r="F10" s="750">
        <f t="shared" si="2"/>
        <v>179222807</v>
      </c>
      <c r="G10" s="751">
        <f t="shared" si="2"/>
        <v>178492957</v>
      </c>
      <c r="H10" s="751">
        <f t="shared" si="2"/>
        <v>194743427</v>
      </c>
      <c r="I10" s="751">
        <f t="shared" si="2"/>
        <v>190141036</v>
      </c>
      <c r="J10" s="751">
        <f t="shared" si="2"/>
        <v>204000005</v>
      </c>
      <c r="K10" s="751">
        <f t="shared" si="2"/>
        <v>186491021</v>
      </c>
      <c r="L10" s="751">
        <f t="shared" si="2"/>
        <v>213833315</v>
      </c>
      <c r="M10" s="751">
        <f t="shared" si="2"/>
        <v>253057841</v>
      </c>
      <c r="N10" s="751">
        <f t="shared" si="2"/>
        <v>236615664</v>
      </c>
      <c r="O10" s="751">
        <f t="shared" si="2"/>
        <v>249065485</v>
      </c>
      <c r="P10" s="751">
        <f t="shared" si="2"/>
        <v>276476896</v>
      </c>
      <c r="Q10" s="752">
        <f t="shared" si="2"/>
        <v>279711296</v>
      </c>
      <c r="R10" s="743">
        <f t="shared" si="2"/>
        <v>2641851750</v>
      </c>
      <c r="S10" s="808"/>
    </row>
    <row r="11" spans="1:19" s="807" customFormat="1" ht="14.25" x14ac:dyDescent="0.2">
      <c r="B11" s="325" t="s">
        <v>458</v>
      </c>
      <c r="C11" s="730">
        <f>MARZO!$BC11*$G$4+JUNIO!$BC11*$I$4+SEPTIEMBRE!$BC11*$K$4+DICIEMBRE!$BC11*$M$4</f>
        <v>2490198704</v>
      </c>
      <c r="D11" s="1021">
        <f>MARZO!$BD11*$G$4+JUNIO!$BD11*$I$4+SEPTIEMBRE!$BD11*$K$4+DICIEMBRE!$BD11*$M$4</f>
        <v>1836655140</v>
      </c>
      <c r="E11" s="1022"/>
      <c r="F11" s="326">
        <f>ENERO!$BE11</f>
        <v>170466596</v>
      </c>
      <c r="G11" s="327">
        <f>FEBRERO!$BE11</f>
        <v>170216104</v>
      </c>
      <c r="H11" s="327">
        <f>MARZO!$BE11</f>
        <v>170745948</v>
      </c>
      <c r="I11" s="327">
        <f>ABRIL!$BE11</f>
        <v>173698494</v>
      </c>
      <c r="J11" s="327">
        <f>MAYO!$BE11</f>
        <v>169122144</v>
      </c>
      <c r="K11" s="327">
        <f>JUNIO!$BE11</f>
        <v>169160774</v>
      </c>
      <c r="L11" s="327">
        <f>JULIO!$BE11</f>
        <v>180801164</v>
      </c>
      <c r="M11" s="327">
        <f>AGOSTO!$BE11</f>
        <v>189858635</v>
      </c>
      <c r="N11" s="327">
        <f>SEPTIEMBRE!$BE11</f>
        <v>207960835</v>
      </c>
      <c r="O11" s="327">
        <f>OCTUBRE!$BE11</f>
        <v>205337561</v>
      </c>
      <c r="P11" s="327">
        <f>NOVIEMBRE!$BE11</f>
        <v>206415661</v>
      </c>
      <c r="Q11" s="735">
        <f>DICIEMBRE!$BE11</f>
        <v>194922184</v>
      </c>
      <c r="R11" s="744">
        <f t="shared" ref="R11:R25" si="3">SUM(F11:Q11)</f>
        <v>2208706100</v>
      </c>
      <c r="S11" s="808"/>
    </row>
    <row r="12" spans="1:19" s="807" customFormat="1" ht="14.25" x14ac:dyDescent="0.2">
      <c r="B12" s="325" t="s">
        <v>459</v>
      </c>
      <c r="C12" s="730">
        <f>MARZO!$BC12*$G$4+JUNIO!$BC12*$I$4+SEPTIEMBRE!$BC12*$K$4+DICIEMBRE!$BC12*$M$4</f>
        <v>190033939</v>
      </c>
      <c r="D12" s="1021">
        <f>MARZO!$BD12*$G$4+JUNIO!$BD12*$I$4+SEPTIEMBRE!$BD12*$K$4+DICIEMBRE!$BD12*$M$4</f>
        <v>209740082</v>
      </c>
      <c r="E12" s="1022"/>
      <c r="F12" s="326">
        <f>ENERO!$BE12</f>
        <v>28590</v>
      </c>
      <c r="G12" s="327">
        <f>FEBRERO!$BE12</f>
        <v>2300</v>
      </c>
      <c r="H12" s="327">
        <f>MARZO!$BE12</f>
        <v>1187932</v>
      </c>
      <c r="I12" s="327">
        <f>ABRIL!$BE12</f>
        <v>1505467</v>
      </c>
      <c r="J12" s="327">
        <f>MAYO!$BE12</f>
        <v>1088335</v>
      </c>
      <c r="K12" s="327">
        <f>JUNIO!$BE12</f>
        <v>6814145</v>
      </c>
      <c r="L12" s="327">
        <f>JULIO!$BE12</f>
        <v>20673291</v>
      </c>
      <c r="M12" s="327">
        <f>AGOSTO!$BE12</f>
        <v>26862353</v>
      </c>
      <c r="N12" s="327">
        <f>SEPTIEMBRE!$BE12</f>
        <v>17467633</v>
      </c>
      <c r="O12" s="327">
        <f>OCTUBRE!$BE12</f>
        <v>22598833</v>
      </c>
      <c r="P12" s="327">
        <f>NOVIEMBRE!$BE12</f>
        <v>9651425</v>
      </c>
      <c r="Q12" s="735">
        <f>DICIEMBRE!$BE12</f>
        <v>21103884</v>
      </c>
      <c r="R12" s="744">
        <f t="shared" si="3"/>
        <v>128984188</v>
      </c>
      <c r="S12" s="808"/>
    </row>
    <row r="13" spans="1:19" s="807" customFormat="1" ht="29.25" customHeight="1" x14ac:dyDescent="0.2">
      <c r="B13" s="325" t="s">
        <v>460</v>
      </c>
      <c r="C13" s="730">
        <f>MARZO!$BC13*$G$4+JUNIO!$BC13*$I$4+SEPTIEMBRE!$BC13*$K$4+DICIEMBRE!$BC13*$M$4</f>
        <v>0</v>
      </c>
      <c r="D13" s="1021">
        <f>MARZO!$BD13*$G$4+JUNIO!$BD13*$I$4+SEPTIEMBRE!$BD13*$K$4+DICIEMBRE!$BD13*$M$4</f>
        <v>0</v>
      </c>
      <c r="E13" s="1022"/>
      <c r="F13" s="326">
        <f>ENERO!$BE13</f>
        <v>0</v>
      </c>
      <c r="G13" s="327">
        <f>FEBRERO!$BE13</f>
        <v>0</v>
      </c>
      <c r="H13" s="327">
        <f>MARZO!$BE13</f>
        <v>0</v>
      </c>
      <c r="I13" s="327">
        <f>ABRIL!$BE13</f>
        <v>0</v>
      </c>
      <c r="J13" s="327">
        <f>MAYO!$BE13</f>
        <v>0</v>
      </c>
      <c r="K13" s="327">
        <f>JUNIO!$BE13</f>
        <v>0</v>
      </c>
      <c r="L13" s="327">
        <f>JULIO!$BE13</f>
        <v>0</v>
      </c>
      <c r="M13" s="327">
        <f>AGOSTO!$BE13</f>
        <v>0</v>
      </c>
      <c r="N13" s="327">
        <f>SEPTIEMBRE!$BE13</f>
        <v>0</v>
      </c>
      <c r="O13" s="327">
        <f>OCTUBRE!$BE13</f>
        <v>0</v>
      </c>
      <c r="P13" s="327">
        <f>NOVIEMBRE!$BE13</f>
        <v>0</v>
      </c>
      <c r="Q13" s="735">
        <f>DICIEMBRE!$BE13</f>
        <v>0</v>
      </c>
      <c r="R13" s="744">
        <f t="shared" si="3"/>
        <v>0</v>
      </c>
      <c r="S13" s="808"/>
    </row>
    <row r="14" spans="1:19" s="807" customFormat="1" ht="14.25" x14ac:dyDescent="0.2">
      <c r="B14" s="325" t="s">
        <v>461</v>
      </c>
      <c r="C14" s="730">
        <f>MARZO!$BC14*$G$4+JUNIO!$BC14*$I$4+SEPTIEMBRE!$BC14*$K$4+DICIEMBRE!$BC14*$M$4</f>
        <v>40103182</v>
      </c>
      <c r="D14" s="1021">
        <f>MARZO!$BD14*$G$4+JUNIO!$BD14*$I$4+SEPTIEMBRE!$BD14*$K$4+DICIEMBRE!$BD14*$M$4</f>
        <v>25980551</v>
      </c>
      <c r="E14" s="1022"/>
      <c r="F14" s="326">
        <f>ENERO!$BE14</f>
        <v>0</v>
      </c>
      <c r="G14" s="327">
        <f>FEBRERO!$BE14</f>
        <v>-197100</v>
      </c>
      <c r="H14" s="327">
        <f>MARZO!$BE14</f>
        <v>1821753</v>
      </c>
      <c r="I14" s="327">
        <f>ABRIL!$BE14</f>
        <v>5518429</v>
      </c>
      <c r="J14" s="327">
        <f>MAYO!$BE14</f>
        <v>2782778</v>
      </c>
      <c r="K14" s="327">
        <f>JUNIO!$BE14</f>
        <v>2068494</v>
      </c>
      <c r="L14" s="327">
        <f>JULIO!$BE14</f>
        <v>892937</v>
      </c>
      <c r="M14" s="327">
        <f>AGOSTO!$BE14</f>
        <v>3261594</v>
      </c>
      <c r="N14" s="327">
        <f>SEPTIEMBRE!$BE14</f>
        <v>1652090</v>
      </c>
      <c r="O14" s="327">
        <f>OCTUBRE!$BE14</f>
        <v>3385592</v>
      </c>
      <c r="P14" s="327">
        <f>NOVIEMBRE!$BE14</f>
        <v>6389794</v>
      </c>
      <c r="Q14" s="735">
        <f>DICIEMBRE!$BE14</f>
        <v>2568163</v>
      </c>
      <c r="R14" s="744">
        <f t="shared" si="3"/>
        <v>30144524</v>
      </c>
      <c r="S14" s="808"/>
    </row>
    <row r="15" spans="1:19" s="807" customFormat="1" ht="14.25" x14ac:dyDescent="0.2">
      <c r="B15" s="325" t="s">
        <v>79</v>
      </c>
      <c r="C15" s="730">
        <f>MARZO!$BC15*$G$4+JUNIO!$BC15*$I$4+SEPTIEMBRE!$BC15*$K$4+DICIEMBRE!$BC15*$M$4</f>
        <v>0</v>
      </c>
      <c r="D15" s="1021">
        <f>MARZO!$BD15*$G$4+JUNIO!$BD15*$I$4+SEPTIEMBRE!$BD15*$K$4+DICIEMBRE!$BD15*$M$4</f>
        <v>0</v>
      </c>
      <c r="E15" s="1022"/>
      <c r="F15" s="326">
        <f>ENERO!$BE15</f>
        <v>0</v>
      </c>
      <c r="G15" s="327">
        <f>FEBRERO!$BE15</f>
        <v>0</v>
      </c>
      <c r="H15" s="327">
        <f>MARZO!$BE15</f>
        <v>0</v>
      </c>
      <c r="I15" s="327">
        <f>ABRIL!$BE15</f>
        <v>0</v>
      </c>
      <c r="J15" s="327">
        <f>MAYO!$BE15</f>
        <v>0</v>
      </c>
      <c r="K15" s="327">
        <f>JUNIO!$BE15</f>
        <v>0</v>
      </c>
      <c r="L15" s="327">
        <f>JULIO!$BE15</f>
        <v>0</v>
      </c>
      <c r="M15" s="327">
        <f>AGOSTO!$BE15</f>
        <v>0</v>
      </c>
      <c r="N15" s="327">
        <f>SEPTIEMBRE!$BE15</f>
        <v>0</v>
      </c>
      <c r="O15" s="327">
        <f>OCTUBRE!$BE15</f>
        <v>0</v>
      </c>
      <c r="P15" s="327">
        <f>NOVIEMBRE!$BE15</f>
        <v>0</v>
      </c>
      <c r="Q15" s="735">
        <f>DICIEMBRE!$BE15</f>
        <v>0</v>
      </c>
      <c r="R15" s="744">
        <f t="shared" si="3"/>
        <v>0</v>
      </c>
      <c r="S15" s="808"/>
    </row>
    <row r="16" spans="1:19" s="807" customFormat="1" ht="14.25" x14ac:dyDescent="0.2">
      <c r="B16" s="325" t="s">
        <v>462</v>
      </c>
      <c r="C16" s="730">
        <f>MARZO!$BC16*$G$4+JUNIO!$BC16*$I$4+SEPTIEMBRE!$BC16*$K$4+DICIEMBRE!$BC16*$M$4</f>
        <v>125397398</v>
      </c>
      <c r="D16" s="1021">
        <f>MARZO!$BD16*$G$4+JUNIO!$BD16*$I$4+SEPTIEMBRE!$BD16*$K$4+DICIEMBRE!$BD16*$M$4</f>
        <v>81143316</v>
      </c>
      <c r="E16" s="1022"/>
      <c r="F16" s="326">
        <f>ENERO!$BE16</f>
        <v>0</v>
      </c>
      <c r="G16" s="327">
        <f>FEBRERO!$BE16</f>
        <v>0</v>
      </c>
      <c r="H16" s="327">
        <f>MARZO!$BE16</f>
        <v>10017527</v>
      </c>
      <c r="I16" s="327">
        <f>ABRIL!$BE16</f>
        <v>0</v>
      </c>
      <c r="J16" s="327">
        <f>MAYO!$BE16</f>
        <v>21851054</v>
      </c>
      <c r="K16" s="327">
        <f>JUNIO!$BE16</f>
        <v>1017527</v>
      </c>
      <c r="L16" s="327">
        <f>JULIO!$BE16</f>
        <v>101624</v>
      </c>
      <c r="M16" s="327">
        <f>AGOSTO!$BE16</f>
        <v>20035054</v>
      </c>
      <c r="N16" s="327">
        <f>SEPTIEMBRE!$BE16</f>
        <v>0</v>
      </c>
      <c r="O16" s="327">
        <f>OCTUBRE!$BE16</f>
        <v>10919003</v>
      </c>
      <c r="P16" s="327">
        <f>NOVIEMBRE!$BE16</f>
        <v>20035054</v>
      </c>
      <c r="Q16" s="735">
        <f>DICIEMBRE!$BE16</f>
        <v>53163833</v>
      </c>
      <c r="R16" s="744">
        <f t="shared" si="3"/>
        <v>137140676</v>
      </c>
      <c r="S16" s="808"/>
    </row>
    <row r="17" spans="1:252" s="807" customFormat="1" ht="14.25" x14ac:dyDescent="0.2">
      <c r="B17" s="325" t="s">
        <v>463</v>
      </c>
      <c r="C17" s="730">
        <f>MARZO!$BC17*$G$4+JUNIO!$BC17*$I$4+SEPTIEMBRE!$BC17*$K$4+DICIEMBRE!$BC17*$M$4</f>
        <v>177489895</v>
      </c>
      <c r="D17" s="1021">
        <f>MARZO!$BD17*$G$4+JUNIO!$BD17*$I$4+SEPTIEMBRE!$BD17*$K$4+DICIEMBRE!$BD17*$M$4</f>
        <v>122101748</v>
      </c>
      <c r="E17" s="1022"/>
      <c r="F17" s="326">
        <f>ENERO!$BE17</f>
        <v>8727621</v>
      </c>
      <c r="G17" s="327">
        <f>FEBRERO!$BE17</f>
        <v>8471653</v>
      </c>
      <c r="H17" s="327">
        <f>MARZO!$BE17</f>
        <v>10970267</v>
      </c>
      <c r="I17" s="327">
        <f>ABRIL!$BE17</f>
        <v>9418646</v>
      </c>
      <c r="J17" s="327">
        <f>MAYO!$BE17</f>
        <v>9155694</v>
      </c>
      <c r="K17" s="327">
        <f>JUNIO!$BE17</f>
        <v>7430081</v>
      </c>
      <c r="L17" s="327">
        <f>JULIO!$BE17</f>
        <v>11364299</v>
      </c>
      <c r="M17" s="327">
        <f>AGOSTO!$BE17</f>
        <v>13040205</v>
      </c>
      <c r="N17" s="327">
        <f>SEPTIEMBRE!$BE17</f>
        <v>9535106</v>
      </c>
      <c r="O17" s="327">
        <f>OCTUBRE!$BE17</f>
        <v>6824496</v>
      </c>
      <c r="P17" s="327">
        <f>NOVIEMBRE!$BE17</f>
        <v>33984962</v>
      </c>
      <c r="Q17" s="735">
        <f>DICIEMBRE!$BE17</f>
        <v>7953232</v>
      </c>
      <c r="R17" s="744">
        <f t="shared" si="3"/>
        <v>136876262</v>
      </c>
      <c r="S17" s="808"/>
    </row>
    <row r="18" spans="1:252" s="807" customFormat="1" ht="49.5" customHeight="1" x14ac:dyDescent="0.2">
      <c r="B18" s="753" t="s">
        <v>596</v>
      </c>
      <c r="C18" s="730">
        <f>+MARZO!$F100*$G$4+JUNIO!$F100*$I$4+SEPTIEMBRE!$F100*$K$4+DICIEMBRE!$F100*$M$4</f>
        <v>0</v>
      </c>
      <c r="D18" s="1021">
        <f>+MARZO!I100*$G$4+JUNIO!$I100*$I$4+SEPTIEMBRE!$I100*$K$4+DICIEMBRE!$I100*$M$4</f>
        <v>0</v>
      </c>
      <c r="E18" s="1022"/>
      <c r="F18" s="326">
        <f>+ENERO!$K$100</f>
        <v>0</v>
      </c>
      <c r="G18" s="327">
        <f>+FEBRERO!$K$100</f>
        <v>0</v>
      </c>
      <c r="H18" s="327">
        <f>+MARZO!$K$100</f>
        <v>0</v>
      </c>
      <c r="I18" s="327">
        <f>+ABRIL!$K$100</f>
        <v>0</v>
      </c>
      <c r="J18" s="327">
        <f>+MAYO!$K$100</f>
        <v>0</v>
      </c>
      <c r="K18" s="327">
        <f>+JUNIO!$K$100</f>
        <v>0</v>
      </c>
      <c r="L18" s="327">
        <f>+JULIO!$K$100</f>
        <v>0</v>
      </c>
      <c r="M18" s="327">
        <f>+AGOSTO!$K$100</f>
        <v>0</v>
      </c>
      <c r="N18" s="327">
        <f>+SEPTIEMBRE!$K$100</f>
        <v>0</v>
      </c>
      <c r="O18" s="327">
        <f>+OCTUBRE!$K$100</f>
        <v>0</v>
      </c>
      <c r="P18" s="327">
        <f>+NOVIEMBRE!$K$100</f>
        <v>0</v>
      </c>
      <c r="Q18" s="735">
        <f>+DICIEMBRE!$K$100</f>
        <v>0</v>
      </c>
      <c r="R18" s="744">
        <f t="shared" si="3"/>
        <v>0</v>
      </c>
      <c r="S18" s="808"/>
    </row>
    <row r="19" spans="1:252" s="807" customFormat="1" ht="49.5" customHeight="1" x14ac:dyDescent="0.2">
      <c r="B19" s="753" t="s">
        <v>597</v>
      </c>
      <c r="C19" s="730">
        <f>+MARZO!$F101*$G$4+JUNIO!$F101*$I$4+SEPTIEMBRE!$F101*$K$4+DICIEMBRE!$F101*$M$4</f>
        <v>0</v>
      </c>
      <c r="D19" s="1021">
        <f>+MARZO!$I101*$G$4+JUNIO!$I101*$I$4+SEPTIEMBRE!I$101*$K$4+DICIEMBRE!$I101*$M$4</f>
        <v>0</v>
      </c>
      <c r="E19" s="1022"/>
      <c r="F19" s="326">
        <f>+ENERO!$K$101</f>
        <v>0</v>
      </c>
      <c r="G19" s="327">
        <f>+FEBRERO!$K$101</f>
        <v>0</v>
      </c>
      <c r="H19" s="327">
        <f>+MARZO!$K$101</f>
        <v>0</v>
      </c>
      <c r="I19" s="327">
        <f>+ABRIL!$K$101</f>
        <v>0</v>
      </c>
      <c r="J19" s="327">
        <f>+MAYO!$K$101</f>
        <v>0</v>
      </c>
      <c r="K19" s="327">
        <f>+JUNIO!$K$101</f>
        <v>0</v>
      </c>
      <c r="L19" s="327">
        <f>+JULIO!$K$101</f>
        <v>0</v>
      </c>
      <c r="M19" s="327">
        <f>+AGOSTO!$K$101</f>
        <v>0</v>
      </c>
      <c r="N19" s="327">
        <f>+SEPTIEMBRE!$K$101</f>
        <v>0</v>
      </c>
      <c r="O19" s="327">
        <f>+OCTUBRE!$K$101</f>
        <v>0</v>
      </c>
      <c r="P19" s="327">
        <f>+NOVIEMBRE!$K$101</f>
        <v>0</v>
      </c>
      <c r="Q19" s="735">
        <f>+DICIEMBRE!$K$101</f>
        <v>0</v>
      </c>
      <c r="R19" s="744">
        <f t="shared" si="3"/>
        <v>0</v>
      </c>
      <c r="S19" s="808"/>
    </row>
    <row r="20" spans="1:252" s="807" customFormat="1" ht="49.5" customHeight="1" x14ac:dyDescent="0.2">
      <c r="B20" s="753" t="s">
        <v>598</v>
      </c>
      <c r="C20" s="730">
        <f>+MARZO!$F102*$G$4+JUNIO!$F102*$I$4+SEPTIEMBRE!$F102*$K$4+DICIEMBRE!$F102*$M$4</f>
        <v>0</v>
      </c>
      <c r="D20" s="1021">
        <f>+MARZO!$I102*$G$4+JUNIO!$I102*$I$4+SEPTIEMBRE!$I102*$K$4+DICIEMBRE!$I102*$M$4</f>
        <v>0</v>
      </c>
      <c r="E20" s="1022"/>
      <c r="F20" s="326">
        <f>+ENERO!$K$102</f>
        <v>0</v>
      </c>
      <c r="G20" s="327">
        <f>+FEBRERO!$K$102</f>
        <v>0</v>
      </c>
      <c r="H20" s="327">
        <f>+MARZO!$K$102</f>
        <v>0</v>
      </c>
      <c r="I20" s="327">
        <f>+ABRIL!$K$102</f>
        <v>0</v>
      </c>
      <c r="J20" s="327">
        <f>+MAYO!$K$102</f>
        <v>0</v>
      </c>
      <c r="K20" s="327">
        <f>+JUNIO!$K$102</f>
        <v>0</v>
      </c>
      <c r="L20" s="327">
        <f>+JULIO!$K$102</f>
        <v>0</v>
      </c>
      <c r="M20" s="327">
        <f>+AGOSTO!$K$102</f>
        <v>0</v>
      </c>
      <c r="N20" s="327">
        <f>+SEPTIEMBRE!$K$102</f>
        <v>0</v>
      </c>
      <c r="O20" s="327">
        <f>+OCTUBRE!$K$102</f>
        <v>0</v>
      </c>
      <c r="P20" s="327">
        <f>+NOVIEMBRE!$K$102</f>
        <v>0</v>
      </c>
      <c r="Q20" s="735">
        <f>+DICIEMBRE!$K$102</f>
        <v>0</v>
      </c>
      <c r="R20" s="744">
        <f t="shared" si="3"/>
        <v>0</v>
      </c>
      <c r="S20" s="808"/>
    </row>
    <row r="21" spans="1:252" s="807" customFormat="1" ht="49.5" customHeight="1" x14ac:dyDescent="0.2">
      <c r="B21" s="753" t="s">
        <v>599</v>
      </c>
      <c r="C21" s="730">
        <f>+MARZO!$F105*$G$4+JUNIO!$F105*$I$4+SEPTIEMBRE!$F105*$K$4+DICIEMBRE!$F105*$M$4</f>
        <v>252525441</v>
      </c>
      <c r="D21" s="1021">
        <f>+MARZO!$I105*$G$4+JUNIO!$I105*$I$4+SEPTIEMBRE!$I105*$K$4+DICIEMBRE!$I105*$M$4</f>
        <v>189394046</v>
      </c>
      <c r="E21" s="1022"/>
      <c r="F21" s="326">
        <f>+ENERO!$K$105</f>
        <v>0</v>
      </c>
      <c r="G21" s="327">
        <f>+FEBRERO!$K$105</f>
        <v>0</v>
      </c>
      <c r="H21" s="327">
        <f>+MARZO!$K$105</f>
        <v>63131360</v>
      </c>
      <c r="I21" s="327">
        <f>+ABRIL!$K$105</f>
        <v>21043787</v>
      </c>
      <c r="J21" s="327">
        <f>+MAYO!$K$105</f>
        <v>21043787</v>
      </c>
      <c r="K21" s="327">
        <f>+JUNIO!$K$105</f>
        <v>21043787</v>
      </c>
      <c r="L21" s="327">
        <f>+JULIO!$K$105</f>
        <v>21043769</v>
      </c>
      <c r="M21" s="327">
        <f>+AGOSTO!$K$105</f>
        <v>21043769</v>
      </c>
      <c r="N21" s="327">
        <f>+SEPTIEMBRE!$K$105</f>
        <v>21043787</v>
      </c>
      <c r="O21" s="327">
        <f>+OCTUBRE!$K$105</f>
        <v>21043822</v>
      </c>
      <c r="P21" s="327">
        <f>+NOVIEMBRE!$K$105</f>
        <v>21043787</v>
      </c>
      <c r="Q21" s="735">
        <f>+DICIEMBRE!$K$105</f>
        <v>21043786</v>
      </c>
      <c r="R21" s="744">
        <f t="shared" si="3"/>
        <v>252525441</v>
      </c>
      <c r="S21" s="808"/>
    </row>
    <row r="22" spans="1:252" s="807" customFormat="1" ht="15" x14ac:dyDescent="0.2">
      <c r="B22" s="753" t="s">
        <v>95</v>
      </c>
      <c r="C22" s="730">
        <f>MARZO!$BC19*$G$4+JUNIO!$BC19*$I$4+SEPTIEMBRE!$BC19*$K$4+DICIEMBRE!$BC19*$M$4</f>
        <v>115179029</v>
      </c>
      <c r="D22" s="1021">
        <f>MARZO!$BD19*$G$4+JUNIO!$BD19*$I$4+SEPTIEMBRE!$BD19*$K$4+DICIEMBRE!$BD19*$M$4</f>
        <v>115394740</v>
      </c>
      <c r="E22" s="1022"/>
      <c r="F22" s="326">
        <f>ENERO!$BE19</f>
        <v>1099705</v>
      </c>
      <c r="G22" s="327">
        <f>FEBRERO!$BE19</f>
        <v>62796424</v>
      </c>
      <c r="H22" s="327">
        <f>MARZO!$BE19</f>
        <v>3468999</v>
      </c>
      <c r="I22" s="327">
        <f>ABRIL!$BE19</f>
        <v>4534488</v>
      </c>
      <c r="J22" s="327">
        <f>MAYO!$BE19</f>
        <v>3536520</v>
      </c>
      <c r="K22" s="327">
        <f>JUNIO!$BE19</f>
        <v>4198464</v>
      </c>
      <c r="L22" s="327">
        <f>JULIO!$BE19</f>
        <v>15175312</v>
      </c>
      <c r="M22" s="327">
        <f>AGOSTO!$BE19</f>
        <v>15629885</v>
      </c>
      <c r="N22" s="327">
        <f>SEPTIEMBRE!$BE19</f>
        <v>4954943</v>
      </c>
      <c r="O22" s="327">
        <f>OCTUBRE!$BE19</f>
        <v>9891128</v>
      </c>
      <c r="P22" s="327">
        <f>NOVIEMBRE!$BE19</f>
        <v>2898921</v>
      </c>
      <c r="Q22" s="735">
        <f>DICIEMBRE!$BE19</f>
        <v>204887686</v>
      </c>
      <c r="R22" s="744">
        <f t="shared" si="3"/>
        <v>333072475</v>
      </c>
      <c r="S22" s="808"/>
    </row>
    <row r="23" spans="1:252" s="807" customFormat="1" ht="15.75" x14ac:dyDescent="0.2">
      <c r="B23" s="324" t="s">
        <v>465</v>
      </c>
      <c r="C23" s="749">
        <f>MARZO!$BC20*$G$4+JUNIO!$BC20*$I$4+SEPTIEMBRE!$BC20*$K$4+DICIEMBRE!$BC20*$M$4</f>
        <v>305317</v>
      </c>
      <c r="D23" s="1015">
        <f>MARZO!$BD20*$G$4+JUNIO!$BD20*$I$4+SEPTIEMBRE!$BD20*$K$4+DICIEMBRE!$BD20*$M$4</f>
        <v>674732</v>
      </c>
      <c r="E23" s="1016"/>
      <c r="F23" s="750">
        <f>ENERO!$BE20</f>
        <v>38797</v>
      </c>
      <c r="G23" s="751">
        <f>FEBRERO!$BE20</f>
        <v>72023</v>
      </c>
      <c r="H23" s="751">
        <f>MARZO!$BE20</f>
        <v>31847</v>
      </c>
      <c r="I23" s="751">
        <f>ABRIL!$BE20</f>
        <v>29064</v>
      </c>
      <c r="J23" s="751">
        <f>MAYO!$BE20</f>
        <v>30878</v>
      </c>
      <c r="K23" s="751">
        <f>JUNIO!$BE20</f>
        <v>22625</v>
      </c>
      <c r="L23" s="751">
        <f>JULIO!$BE20</f>
        <v>7483</v>
      </c>
      <c r="M23" s="751">
        <f>AGOSTO!$BE20</f>
        <v>412086</v>
      </c>
      <c r="N23" s="751">
        <f>SEPTIEMBRE!$BE20</f>
        <v>29929</v>
      </c>
      <c r="O23" s="751">
        <f>OCTUBRE!$BE20</f>
        <v>44577</v>
      </c>
      <c r="P23" s="751">
        <f>NOVIEMBRE!$BE20</f>
        <v>17429</v>
      </c>
      <c r="Q23" s="752">
        <f>DICIEMBRE!$BE20</f>
        <v>195558</v>
      </c>
      <c r="R23" s="743">
        <f t="shared" si="3"/>
        <v>932296</v>
      </c>
      <c r="S23" s="808"/>
    </row>
    <row r="24" spans="1:252" s="807" customFormat="1" ht="15.75" x14ac:dyDescent="0.2">
      <c r="B24" s="324" t="s">
        <v>466</v>
      </c>
      <c r="C24" s="749">
        <f>MARZO!$BC21*$G$4+JUNIO!$BC21*$I$4+SEPTIEMBRE!$BC21*$K$4+DICIEMBRE!$BC21*$M$4</f>
        <v>149110140</v>
      </c>
      <c r="D24" s="1015">
        <f>MARZO!$BD21*$G$4+JUNIO!$BD21*$I$4+SEPTIEMBRE!$BD21*$K$4+DICIEMBRE!$BD21*$M$4</f>
        <v>142400183</v>
      </c>
      <c r="E24" s="1016"/>
      <c r="F24" s="750">
        <f>ENERO!$BE21</f>
        <v>0</v>
      </c>
      <c r="G24" s="751">
        <f>FEBRERO!$BE21</f>
        <v>0</v>
      </c>
      <c r="H24" s="751">
        <f>MARZO!$BE21</f>
        <v>0</v>
      </c>
      <c r="I24" s="751">
        <f>ABRIL!$BE21</f>
        <v>0</v>
      </c>
      <c r="J24" s="751">
        <f>MAYO!$BE21</f>
        <v>0</v>
      </c>
      <c r="K24" s="751">
        <f>JUNIO!$BE21</f>
        <v>0</v>
      </c>
      <c r="L24" s="751">
        <f>JULIO!$BE21</f>
        <v>0</v>
      </c>
      <c r="M24" s="751">
        <f>AGOSTO!$BE21</f>
        <v>0</v>
      </c>
      <c r="N24" s="751">
        <f>SEPTIEMBRE!$BE21</f>
        <v>142400183</v>
      </c>
      <c r="O24" s="751">
        <f>OCTUBRE!$BE21</f>
        <v>0</v>
      </c>
      <c r="P24" s="751">
        <f>NOVIEMBRE!$BE21</f>
        <v>0</v>
      </c>
      <c r="Q24" s="752">
        <f>DICIEMBRE!$BE21</f>
        <v>0</v>
      </c>
      <c r="R24" s="743">
        <f t="shared" si="3"/>
        <v>142400183</v>
      </c>
      <c r="S24" s="808"/>
    </row>
    <row r="25" spans="1:252" s="807" customFormat="1" ht="16.5" thickBot="1" x14ac:dyDescent="0.25">
      <c r="B25" s="328" t="s">
        <v>467</v>
      </c>
      <c r="C25" s="749">
        <f>MARZO!$BC22*$G$4+JUNIO!$BC22*$I$4+SEPTIEMBRE!$BC22*$K$4+DICIEMBRE!$BC22*$M$4</f>
        <v>165717175</v>
      </c>
      <c r="D25" s="1017">
        <f>MARZO!$BD22*$G$4+JUNIO!$BD22*$I$4+SEPTIEMBRE!$BD22*$K$4+DICIEMBRE!$BD22*$M$4</f>
        <v>375760389</v>
      </c>
      <c r="E25" s="1018"/>
      <c r="F25" s="731">
        <f>ENERO!$BE22</f>
        <v>76092547</v>
      </c>
      <c r="G25" s="732">
        <f>FEBRERO!$BE22</f>
        <v>24630125</v>
      </c>
      <c r="H25" s="732">
        <f>MARZO!$BE22</f>
        <v>79373019</v>
      </c>
      <c r="I25" s="732">
        <f>ABRIL!$BE22</f>
        <v>50420342</v>
      </c>
      <c r="J25" s="732">
        <f>MAYO!$BE22</f>
        <v>41319767</v>
      </c>
      <c r="K25" s="732">
        <f>JUNIO!$BE22</f>
        <v>36905180</v>
      </c>
      <c r="L25" s="732">
        <f>JULIO!$BE22</f>
        <v>36849405</v>
      </c>
      <c r="M25" s="732">
        <f>AGOSTO!$BE22</f>
        <v>10372735</v>
      </c>
      <c r="N25" s="732">
        <f>SEPTIEMBRE!$BE22</f>
        <v>19797269</v>
      </c>
      <c r="O25" s="732">
        <f>OCTUBRE!$BE22</f>
        <v>8397681</v>
      </c>
      <c r="P25" s="732">
        <f>NOVIEMBRE!$BE22</f>
        <v>1073431</v>
      </c>
      <c r="Q25" s="736">
        <f>DICIEMBRE!$BE22</f>
        <v>454343</v>
      </c>
      <c r="R25" s="745">
        <f t="shared" si="3"/>
        <v>385685844</v>
      </c>
      <c r="S25" s="808"/>
    </row>
    <row r="26" spans="1:252" s="807" customFormat="1" ht="22.5" thickBot="1" x14ac:dyDescent="0.25">
      <c r="B26" s="754" t="s">
        <v>606</v>
      </c>
      <c r="C26" s="755">
        <f>C8+C9+C23+C24+C25</f>
        <v>3839134335</v>
      </c>
      <c r="D26" s="1019">
        <f>D8+D9+D23+D24+D25</f>
        <v>3232319042</v>
      </c>
      <c r="E26" s="1020"/>
      <c r="F26" s="756">
        <f t="shared" ref="F26:R26" si="4">F9+F23+F24+F25</f>
        <v>256453856</v>
      </c>
      <c r="G26" s="757">
        <f t="shared" si="4"/>
        <v>265991529</v>
      </c>
      <c r="H26" s="757">
        <f t="shared" si="4"/>
        <v>340748652</v>
      </c>
      <c r="I26" s="757">
        <f t="shared" si="4"/>
        <v>266168717</v>
      </c>
      <c r="J26" s="757">
        <f t="shared" si="4"/>
        <v>269930957</v>
      </c>
      <c r="K26" s="757">
        <f t="shared" si="4"/>
        <v>248661077</v>
      </c>
      <c r="L26" s="757">
        <f t="shared" si="4"/>
        <v>286909284</v>
      </c>
      <c r="M26" s="757">
        <f t="shared" si="4"/>
        <v>300516316</v>
      </c>
      <c r="N26" s="757">
        <f t="shared" si="4"/>
        <v>424841775</v>
      </c>
      <c r="O26" s="757">
        <f t="shared" si="4"/>
        <v>288442693</v>
      </c>
      <c r="P26" s="757">
        <f t="shared" si="4"/>
        <v>301510464</v>
      </c>
      <c r="Q26" s="758">
        <f t="shared" si="4"/>
        <v>506292669</v>
      </c>
      <c r="R26" s="759">
        <f t="shared" si="4"/>
        <v>3756467989</v>
      </c>
      <c r="S26" s="808"/>
    </row>
    <row r="27" spans="1:252" s="807" customFormat="1" ht="15" customHeight="1" thickBot="1" x14ac:dyDescent="0.25">
      <c r="B27" s="329"/>
      <c r="C27" s="329"/>
      <c r="D27" s="330"/>
      <c r="E27" s="330"/>
      <c r="F27" s="330"/>
      <c r="G27" s="330"/>
      <c r="H27" s="330"/>
      <c r="I27" s="330"/>
      <c r="J27" s="330"/>
      <c r="K27" s="330"/>
      <c r="L27" s="330"/>
      <c r="M27" s="330"/>
      <c r="N27" s="330"/>
      <c r="O27" s="330"/>
      <c r="P27" s="330"/>
      <c r="Q27" s="330"/>
      <c r="R27" s="734"/>
      <c r="S27" s="808"/>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809"/>
      <c r="BP27" s="809"/>
      <c r="BQ27" s="809"/>
      <c r="BR27" s="809"/>
      <c r="BS27" s="809"/>
      <c r="BT27" s="809"/>
      <c r="BU27" s="809"/>
      <c r="BV27" s="809"/>
      <c r="BW27" s="809"/>
      <c r="BX27" s="809"/>
      <c r="BY27" s="809"/>
      <c r="BZ27" s="809"/>
      <c r="CA27" s="809"/>
      <c r="CB27" s="809"/>
      <c r="CC27" s="809"/>
      <c r="CD27" s="809"/>
      <c r="CE27" s="809"/>
      <c r="CF27" s="809"/>
      <c r="CG27" s="809"/>
      <c r="CH27" s="809"/>
      <c r="CI27" s="809"/>
      <c r="CJ27" s="809"/>
      <c r="CK27" s="809"/>
      <c r="CL27" s="809"/>
      <c r="CM27" s="809"/>
      <c r="CN27" s="809"/>
      <c r="CO27" s="809"/>
      <c r="CP27" s="809"/>
      <c r="CQ27" s="809"/>
      <c r="CR27" s="809"/>
      <c r="CS27" s="809"/>
      <c r="CT27" s="809"/>
      <c r="CU27" s="809"/>
      <c r="CV27" s="809"/>
      <c r="CW27" s="809"/>
      <c r="CX27" s="809"/>
      <c r="CY27" s="809"/>
      <c r="CZ27" s="809"/>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c r="ED27" s="809"/>
      <c r="EE27" s="809"/>
      <c r="EF27" s="809"/>
      <c r="EG27" s="809"/>
      <c r="EH27" s="809"/>
      <c r="EI27" s="809"/>
      <c r="EJ27" s="809"/>
      <c r="EK27" s="809"/>
      <c r="EL27" s="809"/>
      <c r="EM27" s="809"/>
      <c r="EN27" s="809"/>
      <c r="EO27" s="809"/>
      <c r="EP27" s="809"/>
      <c r="EQ27" s="809"/>
      <c r="ER27" s="809"/>
      <c r="ES27" s="809"/>
      <c r="ET27" s="809"/>
      <c r="EU27" s="809"/>
      <c r="EV27" s="809"/>
      <c r="EW27" s="809"/>
      <c r="EX27" s="809"/>
      <c r="EY27" s="809"/>
      <c r="EZ27" s="809"/>
      <c r="FA27" s="809"/>
      <c r="FB27" s="809"/>
      <c r="FC27" s="809"/>
      <c r="FD27" s="809"/>
      <c r="FE27" s="809"/>
      <c r="FF27" s="809"/>
      <c r="FG27" s="809"/>
      <c r="FH27" s="809"/>
      <c r="FI27" s="809"/>
      <c r="FJ27" s="809"/>
      <c r="FK27" s="809"/>
      <c r="FL27" s="809"/>
      <c r="FM27" s="809"/>
      <c r="FN27" s="809"/>
      <c r="FO27" s="809"/>
      <c r="FP27" s="809"/>
      <c r="FQ27" s="809"/>
      <c r="FR27" s="809"/>
      <c r="FS27" s="809"/>
      <c r="FT27" s="809"/>
      <c r="FU27" s="809"/>
      <c r="FV27" s="809"/>
      <c r="FW27" s="809"/>
      <c r="FX27" s="809"/>
      <c r="FY27" s="809"/>
      <c r="FZ27" s="809"/>
      <c r="GA27" s="809"/>
      <c r="GB27" s="809"/>
      <c r="GC27" s="809"/>
      <c r="GD27" s="809"/>
      <c r="GE27" s="809"/>
      <c r="GF27" s="809"/>
      <c r="GG27" s="809"/>
      <c r="GH27" s="809"/>
      <c r="GI27" s="809"/>
      <c r="GJ27" s="809"/>
      <c r="GK27" s="809"/>
      <c r="GL27" s="809"/>
      <c r="GM27" s="809"/>
      <c r="GN27" s="809"/>
      <c r="GO27" s="809"/>
      <c r="GP27" s="809"/>
      <c r="GQ27" s="809"/>
      <c r="GR27" s="809"/>
      <c r="GS27" s="809"/>
      <c r="GT27" s="809"/>
      <c r="GU27" s="809"/>
      <c r="GV27" s="809"/>
      <c r="GW27" s="809"/>
      <c r="GX27" s="809"/>
      <c r="GY27" s="809"/>
      <c r="GZ27" s="809"/>
      <c r="HA27" s="809"/>
      <c r="HB27" s="809"/>
      <c r="HC27" s="809"/>
      <c r="HD27" s="809"/>
      <c r="HE27" s="809"/>
      <c r="HF27" s="809"/>
      <c r="HG27" s="809"/>
      <c r="HH27" s="809"/>
      <c r="HI27" s="809"/>
      <c r="HJ27" s="809"/>
      <c r="HK27" s="809"/>
      <c r="HL27" s="809"/>
      <c r="HM27" s="809"/>
      <c r="HN27" s="809"/>
      <c r="HO27" s="809"/>
      <c r="HP27" s="809"/>
      <c r="HQ27" s="809"/>
      <c r="HR27" s="809"/>
      <c r="HS27" s="809"/>
      <c r="HT27" s="809"/>
      <c r="HU27" s="809"/>
      <c r="HV27" s="809"/>
      <c r="HW27" s="809"/>
      <c r="HX27" s="809"/>
      <c r="HY27" s="809"/>
      <c r="HZ27" s="809"/>
      <c r="IA27" s="809"/>
      <c r="IB27" s="809"/>
      <c r="IC27" s="809"/>
      <c r="ID27" s="809"/>
      <c r="IE27" s="809"/>
      <c r="IF27" s="809"/>
      <c r="IG27" s="809"/>
      <c r="IH27" s="809"/>
      <c r="II27" s="809"/>
      <c r="IJ27" s="809"/>
      <c r="IK27" s="809"/>
      <c r="IL27" s="809"/>
      <c r="IM27" s="809"/>
      <c r="IN27" s="809"/>
      <c r="IO27" s="809"/>
      <c r="IP27" s="809"/>
      <c r="IQ27" s="809"/>
      <c r="IR27" s="809"/>
    </row>
    <row r="28" spans="1:252" s="807" customFormat="1" ht="33.75" customHeight="1" thickBot="1" x14ac:dyDescent="0.25">
      <c r="A28" s="810"/>
      <c r="B28" s="1023" t="s">
        <v>34</v>
      </c>
      <c r="C28" s="1028" t="s">
        <v>595</v>
      </c>
      <c r="D28" s="1025" t="s">
        <v>563</v>
      </c>
      <c r="E28" s="1025" t="s">
        <v>564</v>
      </c>
      <c r="F28" s="781" t="s">
        <v>404</v>
      </c>
      <c r="G28" s="318"/>
      <c r="H28" s="318"/>
      <c r="I28" s="318"/>
      <c r="J28" s="318"/>
      <c r="K28" s="318"/>
      <c r="L28" s="318"/>
      <c r="M28" s="318"/>
      <c r="N28" s="318"/>
      <c r="O28" s="318"/>
      <c r="P28" s="318"/>
      <c r="Q28" s="318"/>
      <c r="R28" s="1025" t="s">
        <v>405</v>
      </c>
      <c r="S28" s="808"/>
    </row>
    <row r="29" spans="1:252" s="807" customFormat="1" ht="63.75" customHeight="1" thickBot="1" x14ac:dyDescent="0.25">
      <c r="A29" s="810"/>
      <c r="B29" s="1024"/>
      <c r="C29" s="1034"/>
      <c r="D29" s="1026"/>
      <c r="E29" s="1027"/>
      <c r="F29" s="783" t="str">
        <f t="shared" ref="F29:Q29" si="5">+F7</f>
        <v>ENERO</v>
      </c>
      <c r="G29" s="784" t="str">
        <f t="shared" si="5"/>
        <v>FEBRERO</v>
      </c>
      <c r="H29" s="784" t="str">
        <f t="shared" si="5"/>
        <v>MARZO</v>
      </c>
      <c r="I29" s="784" t="str">
        <f t="shared" si="5"/>
        <v>ABRIL</v>
      </c>
      <c r="J29" s="784" t="str">
        <f t="shared" si="5"/>
        <v>MAYO</v>
      </c>
      <c r="K29" s="784" t="str">
        <f t="shared" si="5"/>
        <v>JUNIO</v>
      </c>
      <c r="L29" s="784" t="str">
        <f t="shared" si="5"/>
        <v>JULIO</v>
      </c>
      <c r="M29" s="784" t="str">
        <f t="shared" si="5"/>
        <v>AGOSTO</v>
      </c>
      <c r="N29" s="784" t="str">
        <f t="shared" si="5"/>
        <v>SEPTIEMBRE</v>
      </c>
      <c r="O29" s="784" t="str">
        <f t="shared" si="5"/>
        <v>OCTUBRE</v>
      </c>
      <c r="P29" s="784" t="str">
        <f t="shared" si="5"/>
        <v>NOVIEMBRE</v>
      </c>
      <c r="Q29" s="785" t="str">
        <f t="shared" si="5"/>
        <v>DICIEMBRE</v>
      </c>
      <c r="R29" s="1026"/>
      <c r="S29" s="808"/>
    </row>
    <row r="30" spans="1:252" s="807" customFormat="1" ht="15" customHeight="1" x14ac:dyDescent="0.2">
      <c r="A30" s="810"/>
      <c r="B30" s="765" t="s">
        <v>56</v>
      </c>
      <c r="C30" s="739">
        <f>+C31+C39+C46</f>
        <v>3159128778</v>
      </c>
      <c r="D30" s="739">
        <f t="shared" ref="D30:R30" si="6">+D31+D39+D46</f>
        <v>2109266052</v>
      </c>
      <c r="E30" s="740">
        <f t="shared" si="6"/>
        <v>2108996050</v>
      </c>
      <c r="F30" s="737">
        <f t="shared" si="6"/>
        <v>131388154</v>
      </c>
      <c r="G30" s="738">
        <f t="shared" si="6"/>
        <v>261915627</v>
      </c>
      <c r="H30" s="738">
        <f t="shared" si="6"/>
        <v>211677713</v>
      </c>
      <c r="I30" s="738">
        <f t="shared" si="6"/>
        <v>196044777</v>
      </c>
      <c r="J30" s="738">
        <f t="shared" si="6"/>
        <v>255720862</v>
      </c>
      <c r="K30" s="738">
        <f t="shared" si="6"/>
        <v>150283934</v>
      </c>
      <c r="L30" s="738">
        <f t="shared" si="6"/>
        <v>322951287</v>
      </c>
      <c r="M30" s="738">
        <f t="shared" si="6"/>
        <v>218187691</v>
      </c>
      <c r="N30" s="738">
        <f t="shared" si="6"/>
        <v>215288210</v>
      </c>
      <c r="O30" s="738">
        <f t="shared" si="6"/>
        <v>239332088</v>
      </c>
      <c r="P30" s="738">
        <f t="shared" si="6"/>
        <v>234783639</v>
      </c>
      <c r="Q30" s="787">
        <f t="shared" si="6"/>
        <v>378139313</v>
      </c>
      <c r="R30" s="741">
        <f t="shared" si="6"/>
        <v>2815713295</v>
      </c>
      <c r="S30" s="808"/>
    </row>
    <row r="31" spans="1:252" s="807" customFormat="1" ht="15" customHeight="1" x14ac:dyDescent="0.2">
      <c r="A31" s="810"/>
      <c r="B31" s="766" t="s">
        <v>601</v>
      </c>
      <c r="C31" s="741">
        <f>+C32+C38</f>
        <v>2338916990</v>
      </c>
      <c r="D31" s="741">
        <f t="shared" ref="D31:R31" si="7">+D32+D38</f>
        <v>1549406908</v>
      </c>
      <c r="E31" s="741">
        <f t="shared" si="7"/>
        <v>1549406908</v>
      </c>
      <c r="F31" s="788">
        <f t="shared" si="7"/>
        <v>109094319</v>
      </c>
      <c r="G31" s="773">
        <f t="shared" si="7"/>
        <v>232798826</v>
      </c>
      <c r="H31" s="773">
        <f t="shared" si="7"/>
        <v>167917796</v>
      </c>
      <c r="I31" s="773">
        <f t="shared" si="7"/>
        <v>152914548</v>
      </c>
      <c r="J31" s="773">
        <f t="shared" si="7"/>
        <v>156722309</v>
      </c>
      <c r="K31" s="773">
        <f t="shared" si="7"/>
        <v>102716420</v>
      </c>
      <c r="L31" s="773">
        <f t="shared" si="7"/>
        <v>237871069</v>
      </c>
      <c r="M31" s="773">
        <f t="shared" si="7"/>
        <v>151142446</v>
      </c>
      <c r="N31" s="773">
        <f t="shared" si="7"/>
        <v>154607906</v>
      </c>
      <c r="O31" s="773">
        <f t="shared" si="7"/>
        <v>166170183</v>
      </c>
      <c r="P31" s="773">
        <f t="shared" si="7"/>
        <v>173862700</v>
      </c>
      <c r="Q31" s="789">
        <f t="shared" si="7"/>
        <v>309412905</v>
      </c>
      <c r="R31" s="741">
        <f t="shared" si="7"/>
        <v>2115231427</v>
      </c>
      <c r="S31" s="808"/>
    </row>
    <row r="32" spans="1:252" s="807" customFormat="1" ht="15" customHeight="1" x14ac:dyDescent="0.2">
      <c r="A32" s="810"/>
      <c r="B32" s="767" t="s">
        <v>468</v>
      </c>
      <c r="C32" s="774">
        <f>+C33+C37</f>
        <v>2162482035</v>
      </c>
      <c r="D32" s="774">
        <f t="shared" ref="D32:R32" si="8">+D33+D37</f>
        <v>1465375289</v>
      </c>
      <c r="E32" s="774">
        <f t="shared" si="8"/>
        <v>1465375289</v>
      </c>
      <c r="F32" s="763">
        <f t="shared" si="8"/>
        <v>108563769</v>
      </c>
      <c r="G32" s="764">
        <f t="shared" si="8"/>
        <v>231234926</v>
      </c>
      <c r="H32" s="764">
        <f t="shared" si="8"/>
        <v>155801701</v>
      </c>
      <c r="I32" s="764">
        <f t="shared" si="8"/>
        <v>144503527</v>
      </c>
      <c r="J32" s="764">
        <f t="shared" si="8"/>
        <v>145877444</v>
      </c>
      <c r="K32" s="764">
        <f t="shared" si="8"/>
        <v>92901832</v>
      </c>
      <c r="L32" s="764">
        <f t="shared" si="8"/>
        <v>227457380</v>
      </c>
      <c r="M32" s="764">
        <f t="shared" si="8"/>
        <v>140639877</v>
      </c>
      <c r="N32" s="764">
        <f t="shared" si="8"/>
        <v>146901877</v>
      </c>
      <c r="O32" s="764">
        <f t="shared" si="8"/>
        <v>155203470</v>
      </c>
      <c r="P32" s="764">
        <f t="shared" si="8"/>
        <v>161997305</v>
      </c>
      <c r="Q32" s="790">
        <f t="shared" si="8"/>
        <v>294804136</v>
      </c>
      <c r="R32" s="774">
        <f t="shared" si="8"/>
        <v>2005887244</v>
      </c>
      <c r="S32" s="808"/>
    </row>
    <row r="33" spans="1:19" s="807" customFormat="1" ht="15" customHeight="1" x14ac:dyDescent="0.2">
      <c r="A33" s="810"/>
      <c r="B33" s="767" t="s">
        <v>600</v>
      </c>
      <c r="C33" s="774">
        <f>SUM(C34:C36)</f>
        <v>1595742067</v>
      </c>
      <c r="D33" s="774">
        <f t="shared" ref="D33:R33" si="9">SUM(D34:D36)</f>
        <v>1090609855</v>
      </c>
      <c r="E33" s="774">
        <f t="shared" si="9"/>
        <v>1090609855</v>
      </c>
      <c r="F33" s="763">
        <f t="shared" si="9"/>
        <v>94220969</v>
      </c>
      <c r="G33" s="764">
        <f t="shared" si="9"/>
        <v>117746435</v>
      </c>
      <c r="H33" s="764">
        <f t="shared" si="9"/>
        <v>120033715</v>
      </c>
      <c r="I33" s="764">
        <f t="shared" si="9"/>
        <v>113110046</v>
      </c>
      <c r="J33" s="764">
        <f t="shared" si="9"/>
        <v>113139034</v>
      </c>
      <c r="K33" s="764">
        <f t="shared" si="9"/>
        <v>73631132</v>
      </c>
      <c r="L33" s="764">
        <f t="shared" si="9"/>
        <v>178444665</v>
      </c>
      <c r="M33" s="764">
        <f t="shared" si="9"/>
        <v>115978548</v>
      </c>
      <c r="N33" s="764">
        <f t="shared" si="9"/>
        <v>121789904</v>
      </c>
      <c r="O33" s="764">
        <f t="shared" si="9"/>
        <v>115940047</v>
      </c>
      <c r="P33" s="764">
        <f t="shared" si="9"/>
        <v>116435534</v>
      </c>
      <c r="Q33" s="790">
        <f t="shared" si="9"/>
        <v>214051333</v>
      </c>
      <c r="R33" s="774">
        <f t="shared" si="9"/>
        <v>1494521362</v>
      </c>
      <c r="S33" s="808"/>
    </row>
    <row r="34" spans="1:19" s="807" customFormat="1" ht="15" customHeight="1" x14ac:dyDescent="0.2">
      <c r="A34" s="810"/>
      <c r="B34" s="768" t="s">
        <v>470</v>
      </c>
      <c r="C34" s="775">
        <f>MARZO!$BN10*$G$4+JUNIO!$BN10*$I$4+SEPTIEMBRE!$BN10*$K$4+DICIEMBRE!$BN10*$M$4</f>
        <v>1269481968</v>
      </c>
      <c r="D34" s="775">
        <f>MARZO!$BO10*$G$4+JUNIO!$BO10*$I$4+SEPTIEMBRE!$BO10*$K$4+DICIEMBRE!$BO10*$M$4</f>
        <v>953979184</v>
      </c>
      <c r="E34" s="775">
        <f>MARZO!$BP10*$G$4+JUNIO!$BP10*$I$4+SEPTIEMBRE!$BP10*$K$4+DICIEMBRE!$BP10*$M$4</f>
        <v>953979184</v>
      </c>
      <c r="F34" s="331">
        <f>ENERO!$BQ10</f>
        <v>80389696</v>
      </c>
      <c r="G34" s="332">
        <f>FEBRERO!$BQ10</f>
        <v>106051436</v>
      </c>
      <c r="H34" s="332">
        <f>MARZO!$BQ10</f>
        <v>109026001</v>
      </c>
      <c r="I34" s="332">
        <f>ABRIL!$BQ10</f>
        <v>102295571</v>
      </c>
      <c r="J34" s="332">
        <f>MAYO!$BQ10</f>
        <v>102513668</v>
      </c>
      <c r="K34" s="332">
        <f>JUNIO!$BQ10</f>
        <v>61658022</v>
      </c>
      <c r="L34" s="332">
        <f>JULIO!$BQ10</f>
        <v>149634166</v>
      </c>
      <c r="M34" s="332">
        <f>AGOSTO!$BQ10</f>
        <v>106799123</v>
      </c>
      <c r="N34" s="332">
        <f>SEPTIEMBRE!$BQ10</f>
        <v>106502921</v>
      </c>
      <c r="O34" s="332">
        <f>OCTUBRE!$BQ10</f>
        <v>103877891</v>
      </c>
      <c r="P34" s="332">
        <f>NOVIEMBRE!$BQ10</f>
        <v>100719076</v>
      </c>
      <c r="Q34" s="791">
        <f>DICIEMBRE!$BQ10</f>
        <v>83257665</v>
      </c>
      <c r="R34" s="760">
        <f t="shared" ref="R34:R55" si="10">SUM(F34:Q34)</f>
        <v>1212725236</v>
      </c>
      <c r="S34" s="808"/>
    </row>
    <row r="35" spans="1:19" s="807" customFormat="1" ht="15" customHeight="1" x14ac:dyDescent="0.2">
      <c r="A35" s="810"/>
      <c r="B35" s="768" t="s">
        <v>471</v>
      </c>
      <c r="C35" s="775">
        <f>MARZO!$BN11*$G$4+JUNIO!$BN11*$I$4+SEPTIEMBRE!$BN11*$K$4+DICIEMBRE!$BN11*$M$4</f>
        <v>136976782</v>
      </c>
      <c r="D35" s="775">
        <f>MARZO!$BO11*$G$4+JUNIO!$BO11*$I$4+SEPTIEMBRE!$BO11*$K$4+DICIEMBRE!$BO11*$M$4</f>
        <v>79590165</v>
      </c>
      <c r="E35" s="775">
        <f>MARZO!$BP11*$G$4+JUNIO!$BP11*$I$4+SEPTIEMBRE!$BP11*$K$4+DICIEMBRE!$BP11*$M$4</f>
        <v>79590165</v>
      </c>
      <c r="F35" s="331">
        <f>ENERO!$BQ11</f>
        <v>8683127</v>
      </c>
      <c r="G35" s="332">
        <f>FEBRERO!$BQ11</f>
        <v>8847937</v>
      </c>
      <c r="H35" s="332">
        <f>MARZO!$BQ11</f>
        <v>6882688</v>
      </c>
      <c r="I35" s="332">
        <f>ABRIL!$BQ11</f>
        <v>8986224</v>
      </c>
      <c r="J35" s="332">
        <f>MAYO!$BQ11</f>
        <v>8072857</v>
      </c>
      <c r="K35" s="332">
        <f>JUNIO!$BQ11</f>
        <v>8797217</v>
      </c>
      <c r="L35" s="332">
        <f>JULIO!$BQ11</f>
        <v>10248154</v>
      </c>
      <c r="M35" s="332">
        <f>AGOSTO!$BQ11</f>
        <v>7237650</v>
      </c>
      <c r="N35" s="332">
        <f>SEPTIEMBRE!$BQ11</f>
        <v>10086531</v>
      </c>
      <c r="O35" s="332">
        <f>OCTUBRE!$BQ11</f>
        <v>7540368</v>
      </c>
      <c r="P35" s="332">
        <f>NOVIEMBRE!$BQ11</f>
        <v>8526643</v>
      </c>
      <c r="Q35" s="791">
        <f>DICIEMBRE!$BQ11</f>
        <v>29231500</v>
      </c>
      <c r="R35" s="760">
        <f t="shared" si="10"/>
        <v>123140896</v>
      </c>
      <c r="S35" s="808"/>
    </row>
    <row r="36" spans="1:19" s="807" customFormat="1" ht="24" x14ac:dyDescent="0.2">
      <c r="A36" s="810"/>
      <c r="B36" s="768" t="s">
        <v>472</v>
      </c>
      <c r="C36" s="775">
        <f>MARZO!$BN12*$G$4+JUNIO!$BN12*$I$4+SEPTIEMBRE!$BN12*$K$4+DICIEMBRE!$BN12*$M$4</f>
        <v>189283317</v>
      </c>
      <c r="D36" s="775">
        <f>MARZO!$BO12*$G$4+JUNIO!$BO12*$I$4+SEPTIEMBRE!$BO12*$K$4+DICIEMBRE!$BO12*$M$4</f>
        <v>57040506</v>
      </c>
      <c r="E36" s="775">
        <f>MARZO!$BP12*$G$4+JUNIO!$BP12*$I$4+SEPTIEMBRE!$BP12*$K$4+DICIEMBRE!$BP12*$M$4</f>
        <v>57040506</v>
      </c>
      <c r="F36" s="331">
        <f>ENERO!$BQ12</f>
        <v>5148146</v>
      </c>
      <c r="G36" s="332">
        <f>FEBRERO!$BQ12</f>
        <v>2847062</v>
      </c>
      <c r="H36" s="332">
        <f>MARZO!$BQ12</f>
        <v>4125026</v>
      </c>
      <c r="I36" s="332">
        <f>ABRIL!$BQ12</f>
        <v>1828251</v>
      </c>
      <c r="J36" s="332">
        <f>MAYO!$BQ12</f>
        <v>2552509</v>
      </c>
      <c r="K36" s="332">
        <f>JUNIO!$BQ12</f>
        <v>3175893</v>
      </c>
      <c r="L36" s="332">
        <f>JULIO!$BQ12</f>
        <v>18562345</v>
      </c>
      <c r="M36" s="332">
        <f>AGOSTO!$BQ12</f>
        <v>1941775</v>
      </c>
      <c r="N36" s="332">
        <f>SEPTIEMBRE!$BQ12</f>
        <v>5200452</v>
      </c>
      <c r="O36" s="332">
        <f>OCTUBRE!$BQ12</f>
        <v>4521788</v>
      </c>
      <c r="P36" s="332">
        <f>NOVIEMBRE!$BQ12</f>
        <v>7189815</v>
      </c>
      <c r="Q36" s="791">
        <f>DICIEMBRE!$BQ12</f>
        <v>101562168</v>
      </c>
      <c r="R36" s="760">
        <f t="shared" si="10"/>
        <v>158655230</v>
      </c>
      <c r="S36" s="808"/>
    </row>
    <row r="37" spans="1:19" s="807" customFormat="1" ht="22.5" customHeight="1" x14ac:dyDescent="0.2">
      <c r="A37" s="810"/>
      <c r="B37" s="767" t="s">
        <v>473</v>
      </c>
      <c r="C37" s="774">
        <f>MARZO!$BN13*$G$4+JUNIO!$BN13*$I$4+SEPTIEMBRE!$BN13*$K$4+DICIEMBRE!$BN13*$M$4</f>
        <v>566739968</v>
      </c>
      <c r="D37" s="775">
        <f>MARZO!$BO13*$G$4+JUNIO!$BO13*$I$4+SEPTIEMBRE!$BO13*$K$4+DICIEMBRE!$BO13*$M$4</f>
        <v>374765434</v>
      </c>
      <c r="E37" s="775">
        <f>MARZO!$BP13*$G$4+JUNIO!$BP13*$I$4+SEPTIEMBRE!$BP13*$K$4+DICIEMBRE!$BP13*$M$4</f>
        <v>374765434</v>
      </c>
      <c r="F37" s="331">
        <f>ENERO!$BQ13</f>
        <v>14342800</v>
      </c>
      <c r="G37" s="332">
        <f>FEBRERO!$BQ13</f>
        <v>113488491</v>
      </c>
      <c r="H37" s="332">
        <f>MARZO!$BQ13</f>
        <v>35767986</v>
      </c>
      <c r="I37" s="332">
        <f>ABRIL!$BQ13</f>
        <v>31393481</v>
      </c>
      <c r="J37" s="332">
        <f>MAYO!$BQ13</f>
        <v>32738410</v>
      </c>
      <c r="K37" s="332">
        <f>JUNIO!$BQ13</f>
        <v>19270700</v>
      </c>
      <c r="L37" s="332">
        <f>JULIO!$BQ13</f>
        <v>49012715</v>
      </c>
      <c r="M37" s="332">
        <f>AGOSTO!$BQ13</f>
        <v>24661329</v>
      </c>
      <c r="N37" s="332">
        <f>SEPTIEMBRE!$BQ13</f>
        <v>25111973</v>
      </c>
      <c r="O37" s="332">
        <f>OCTUBRE!$BQ13</f>
        <v>39263423</v>
      </c>
      <c r="P37" s="332">
        <f>NOVIEMBRE!$BQ13</f>
        <v>45561771</v>
      </c>
      <c r="Q37" s="791">
        <f>DICIEMBRE!$BQ13</f>
        <v>80752803</v>
      </c>
      <c r="R37" s="760">
        <f t="shared" si="10"/>
        <v>511365882</v>
      </c>
      <c r="S37" s="808"/>
    </row>
    <row r="38" spans="1:19" s="807" customFormat="1" ht="21.75" customHeight="1" x14ac:dyDescent="0.2">
      <c r="A38" s="810"/>
      <c r="B38" s="767" t="s">
        <v>469</v>
      </c>
      <c r="C38" s="774">
        <f>MARZO!$BN14*$G$4+JUNIO!$BN14*$I$4+SEPTIEMBRE!$BN14*$K$4+DICIEMBRE!$BN14*$M$4</f>
        <v>176434955</v>
      </c>
      <c r="D38" s="775">
        <f>MARZO!$BO14*$G$4+JUNIO!$BO14*$I$4+SEPTIEMBRE!$BO14*$K$4+DICIEMBRE!$BO14*$M$4</f>
        <v>84031619</v>
      </c>
      <c r="E38" s="775">
        <f>MARZO!$BP14*$G$4+JUNIO!$BP14*$I$4+SEPTIEMBRE!$BP14*$K$4+DICIEMBRE!$BP14*$M$4</f>
        <v>84031619</v>
      </c>
      <c r="F38" s="331">
        <f>ENERO!$BQ14</f>
        <v>530550</v>
      </c>
      <c r="G38" s="332">
        <f>FEBRERO!$BQ14</f>
        <v>1563900</v>
      </c>
      <c r="H38" s="332">
        <f>MARZO!$BQ14</f>
        <v>12116095</v>
      </c>
      <c r="I38" s="332">
        <f>ABRIL!$BQ14</f>
        <v>8411021</v>
      </c>
      <c r="J38" s="332">
        <f>MAYO!$BQ14</f>
        <v>10844865</v>
      </c>
      <c r="K38" s="332">
        <f>JUNIO!$BQ14</f>
        <v>9814588</v>
      </c>
      <c r="L38" s="332">
        <f>JULIO!$BQ14</f>
        <v>10413689</v>
      </c>
      <c r="M38" s="332">
        <f>AGOSTO!$BQ14</f>
        <v>10502569</v>
      </c>
      <c r="N38" s="332">
        <f>SEPTIEMBRE!$BQ14</f>
        <v>7706029</v>
      </c>
      <c r="O38" s="332">
        <f>OCTUBRE!$BQ14</f>
        <v>10966713</v>
      </c>
      <c r="P38" s="332">
        <f>NOVIEMBRE!$BQ14</f>
        <v>11865395</v>
      </c>
      <c r="Q38" s="791">
        <f>DICIEMBRE!$BQ14</f>
        <v>14608769</v>
      </c>
      <c r="R38" s="760">
        <f t="shared" si="10"/>
        <v>109344183</v>
      </c>
      <c r="S38" s="808"/>
    </row>
    <row r="39" spans="1:19" s="813" customFormat="1" ht="15" customHeight="1" x14ac:dyDescent="0.2">
      <c r="A39" s="811"/>
      <c r="B39" s="766" t="s">
        <v>602</v>
      </c>
      <c r="C39" s="774">
        <f>SUM(C40:C45)</f>
        <v>622444299</v>
      </c>
      <c r="D39" s="774">
        <f t="shared" ref="D39:I39" si="11">SUM(D40:D45)</f>
        <v>463028206</v>
      </c>
      <c r="E39" s="774">
        <f t="shared" si="11"/>
        <v>462758204</v>
      </c>
      <c r="F39" s="763">
        <f t="shared" si="11"/>
        <v>11170697</v>
      </c>
      <c r="G39" s="764">
        <f t="shared" si="11"/>
        <v>21497609</v>
      </c>
      <c r="H39" s="764">
        <f t="shared" si="11"/>
        <v>36425940</v>
      </c>
      <c r="I39" s="764">
        <f t="shared" si="11"/>
        <v>35940439</v>
      </c>
      <c r="J39" s="764">
        <f t="shared" ref="J39" si="12">SUM(J40:J45)</f>
        <v>79032448</v>
      </c>
      <c r="K39" s="764">
        <f t="shared" ref="K39" si="13">SUM(K40:K45)</f>
        <v>43272387</v>
      </c>
      <c r="L39" s="764">
        <f t="shared" ref="L39" si="14">SUM(L40:L45)</f>
        <v>66465771</v>
      </c>
      <c r="M39" s="764">
        <f t="shared" ref="M39" si="15">SUM(M40:M45)</f>
        <v>57869889</v>
      </c>
      <c r="N39" s="764">
        <f t="shared" ref="N39" si="16">SUM(N40:N45)</f>
        <v>52127556</v>
      </c>
      <c r="O39" s="764">
        <f t="shared" ref="O39" si="17">SUM(O40:O45)</f>
        <v>64755880</v>
      </c>
      <c r="P39" s="764">
        <f t="shared" ref="P39" si="18">SUM(P40:P45)</f>
        <v>53364746</v>
      </c>
      <c r="Q39" s="790">
        <f t="shared" ref="Q39" si="19">SUM(Q40:Q45)</f>
        <v>53351550</v>
      </c>
      <c r="R39" s="774">
        <f t="shared" ref="R39" si="20">SUM(R40:R45)</f>
        <v>575274912</v>
      </c>
      <c r="S39" s="812"/>
    </row>
    <row r="40" spans="1:19" s="807" customFormat="1" ht="15" customHeight="1" x14ac:dyDescent="0.2">
      <c r="A40" s="810"/>
      <c r="B40" s="768" t="s">
        <v>85</v>
      </c>
      <c r="C40" s="775">
        <f>MARZO!$BN16*$G$4+JUNIO!$BN16*$I$4+SEPTIEMBRE!$BN16*$K$4+DICIEMBRE!$BN16*$M$4</f>
        <v>157592049</v>
      </c>
      <c r="D40" s="775">
        <f>MARZO!$BO16*$G$4+JUNIO!$BO16*$I$4+SEPTIEMBRE!$BO16*$K$4+DICIEMBRE!$BO16*$M$4</f>
        <v>130691959</v>
      </c>
      <c r="E40" s="775">
        <f>MARZO!$BP16*$G$4+JUNIO!$BP16*$I$4+SEPTIEMBRE!$BP16*$K$4+DICIEMBRE!$BP16*$M$4</f>
        <v>130691957</v>
      </c>
      <c r="F40" s="331">
        <f>ENERO!$BQ16</f>
        <v>0</v>
      </c>
      <c r="G40" s="332">
        <f>FEBRERO!$BQ16</f>
        <v>6261941</v>
      </c>
      <c r="H40" s="332">
        <f>MARZO!$BQ16</f>
        <v>8690101</v>
      </c>
      <c r="I40" s="332">
        <f>ABRIL!$BQ16</f>
        <v>17815119</v>
      </c>
      <c r="J40" s="332">
        <f>MAYO!$BQ16</f>
        <v>43721688</v>
      </c>
      <c r="K40" s="332">
        <f>JUNIO!$BQ16</f>
        <v>4546338</v>
      </c>
      <c r="L40" s="332">
        <f>JULIO!$BQ16</f>
        <v>18172937</v>
      </c>
      <c r="M40" s="332">
        <f>AGOSTO!$BQ16</f>
        <v>10190487</v>
      </c>
      <c r="N40" s="332">
        <f>SEPTIEMBRE!$BQ16</f>
        <v>7271166</v>
      </c>
      <c r="O40" s="332">
        <f>OCTUBRE!$BQ16</f>
        <v>20668420</v>
      </c>
      <c r="P40" s="332">
        <f>NOVIEMBRE!$BQ16</f>
        <v>22141628</v>
      </c>
      <c r="Q40" s="791">
        <f>DICIEMBRE!$BQ16</f>
        <v>23431044</v>
      </c>
      <c r="R40" s="760">
        <f t="shared" si="10"/>
        <v>182910869</v>
      </c>
      <c r="S40" s="808"/>
    </row>
    <row r="41" spans="1:19" s="807" customFormat="1" ht="15" customHeight="1" x14ac:dyDescent="0.2">
      <c r="A41" s="810"/>
      <c r="B41" s="768" t="s">
        <v>479</v>
      </c>
      <c r="C41" s="775">
        <f>MARZO!$BN17*$G$4+JUNIO!$BN17*$I$4+SEPTIEMBRE!$BN17*$K$4+DICIEMBRE!$BN17*$M$4</f>
        <v>191636548</v>
      </c>
      <c r="D41" s="775">
        <f>MARZO!$BO17*$G$4+JUNIO!$BO17*$I$4+SEPTIEMBRE!$BO17*$K$4+DICIEMBRE!$BO17*$M$4</f>
        <v>135788250</v>
      </c>
      <c r="E41" s="775">
        <f>MARZO!$BP17*$G$4+JUNIO!$BP17*$I$4+SEPTIEMBRE!$BP17*$K$4+DICIEMBRE!$BP17*$M$4</f>
        <v>135788250</v>
      </c>
      <c r="F41" s="331">
        <f>ENERO!$BQ17</f>
        <v>7572632</v>
      </c>
      <c r="G41" s="332">
        <f>FEBRERO!$BQ17</f>
        <v>7952884</v>
      </c>
      <c r="H41" s="332">
        <f>MARZO!$BQ17</f>
        <v>12397059</v>
      </c>
      <c r="I41" s="332">
        <f>ABRIL!$BQ17</f>
        <v>10138233</v>
      </c>
      <c r="J41" s="332">
        <f>MAYO!$BQ17</f>
        <v>15159073</v>
      </c>
      <c r="K41" s="332">
        <f>JUNIO!$BQ17</f>
        <v>13710795</v>
      </c>
      <c r="L41" s="332">
        <f>JULIO!$BQ17</f>
        <v>20507187</v>
      </c>
      <c r="M41" s="332">
        <f>AGOSTO!$BQ17</f>
        <v>12777156</v>
      </c>
      <c r="N41" s="332">
        <f>SEPTIEMBRE!$BQ17</f>
        <v>12392753</v>
      </c>
      <c r="O41" s="332">
        <f>OCTUBRE!$BQ17</f>
        <v>20598969</v>
      </c>
      <c r="P41" s="332">
        <f>NOVIEMBRE!$BQ17</f>
        <v>17010033</v>
      </c>
      <c r="Q41" s="791">
        <f>DICIEMBRE!$BQ17</f>
        <v>24264281</v>
      </c>
      <c r="R41" s="760">
        <f t="shared" si="10"/>
        <v>174481055</v>
      </c>
      <c r="S41" s="808"/>
    </row>
    <row r="42" spans="1:19" s="807" customFormat="1" ht="15" customHeight="1" x14ac:dyDescent="0.2">
      <c r="A42" s="810"/>
      <c r="B42" s="768" t="s">
        <v>89</v>
      </c>
      <c r="C42" s="775">
        <f>MARZO!$BN18*$G$4+JUNIO!$BN18*$I$4+SEPTIEMBRE!$BN18*$K$4+DICIEMBRE!$BN18*$M$4</f>
        <v>222935242</v>
      </c>
      <c r="D42" s="775">
        <f>MARZO!$BO18*$G$4+JUNIO!$BO18*$I$4+SEPTIEMBRE!$BO18*$K$4+DICIEMBRE!$BO18*$M$4</f>
        <v>156687424</v>
      </c>
      <c r="E42" s="775">
        <f>MARZO!$BP18*$G$4+JUNIO!$BP18*$I$4+SEPTIEMBRE!$BP18*$K$4+DICIEMBRE!$BP18*$M$4</f>
        <v>156417424</v>
      </c>
      <c r="F42" s="331">
        <f>ENERO!$BQ18</f>
        <v>918000</v>
      </c>
      <c r="G42" s="332">
        <f>FEBRERO!$BQ18</f>
        <v>1489994</v>
      </c>
      <c r="H42" s="332">
        <f>MARZO!$BQ18</f>
        <v>11030103</v>
      </c>
      <c r="I42" s="332">
        <f>ABRIL!$BQ18</f>
        <v>5244066</v>
      </c>
      <c r="J42" s="332">
        <f>MAYO!$BQ18</f>
        <v>14169572</v>
      </c>
      <c r="K42" s="332">
        <f>JUNIO!$BQ18</f>
        <v>22396027</v>
      </c>
      <c r="L42" s="332">
        <f>JULIO!$BQ18</f>
        <v>21568259</v>
      </c>
      <c r="M42" s="332">
        <f>AGOSTO!$BQ18</f>
        <v>30500101</v>
      </c>
      <c r="N42" s="332">
        <f>SEPTIEMBRE!$BQ18</f>
        <v>28084408</v>
      </c>
      <c r="O42" s="332">
        <f>OCTUBRE!$BQ18</f>
        <v>18258620</v>
      </c>
      <c r="P42" s="332">
        <f>NOVIEMBRE!$BQ18</f>
        <v>9686767</v>
      </c>
      <c r="Q42" s="791">
        <f>DICIEMBRE!$BQ18</f>
        <v>2760656</v>
      </c>
      <c r="R42" s="760">
        <f t="shared" si="10"/>
        <v>166106573</v>
      </c>
      <c r="S42" s="808"/>
    </row>
    <row r="43" spans="1:19" s="807" customFormat="1" ht="15" customHeight="1" x14ac:dyDescent="0.2">
      <c r="A43" s="810"/>
      <c r="B43" s="768" t="s">
        <v>96</v>
      </c>
      <c r="C43" s="775">
        <f>MARZO!$BN19*$G$4+JUNIO!$BN19*$I$4+SEPTIEMBRE!$BN19*$K$4+DICIEMBRE!$BN19*$M$4</f>
        <v>49280460</v>
      </c>
      <c r="D43" s="775">
        <f>MARZO!$BO19*$G$4+JUNIO!$BO19*$I$4+SEPTIEMBRE!$BO19*$K$4+DICIEMBRE!$BO19*$M$4</f>
        <v>39860573</v>
      </c>
      <c r="E43" s="775">
        <f>MARZO!$BP19*$G$4+JUNIO!$BP19*$I$4+SEPTIEMBRE!$BP19*$K$4+DICIEMBRE!$BP19*$M$4</f>
        <v>39860573</v>
      </c>
      <c r="F43" s="331">
        <f>ENERO!$BQ19</f>
        <v>2680065</v>
      </c>
      <c r="G43" s="332">
        <f>FEBRERO!$BQ19</f>
        <v>5792790</v>
      </c>
      <c r="H43" s="332">
        <f>MARZO!$BQ19</f>
        <v>4308677</v>
      </c>
      <c r="I43" s="332">
        <f>ABRIL!$BQ19</f>
        <v>2743021</v>
      </c>
      <c r="J43" s="332">
        <f>MAYO!$BQ19</f>
        <v>5982115</v>
      </c>
      <c r="K43" s="332">
        <f>JUNIO!$BQ19</f>
        <v>2619227</v>
      </c>
      <c r="L43" s="332">
        <f>JULIO!$BQ19</f>
        <v>6217388</v>
      </c>
      <c r="M43" s="332">
        <f>AGOSTO!$BQ19</f>
        <v>4402145</v>
      </c>
      <c r="N43" s="332">
        <f>SEPTIEMBRE!$BQ19</f>
        <v>4379229</v>
      </c>
      <c r="O43" s="332">
        <f>OCTUBRE!$BQ19</f>
        <v>5022271</v>
      </c>
      <c r="P43" s="332">
        <f>NOVIEMBRE!$BQ19</f>
        <v>4526318</v>
      </c>
      <c r="Q43" s="791">
        <f>DICIEMBRE!$BQ19</f>
        <v>2895569</v>
      </c>
      <c r="R43" s="760">
        <f t="shared" si="10"/>
        <v>51568815</v>
      </c>
      <c r="S43" s="808"/>
    </row>
    <row r="44" spans="1:19" s="807" customFormat="1" ht="15" customHeight="1" x14ac:dyDescent="0.2">
      <c r="A44" s="810"/>
      <c r="B44" s="768" t="s">
        <v>474</v>
      </c>
      <c r="C44" s="775">
        <f>MARZO!$BN20*$G$4+JUNIO!$BN20*$I$4+SEPTIEMBRE!$BN20*$K$4+DICIEMBRE!$BN20*$M$4</f>
        <v>1000000</v>
      </c>
      <c r="D44" s="775">
        <f>MARZO!$BO20*$G$4+JUNIO!$BO20*$I$4+SEPTIEMBRE!$BO20*$K$4+DICIEMBRE!$BO20*$M$4</f>
        <v>0</v>
      </c>
      <c r="E44" s="775">
        <f>MARZO!$BP20*$G$4+JUNIO!$BP20*$I$4+SEPTIEMBRE!$BP20*$K$4+DICIEMBRE!$BP20*$M$4</f>
        <v>0</v>
      </c>
      <c r="F44" s="331">
        <f>ENERO!$BQ20</f>
        <v>0</v>
      </c>
      <c r="G44" s="332">
        <f>FEBRERO!$BQ20</f>
        <v>0</v>
      </c>
      <c r="H44" s="332">
        <f>MARZO!$BQ20</f>
        <v>0</v>
      </c>
      <c r="I44" s="332">
        <f>ABRIL!$BQ20</f>
        <v>0</v>
      </c>
      <c r="J44" s="332">
        <f>MAYO!$BQ20</f>
        <v>0</v>
      </c>
      <c r="K44" s="332">
        <f>JUNIO!$BQ20</f>
        <v>0</v>
      </c>
      <c r="L44" s="332">
        <f>JULIO!$BQ20</f>
        <v>0</v>
      </c>
      <c r="M44" s="332">
        <f>AGOSTO!$BQ20</f>
        <v>0</v>
      </c>
      <c r="N44" s="332">
        <f>SEPTIEMBRE!$BQ20</f>
        <v>0</v>
      </c>
      <c r="O44" s="332">
        <f>OCTUBRE!$BQ20</f>
        <v>207600</v>
      </c>
      <c r="P44" s="332">
        <f>NOVIEMBRE!$BQ20</f>
        <v>0</v>
      </c>
      <c r="Q44" s="791">
        <f>DICIEMBRE!$BQ20</f>
        <v>0</v>
      </c>
      <c r="R44" s="760">
        <f t="shared" si="10"/>
        <v>207600</v>
      </c>
      <c r="S44" s="808"/>
    </row>
    <row r="45" spans="1:19" s="807" customFormat="1" ht="15" customHeight="1" x14ac:dyDescent="0.2">
      <c r="A45" s="810"/>
      <c r="B45" s="768" t="s">
        <v>101</v>
      </c>
      <c r="C45" s="775">
        <f>MARZO!$BN21*$G$4+JUNIO!$BN21*$I$4+SEPTIEMBRE!$BN21*$K$4+DICIEMBRE!$BN21*$M$4</f>
        <v>0</v>
      </c>
      <c r="D45" s="775">
        <f>MARZO!$BO21*$G$4+JUNIO!$BO21*$I$4+SEPTIEMBRE!$BO21*$K$4+DICIEMBRE!$BO21*$M$4</f>
        <v>0</v>
      </c>
      <c r="E45" s="775">
        <f>MARZO!$BP21*$G$4+JUNIO!$BP21*$I$4+SEPTIEMBRE!$BP21*$K$4+DICIEMBRE!$BP21*$M$4</f>
        <v>0</v>
      </c>
      <c r="F45" s="331">
        <f>ENERO!$BQ21</f>
        <v>0</v>
      </c>
      <c r="G45" s="332">
        <f>FEBRERO!$BQ21</f>
        <v>0</v>
      </c>
      <c r="H45" s="332">
        <f>MARZO!$BQ21</f>
        <v>0</v>
      </c>
      <c r="I45" s="332">
        <f>ABRIL!$BQ21</f>
        <v>0</v>
      </c>
      <c r="J45" s="332">
        <f>MAYO!$BQ21</f>
        <v>0</v>
      </c>
      <c r="K45" s="332">
        <f>JUNIO!$BQ21</f>
        <v>0</v>
      </c>
      <c r="L45" s="332">
        <f>JULIO!$BQ21</f>
        <v>0</v>
      </c>
      <c r="M45" s="332">
        <f>AGOSTO!$BQ21</f>
        <v>0</v>
      </c>
      <c r="N45" s="332">
        <f>SEPTIEMBRE!$BQ21</f>
        <v>0</v>
      </c>
      <c r="O45" s="332">
        <f>OCTUBRE!$BQ21</f>
        <v>0</v>
      </c>
      <c r="P45" s="332">
        <f>NOVIEMBRE!$BQ21</f>
        <v>0</v>
      </c>
      <c r="Q45" s="791">
        <f>DICIEMBRE!$BQ21</f>
        <v>0</v>
      </c>
      <c r="R45" s="760">
        <f t="shared" si="10"/>
        <v>0</v>
      </c>
      <c r="S45" s="808"/>
    </row>
    <row r="46" spans="1:19" s="813" customFormat="1" ht="15" x14ac:dyDescent="0.2">
      <c r="A46" s="811"/>
      <c r="B46" s="766" t="s">
        <v>319</v>
      </c>
      <c r="C46" s="774">
        <f>SUM(C47:C48)</f>
        <v>197767489</v>
      </c>
      <c r="D46" s="774">
        <f t="shared" ref="D46:R46" si="21">SUM(D47:D48)</f>
        <v>96830938</v>
      </c>
      <c r="E46" s="774">
        <f t="shared" si="21"/>
        <v>96830938</v>
      </c>
      <c r="F46" s="763">
        <f t="shared" si="21"/>
        <v>11123138</v>
      </c>
      <c r="G46" s="764">
        <f t="shared" si="21"/>
        <v>7619192</v>
      </c>
      <c r="H46" s="764">
        <f t="shared" si="21"/>
        <v>7333977</v>
      </c>
      <c r="I46" s="764">
        <f t="shared" si="21"/>
        <v>7189790</v>
      </c>
      <c r="J46" s="764">
        <f t="shared" si="21"/>
        <v>19966105</v>
      </c>
      <c r="K46" s="764">
        <f t="shared" si="21"/>
        <v>4295127</v>
      </c>
      <c r="L46" s="764">
        <f t="shared" si="21"/>
        <v>18614447</v>
      </c>
      <c r="M46" s="764">
        <f t="shared" si="21"/>
        <v>9175356</v>
      </c>
      <c r="N46" s="764">
        <f t="shared" si="21"/>
        <v>8552748</v>
      </c>
      <c r="O46" s="764">
        <f t="shared" si="21"/>
        <v>8406025</v>
      </c>
      <c r="P46" s="764">
        <f t="shared" si="21"/>
        <v>7556193</v>
      </c>
      <c r="Q46" s="790">
        <f t="shared" si="21"/>
        <v>15374858</v>
      </c>
      <c r="R46" s="774">
        <f t="shared" si="21"/>
        <v>125206956</v>
      </c>
      <c r="S46" s="812"/>
    </row>
    <row r="47" spans="1:19" s="807" customFormat="1" ht="14.25" x14ac:dyDescent="0.2">
      <c r="A47" s="810"/>
      <c r="B47" s="768" t="s">
        <v>107</v>
      </c>
      <c r="C47" s="775">
        <f>MARZO!$BN23*$G$4+JUNIO!$BN23*$I$4+SEPTIEMBRE!$BN23*$K$4+DICIEMBRE!$BN23*$M$4</f>
        <v>104106866</v>
      </c>
      <c r="D47" s="775">
        <f>MARZO!$BO23*$G$4+JUNIO!$BO23*$I$4+SEPTIEMBRE!$BO23*$K$4+DICIEMBRE!$BO23*$M$4</f>
        <v>73635363</v>
      </c>
      <c r="E47" s="775">
        <f>MARZO!$BP23*$G$4+JUNIO!$BP23*$I$4+SEPTIEMBRE!$BP23*$K$4+DICIEMBRE!$BP23*$M$4</f>
        <v>73635363</v>
      </c>
      <c r="F47" s="331">
        <f>ENERO!$BQ23</f>
        <v>6123138</v>
      </c>
      <c r="G47" s="332">
        <f>FEBRERO!$BQ23</f>
        <v>7619192</v>
      </c>
      <c r="H47" s="332">
        <f>MARZO!$BQ23</f>
        <v>7333977</v>
      </c>
      <c r="I47" s="332">
        <f>ABRIL!$BQ23</f>
        <v>7189790</v>
      </c>
      <c r="J47" s="332">
        <f>MAYO!$BQ23</f>
        <v>7458862</v>
      </c>
      <c r="K47" s="332">
        <f>JUNIO!$BQ23</f>
        <v>4295127</v>
      </c>
      <c r="L47" s="332">
        <f>JULIO!$BQ23</f>
        <v>17566161</v>
      </c>
      <c r="M47" s="332">
        <f>AGOSTO!$BQ23</f>
        <v>7458862</v>
      </c>
      <c r="N47" s="332">
        <f>SEPTIEMBRE!$BQ23</f>
        <v>7458862</v>
      </c>
      <c r="O47" s="332">
        <f>OCTUBRE!$BQ23</f>
        <v>7458862</v>
      </c>
      <c r="P47" s="332">
        <f>NOVIEMBRE!$BQ23</f>
        <v>7458862</v>
      </c>
      <c r="Q47" s="791">
        <f>DICIEMBRE!$BQ23</f>
        <v>14402426</v>
      </c>
      <c r="R47" s="760">
        <f t="shared" si="10"/>
        <v>101824121</v>
      </c>
      <c r="S47" s="808"/>
    </row>
    <row r="48" spans="1:19" s="807" customFormat="1" ht="14.25" x14ac:dyDescent="0.2">
      <c r="A48" s="810"/>
      <c r="B48" s="768" t="s">
        <v>112</v>
      </c>
      <c r="C48" s="775">
        <f>MARZO!$BN24*$G$4+JUNIO!$BN24*$I$4+SEPTIEMBRE!$BN24*$K$4+DICIEMBRE!$BN24*$M$4</f>
        <v>93660623</v>
      </c>
      <c r="D48" s="775">
        <f>MARZO!$BO24*$G$4+JUNIO!$BO24*$I$4+SEPTIEMBRE!$BO24*$K$4+DICIEMBRE!$BO24*$M$4</f>
        <v>23195575</v>
      </c>
      <c r="E48" s="775">
        <f>MARZO!$BP24*$G$4+JUNIO!$BP24*$I$4+SEPTIEMBRE!$BP24*$K$4+DICIEMBRE!$BP24*$M$4</f>
        <v>23195575</v>
      </c>
      <c r="F48" s="331">
        <f>ENERO!$BQ24</f>
        <v>5000000</v>
      </c>
      <c r="G48" s="332">
        <f>FEBRERO!$BQ24</f>
        <v>0</v>
      </c>
      <c r="H48" s="332">
        <f>MARZO!$BQ24</f>
        <v>0</v>
      </c>
      <c r="I48" s="332">
        <f>ABRIL!$BQ24</f>
        <v>0</v>
      </c>
      <c r="J48" s="332">
        <f>MAYO!$BQ24</f>
        <v>12507243</v>
      </c>
      <c r="K48" s="332">
        <f>JUNIO!$BQ24</f>
        <v>0</v>
      </c>
      <c r="L48" s="332">
        <f>JULIO!$BQ24</f>
        <v>1048286</v>
      </c>
      <c r="M48" s="332">
        <f>AGOSTO!$BQ24</f>
        <v>1716494</v>
      </c>
      <c r="N48" s="332">
        <f>SEPTIEMBRE!$BQ24</f>
        <v>1093886</v>
      </c>
      <c r="O48" s="332">
        <f>OCTUBRE!$BQ24</f>
        <v>947163</v>
      </c>
      <c r="P48" s="332">
        <f>NOVIEMBRE!$BQ24</f>
        <v>97331</v>
      </c>
      <c r="Q48" s="791">
        <f>DICIEMBRE!$BQ24</f>
        <v>972432</v>
      </c>
      <c r="R48" s="760">
        <f t="shared" si="10"/>
        <v>23382835</v>
      </c>
      <c r="S48" s="808"/>
    </row>
    <row r="49" spans="1:19" s="813" customFormat="1" ht="30" x14ac:dyDescent="0.2">
      <c r="A49" s="811"/>
      <c r="B49" s="769" t="s">
        <v>603</v>
      </c>
      <c r="C49" s="774">
        <f>SUM(C50:C52)</f>
        <v>328675926</v>
      </c>
      <c r="D49" s="774">
        <f t="shared" ref="D49:R49" si="22">SUM(D50:D52)</f>
        <v>230157049</v>
      </c>
      <c r="E49" s="774">
        <f t="shared" si="22"/>
        <v>230129735</v>
      </c>
      <c r="F49" s="763">
        <f t="shared" si="22"/>
        <v>1063000</v>
      </c>
      <c r="G49" s="764">
        <f t="shared" si="22"/>
        <v>18000</v>
      </c>
      <c r="H49" s="764">
        <f t="shared" si="22"/>
        <v>4528098</v>
      </c>
      <c r="I49" s="764">
        <f t="shared" si="22"/>
        <v>18456499</v>
      </c>
      <c r="J49" s="764">
        <f t="shared" si="22"/>
        <v>18755287</v>
      </c>
      <c r="K49" s="764">
        <f t="shared" si="22"/>
        <v>18894588</v>
      </c>
      <c r="L49" s="764">
        <f t="shared" si="22"/>
        <v>24933887</v>
      </c>
      <c r="M49" s="764">
        <f t="shared" si="22"/>
        <v>23847531</v>
      </c>
      <c r="N49" s="764">
        <f t="shared" si="22"/>
        <v>24589623</v>
      </c>
      <c r="O49" s="764">
        <f t="shared" si="22"/>
        <v>30007115</v>
      </c>
      <c r="P49" s="764">
        <f t="shared" si="22"/>
        <v>32342282</v>
      </c>
      <c r="Q49" s="790">
        <f t="shared" si="22"/>
        <v>40722564</v>
      </c>
      <c r="R49" s="774">
        <f t="shared" si="22"/>
        <v>238158474</v>
      </c>
      <c r="S49" s="812"/>
    </row>
    <row r="50" spans="1:19" s="807" customFormat="1" ht="14.25" x14ac:dyDescent="0.2">
      <c r="A50" s="810"/>
      <c r="B50" s="768" t="s">
        <v>476</v>
      </c>
      <c r="C50" s="775">
        <f>MARZO!$BN26*$G$4+JUNIO!$BN26*$I$4+SEPTIEMBRE!$BN26*$K$4+DICIEMBRE!$BN26*$M$4</f>
        <v>203038050</v>
      </c>
      <c r="D50" s="775">
        <f>MARZO!$BO26*$G$4+JUNIO!$BO26*$I$4+SEPTIEMBRE!$BO26*$K$4+DICIEMBRE!$BO26*$M$4</f>
        <v>143440106</v>
      </c>
      <c r="E50" s="775">
        <f>MARZO!$BP26*$G$4+JUNIO!$BP26*$I$4+SEPTIEMBRE!$BP26*$K$4+DICIEMBRE!$BP26*$M$4</f>
        <v>143413097</v>
      </c>
      <c r="F50" s="331">
        <f>ENERO!$BQ26</f>
        <v>463000</v>
      </c>
      <c r="G50" s="332">
        <f>FEBRERO!$BQ26</f>
        <v>0</v>
      </c>
      <c r="H50" s="332">
        <f>MARZO!$BQ26</f>
        <v>190050</v>
      </c>
      <c r="I50" s="332">
        <f>ABRIL!$BQ26</f>
        <v>13486231</v>
      </c>
      <c r="J50" s="332">
        <f>MAYO!$BQ26</f>
        <v>12983720</v>
      </c>
      <c r="K50" s="332">
        <f>JUNIO!$BQ26</f>
        <v>10135870</v>
      </c>
      <c r="L50" s="332">
        <f>JULIO!$BQ26</f>
        <v>14009025</v>
      </c>
      <c r="M50" s="332">
        <f>AGOSTO!$BQ26</f>
        <v>14255884</v>
      </c>
      <c r="N50" s="332">
        <f>SEPTIEMBRE!$BQ26</f>
        <v>13681701</v>
      </c>
      <c r="O50" s="332">
        <f>OCTUBRE!$BQ26</f>
        <v>16694527</v>
      </c>
      <c r="P50" s="332">
        <f>NOVIEMBRE!$BQ26</f>
        <v>20514331</v>
      </c>
      <c r="Q50" s="791">
        <f>DICIEMBRE!$BQ26</f>
        <v>28881825</v>
      </c>
      <c r="R50" s="760">
        <f t="shared" si="10"/>
        <v>145296164</v>
      </c>
      <c r="S50" s="808"/>
    </row>
    <row r="51" spans="1:19" s="807" customFormat="1" ht="24" x14ac:dyDescent="0.2">
      <c r="A51" s="810"/>
      <c r="B51" s="768" t="s">
        <v>604</v>
      </c>
      <c r="C51" s="775">
        <f>MARZO!$BN27*$G$4+JUNIO!$BN27*$I$4+SEPTIEMBRE!$BN27*$K$4+DICIEMBRE!$BN27*$M$4</f>
        <v>0</v>
      </c>
      <c r="D51" s="775">
        <f>MARZO!$BO27*$G$4+JUNIO!$BO27*$I$4+SEPTIEMBRE!$BO27*$K$4+DICIEMBRE!$BO27*$M$4</f>
        <v>0</v>
      </c>
      <c r="E51" s="775">
        <f>MARZO!$BP27*$G$4+JUNIO!$BP27*$I$4+SEPTIEMBRE!$BP27*$K$4+DICIEMBRE!$BP27*$M$4</f>
        <v>0</v>
      </c>
      <c r="F51" s="331">
        <f>ENERO!$BQ27</f>
        <v>0</v>
      </c>
      <c r="G51" s="332">
        <f>FEBRERO!$BQ27</f>
        <v>0</v>
      </c>
      <c r="H51" s="332">
        <f>MARZO!$BQ27</f>
        <v>0</v>
      </c>
      <c r="I51" s="332">
        <f>ABRIL!$BQ27</f>
        <v>0</v>
      </c>
      <c r="J51" s="332">
        <f>MAYO!$BQ27</f>
        <v>0</v>
      </c>
      <c r="K51" s="332">
        <f>JUNIO!$BQ27</f>
        <v>0</v>
      </c>
      <c r="L51" s="332">
        <f>JULIO!$BQ27</f>
        <v>0</v>
      </c>
      <c r="M51" s="332">
        <f>AGOSTO!$BQ27</f>
        <v>0</v>
      </c>
      <c r="N51" s="332">
        <f>SEPTIEMBRE!$BQ27</f>
        <v>0</v>
      </c>
      <c r="O51" s="332">
        <f>OCTUBRE!$BQ27</f>
        <v>0</v>
      </c>
      <c r="P51" s="332">
        <f>NOVIEMBRE!$BQ27</f>
        <v>0</v>
      </c>
      <c r="Q51" s="791">
        <f>DICIEMBRE!$BQ27</f>
        <v>0</v>
      </c>
      <c r="R51" s="760">
        <f t="shared" si="10"/>
        <v>0</v>
      </c>
      <c r="S51" s="808"/>
    </row>
    <row r="52" spans="1:19" s="807" customFormat="1" ht="24" x14ac:dyDescent="0.2">
      <c r="A52" s="810"/>
      <c r="B52" s="768" t="s">
        <v>605</v>
      </c>
      <c r="C52" s="775">
        <f>MARZO!$BN28*$G$4+JUNIO!$BN28*$I$4+SEPTIEMBRE!$BN28*$K$4+DICIEMBRE!$BN28*$M$4</f>
        <v>125637876</v>
      </c>
      <c r="D52" s="775">
        <f>MARZO!$BO28*$G$4+JUNIO!$BO28*$I$4+SEPTIEMBRE!$BO28*$K$4+DICIEMBRE!$BO28*$M$4</f>
        <v>86716943</v>
      </c>
      <c r="E52" s="775">
        <f>MARZO!$BP28*$G$4+JUNIO!$BP28*$I$4+SEPTIEMBRE!$BP28*$K$4+DICIEMBRE!$BP28*$M$4</f>
        <v>86716638</v>
      </c>
      <c r="F52" s="331">
        <f>ENERO!$BQ28</f>
        <v>600000</v>
      </c>
      <c r="G52" s="332">
        <f>FEBRERO!$BQ28</f>
        <v>18000</v>
      </c>
      <c r="H52" s="332">
        <f>MARZO!$BQ28</f>
        <v>4338048</v>
      </c>
      <c r="I52" s="332">
        <f>ABRIL!$BQ28</f>
        <v>4970268</v>
      </c>
      <c r="J52" s="332">
        <f>MAYO!$BQ28</f>
        <v>5771567</v>
      </c>
      <c r="K52" s="332">
        <f>JUNIO!$BQ28</f>
        <v>8758718</v>
      </c>
      <c r="L52" s="332">
        <f>JULIO!$BQ28</f>
        <v>10924862</v>
      </c>
      <c r="M52" s="332">
        <f>AGOSTO!$BQ28</f>
        <v>9591647</v>
      </c>
      <c r="N52" s="332">
        <f>SEPTIEMBRE!$BQ28</f>
        <v>10907922</v>
      </c>
      <c r="O52" s="332">
        <f>OCTUBRE!$BQ28</f>
        <v>13312588</v>
      </c>
      <c r="P52" s="332">
        <f>NOVIEMBRE!$BQ28</f>
        <v>11827951</v>
      </c>
      <c r="Q52" s="791">
        <f>DICIEMBRE!$BQ28</f>
        <v>11840739</v>
      </c>
      <c r="R52" s="760">
        <f t="shared" si="10"/>
        <v>92862310</v>
      </c>
      <c r="S52" s="808"/>
    </row>
    <row r="53" spans="1:19" s="813" customFormat="1" ht="15" x14ac:dyDescent="0.2">
      <c r="A53" s="811"/>
      <c r="B53" s="769" t="s">
        <v>72</v>
      </c>
      <c r="C53" s="774">
        <f>MARZO!$BN29*$G$4+JUNIO!$BN29*$I$4+SEPTIEMBRE!$BN29*$K$4+DICIEMBRE!$BN29*$M$4</f>
        <v>205410140</v>
      </c>
      <c r="D53" s="774">
        <f>MARZO!$BO29*$G$4+JUNIO!$BO29*$I$4+SEPTIEMBRE!$BO29*$K$4+DICIEMBRE!$BO29*$M$4</f>
        <v>182141088</v>
      </c>
      <c r="E53" s="774">
        <f>MARZO!$BP29*$G$4+JUNIO!$BP29*$I$4+SEPTIEMBRE!$BP29*$K$4+DICIEMBRE!$BP29*$M$4</f>
        <v>182139859</v>
      </c>
      <c r="F53" s="331">
        <f>ENERO!$BQ29</f>
        <v>0</v>
      </c>
      <c r="G53" s="332">
        <f>FEBRERO!$BQ29</f>
        <v>0</v>
      </c>
      <c r="H53" s="332">
        <f>MARZO!$BQ29</f>
        <v>19019492</v>
      </c>
      <c r="I53" s="332">
        <f>ABRIL!$BQ29</f>
        <v>17309492</v>
      </c>
      <c r="J53" s="332">
        <f>MAYO!$BQ29</f>
        <v>18951492</v>
      </c>
      <c r="K53" s="332">
        <f>JUNIO!$BQ29</f>
        <v>17309492</v>
      </c>
      <c r="L53" s="332">
        <f>JULIO!$BQ29</f>
        <v>39231756</v>
      </c>
      <c r="M53" s="332">
        <f>AGOSTO!$BQ29</f>
        <v>2136487</v>
      </c>
      <c r="N53" s="332">
        <f>SEPTIEMBRE!$BQ29</f>
        <v>56847573</v>
      </c>
      <c r="O53" s="332">
        <f>OCTUBRE!$BQ29</f>
        <v>5559836</v>
      </c>
      <c r="P53" s="332">
        <f>NOVIEMBRE!$BQ29</f>
        <v>3958238</v>
      </c>
      <c r="Q53" s="791">
        <f>DICIEMBRE!$BQ29</f>
        <v>34923883</v>
      </c>
      <c r="R53" s="760">
        <f t="shared" si="10"/>
        <v>215247741</v>
      </c>
      <c r="S53" s="812"/>
    </row>
    <row r="54" spans="1:19" s="813" customFormat="1" ht="15" x14ac:dyDescent="0.2">
      <c r="A54" s="811"/>
      <c r="B54" s="769" t="s">
        <v>76</v>
      </c>
      <c r="C54" s="774">
        <f>MARZO!$BN30*$G$4+JUNIO!$BN30*$I$4+SEPTIEMBRE!$BN30*$K$4+DICIEMBRE!$BN30*$M$4</f>
        <v>0</v>
      </c>
      <c r="D54" s="774">
        <f>MARZO!$BO30*$G$4+JUNIO!$BO30*$I$4+SEPTIEMBRE!$BO30*$K$4+DICIEMBRE!$BO30*$M$4</f>
        <v>0</v>
      </c>
      <c r="E54" s="774">
        <f>MARZO!$BP30*$G$4+JUNIO!$BP30*$I$4+SEPTIEMBRE!$BP30*$K$4+DICIEMBRE!$BP30*$M$4</f>
        <v>0</v>
      </c>
      <c r="F54" s="331">
        <f>ENERO!$BQ30</f>
        <v>0</v>
      </c>
      <c r="G54" s="332">
        <f>FEBRERO!$BQ30</f>
        <v>0</v>
      </c>
      <c r="H54" s="332">
        <f>MARZO!$BQ30</f>
        <v>0</v>
      </c>
      <c r="I54" s="332">
        <f>ABRIL!$BQ30</f>
        <v>0</v>
      </c>
      <c r="J54" s="332">
        <f>MAYO!$BQ30</f>
        <v>0</v>
      </c>
      <c r="K54" s="332">
        <f>JUNIO!$BQ30</f>
        <v>0</v>
      </c>
      <c r="L54" s="332">
        <f>JULIO!$BQ30</f>
        <v>0</v>
      </c>
      <c r="M54" s="332">
        <f>AGOSTO!$BQ30</f>
        <v>0</v>
      </c>
      <c r="N54" s="332">
        <f>SEPTIEMBRE!$BQ30</f>
        <v>0</v>
      </c>
      <c r="O54" s="332">
        <f>OCTUBRE!$BQ30</f>
        <v>0</v>
      </c>
      <c r="P54" s="332">
        <f>NOVIEMBRE!$BQ30</f>
        <v>0</v>
      </c>
      <c r="Q54" s="791">
        <f>DICIEMBRE!$BQ30</f>
        <v>0</v>
      </c>
      <c r="R54" s="760">
        <f t="shared" si="10"/>
        <v>0</v>
      </c>
      <c r="S54" s="812"/>
    </row>
    <row r="55" spans="1:19" s="813" customFormat="1" ht="29.25" customHeight="1" thickBot="1" x14ac:dyDescent="0.25">
      <c r="A55" s="811"/>
      <c r="B55" s="770" t="s">
        <v>134</v>
      </c>
      <c r="C55" s="776">
        <f>MARZO!$BN31*$G$4+JUNIO!$BN31*$I$4+SEPTIEMBRE!$BN31*$K$4+DICIEMBRE!$BN31*$M$4</f>
        <v>145919491</v>
      </c>
      <c r="D55" s="776">
        <f>MARZO!$BO31*$G$4+JUNIO!$BO31*$I$4+SEPTIEMBRE!$BO31*$K$4+DICIEMBRE!$BO31*$M$4</f>
        <v>145453491</v>
      </c>
      <c r="E55" s="782">
        <f>MARZO!$BP31*$G$4+JUNIO!$BP31*$I$4+SEPTIEMBRE!$BP31*$K$4+DICIEMBRE!$BP31*$M$4</f>
        <v>145453491</v>
      </c>
      <c r="F55" s="761">
        <f>ENERO!$BQ31</f>
        <v>22670543</v>
      </c>
      <c r="G55" s="762">
        <f>FEBRERO!$BQ31</f>
        <v>82953483</v>
      </c>
      <c r="H55" s="762">
        <f>MARZO!$BQ31</f>
        <v>23350944</v>
      </c>
      <c r="I55" s="762">
        <f>ABRIL!$BQ31</f>
        <v>6085380</v>
      </c>
      <c r="J55" s="762">
        <f>MAYO!$BQ31</f>
        <v>4344205</v>
      </c>
      <c r="K55" s="762">
        <f>JUNIO!$BQ31</f>
        <v>0</v>
      </c>
      <c r="L55" s="762">
        <f>JULIO!$BQ31</f>
        <v>4752586</v>
      </c>
      <c r="M55" s="762">
        <f>AGOSTO!$BQ31</f>
        <v>367150</v>
      </c>
      <c r="N55" s="762">
        <f>SEPTIEMBRE!$BQ31</f>
        <v>0</v>
      </c>
      <c r="O55" s="762">
        <f>OCTUBRE!$BQ31</f>
        <v>0</v>
      </c>
      <c r="P55" s="762">
        <f>NOVIEMBRE!$BQ31</f>
        <v>0</v>
      </c>
      <c r="Q55" s="792">
        <f>DICIEMBRE!$BQ31</f>
        <v>0</v>
      </c>
      <c r="R55" s="786">
        <f t="shared" si="10"/>
        <v>144524291</v>
      </c>
      <c r="S55" s="812"/>
    </row>
    <row r="56" spans="1:19" s="807" customFormat="1" ht="22.5" thickBot="1" x14ac:dyDescent="0.25">
      <c r="A56" s="810"/>
      <c r="B56" s="771" t="s">
        <v>140</v>
      </c>
      <c r="C56" s="333">
        <f>C30+C49+C53+C54+C55</f>
        <v>3839134335</v>
      </c>
      <c r="D56" s="333">
        <f t="shared" ref="D56:R56" si="23">D30+D49+D53+D54+D55</f>
        <v>2667017680</v>
      </c>
      <c r="E56" s="778">
        <f t="shared" si="23"/>
        <v>2666719135</v>
      </c>
      <c r="F56" s="336">
        <f t="shared" si="23"/>
        <v>155121697</v>
      </c>
      <c r="G56" s="336">
        <f t="shared" si="23"/>
        <v>344887110</v>
      </c>
      <c r="H56" s="336">
        <f t="shared" si="23"/>
        <v>258576247</v>
      </c>
      <c r="I56" s="336">
        <f t="shared" si="23"/>
        <v>237896148</v>
      </c>
      <c r="J56" s="336">
        <f t="shared" si="23"/>
        <v>297771846</v>
      </c>
      <c r="K56" s="336">
        <f t="shared" si="23"/>
        <v>186488014</v>
      </c>
      <c r="L56" s="336">
        <f t="shared" si="23"/>
        <v>391869516</v>
      </c>
      <c r="M56" s="336">
        <f t="shared" si="23"/>
        <v>244538859</v>
      </c>
      <c r="N56" s="336">
        <f t="shared" si="23"/>
        <v>296725406</v>
      </c>
      <c r="O56" s="336">
        <f t="shared" si="23"/>
        <v>274899039</v>
      </c>
      <c r="P56" s="336">
        <f t="shared" si="23"/>
        <v>271084159</v>
      </c>
      <c r="Q56" s="336">
        <f t="shared" si="23"/>
        <v>453785760</v>
      </c>
      <c r="R56" s="779">
        <f t="shared" si="23"/>
        <v>3413643801</v>
      </c>
      <c r="S56" s="808"/>
    </row>
    <row r="57" spans="1:19" s="807" customFormat="1" ht="27.75" customHeight="1" thickBot="1" x14ac:dyDescent="0.25">
      <c r="A57" s="810"/>
      <c r="B57" s="772" t="s">
        <v>137</v>
      </c>
      <c r="C57" s="777">
        <f>C26-C56</f>
        <v>0</v>
      </c>
      <c r="D57" s="777">
        <f t="shared" ref="D57:R57" si="24">D26-D56</f>
        <v>565301362</v>
      </c>
      <c r="E57" s="334">
        <f t="shared" si="24"/>
        <v>-2666719135</v>
      </c>
      <c r="F57" s="335">
        <f t="shared" si="24"/>
        <v>101332159</v>
      </c>
      <c r="G57" s="335">
        <f t="shared" si="24"/>
        <v>-78895581</v>
      </c>
      <c r="H57" s="335">
        <f t="shared" si="24"/>
        <v>82172405</v>
      </c>
      <c r="I57" s="335">
        <f t="shared" si="24"/>
        <v>28272569</v>
      </c>
      <c r="J57" s="335">
        <f t="shared" si="24"/>
        <v>-27840889</v>
      </c>
      <c r="K57" s="335">
        <f t="shared" si="24"/>
        <v>62173063</v>
      </c>
      <c r="L57" s="335">
        <f t="shared" si="24"/>
        <v>-104960232</v>
      </c>
      <c r="M57" s="335">
        <f t="shared" si="24"/>
        <v>55977457</v>
      </c>
      <c r="N57" s="335">
        <f t="shared" si="24"/>
        <v>128116369</v>
      </c>
      <c r="O57" s="335">
        <f t="shared" si="24"/>
        <v>13543654</v>
      </c>
      <c r="P57" s="335">
        <f t="shared" si="24"/>
        <v>30426305</v>
      </c>
      <c r="Q57" s="335">
        <f t="shared" si="24"/>
        <v>52506909</v>
      </c>
      <c r="R57" s="780">
        <f t="shared" si="24"/>
        <v>342824188</v>
      </c>
      <c r="S57" s="808"/>
    </row>
    <row r="58" spans="1:19" ht="12.75" x14ac:dyDescent="0.2"/>
    <row r="59" spans="1:19" ht="12.75" x14ac:dyDescent="0.2"/>
    <row r="60" spans="1:19" ht="12.75" x14ac:dyDescent="0.2"/>
  </sheetData>
  <sheetProtection password="C637" sheet="1" objects="1" scenarios="1"/>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2:E22"/>
    <mergeCell ref="D23:E23"/>
    <mergeCell ref="D24:E24"/>
    <mergeCell ref="D25:E25"/>
    <mergeCell ref="D26:E26"/>
    <mergeCell ref="D13:E13"/>
    <mergeCell ref="D14:E14"/>
    <mergeCell ref="D15:E15"/>
    <mergeCell ref="D16:E16"/>
    <mergeCell ref="D17:E17"/>
    <mergeCell ref="D18:E18"/>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ageMargins left="0.74803149606299213" right="0.74803149606299213" top="0.98425196850393704" bottom="0.98425196850393704" header="0" footer="0"/>
  <pageSetup paperSize="14" scale="35"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
  <sheetViews>
    <sheetView zoomScale="80" zoomScaleNormal="80" workbookViewId="0">
      <selection activeCell="F4" sqref="F4"/>
    </sheetView>
  </sheetViews>
  <sheetFormatPr baseColWidth="10" defaultRowHeight="12.75" x14ac:dyDescent="0.2"/>
  <cols>
    <col min="1" max="1" width="13.7109375" customWidth="1"/>
    <col min="2" max="2" width="20.28515625" customWidth="1"/>
    <col min="3" max="3" width="18.7109375" customWidth="1"/>
    <col min="4" max="4" width="17" customWidth="1"/>
    <col min="5" max="5" width="22.140625" customWidth="1"/>
    <col min="6" max="6" width="19.42578125" customWidth="1"/>
    <col min="7" max="7" width="19.28515625" customWidth="1"/>
    <col min="8" max="8" width="16.5703125" customWidth="1"/>
    <col min="9" max="10" width="17.85546875" customWidth="1"/>
    <col min="11" max="11" width="4.42578125" customWidth="1"/>
  </cols>
  <sheetData>
    <row r="1" spans="1:12" ht="26.25" x14ac:dyDescent="0.2">
      <c r="A1" s="903" t="s">
        <v>586</v>
      </c>
      <c r="B1" s="903"/>
      <c r="C1" s="903"/>
      <c r="D1" s="903"/>
      <c r="E1" s="903"/>
      <c r="F1" s="903"/>
      <c r="G1" s="903"/>
      <c r="H1" s="903"/>
      <c r="I1" s="296"/>
      <c r="J1" s="296"/>
      <c r="K1" s="38"/>
      <c r="L1" s="297"/>
    </row>
    <row r="2" spans="1:12" ht="26.25" x14ac:dyDescent="0.2">
      <c r="A2" s="904" t="str">
        <f>+CONCATENATE(INSTRUCCIONES!B5," - ",INSTRUCCIONES!B3)</f>
        <v>ESE HOSPITAL SAN JUAN DE DIOS - CONCORDIA</v>
      </c>
      <c r="B2" s="904"/>
      <c r="C2" s="904"/>
      <c r="D2" s="904"/>
      <c r="E2" s="904"/>
      <c r="F2" s="904"/>
      <c r="G2" s="904"/>
      <c r="H2" s="904"/>
      <c r="I2" s="296"/>
      <c r="J2" s="296"/>
      <c r="K2" s="38"/>
      <c r="L2" s="297"/>
    </row>
    <row r="3" spans="1:12" ht="26.25" x14ac:dyDescent="0.2">
      <c r="A3" s="904"/>
      <c r="B3" s="904"/>
      <c r="C3" s="904"/>
      <c r="D3" s="904"/>
      <c r="E3" s="904"/>
      <c r="F3" s="904"/>
      <c r="G3" s="904"/>
      <c r="H3" s="904"/>
      <c r="I3" s="38"/>
      <c r="J3" s="298"/>
      <c r="K3" s="38"/>
      <c r="L3" s="297"/>
    </row>
    <row r="4" spans="1:12" ht="21.75" customHeight="1" x14ac:dyDescent="0.2">
      <c r="A4" s="300"/>
      <c r="B4" s="300"/>
      <c r="C4" s="300"/>
      <c r="D4" s="300"/>
      <c r="E4" s="300"/>
      <c r="F4" s="300"/>
      <c r="G4" s="300"/>
      <c r="H4" s="300"/>
      <c r="I4" s="38"/>
      <c r="J4" s="298"/>
      <c r="K4" s="38"/>
      <c r="L4" s="297"/>
    </row>
    <row r="5" spans="1:12" x14ac:dyDescent="0.2">
      <c r="A5" s="301"/>
      <c r="B5" s="302"/>
      <c r="C5" s="303"/>
      <c r="D5" s="303"/>
      <c r="E5" s="304"/>
      <c r="F5" s="304"/>
      <c r="G5" s="305"/>
      <c r="H5" s="301"/>
      <c r="I5" s="38"/>
      <c r="J5" s="298"/>
      <c r="K5" s="38"/>
      <c r="L5" s="297"/>
    </row>
    <row r="6" spans="1:12" s="299" customFormat="1" ht="42" customHeight="1" x14ac:dyDescent="0.2">
      <c r="A6" s="902" t="s">
        <v>38</v>
      </c>
      <c r="B6" s="905" t="s">
        <v>13</v>
      </c>
      <c r="C6" s="905"/>
      <c r="D6" s="906" t="s">
        <v>567</v>
      </c>
      <c r="E6" s="902" t="s">
        <v>53</v>
      </c>
      <c r="F6" s="902"/>
      <c r="G6" s="902" t="s">
        <v>555</v>
      </c>
      <c r="H6" s="902"/>
      <c r="I6" s="902" t="s">
        <v>568</v>
      </c>
      <c r="J6" s="902"/>
    </row>
    <row r="7" spans="1:12" s="299" customFormat="1" ht="25.5" x14ac:dyDescent="0.2">
      <c r="A7" s="902"/>
      <c r="B7" s="306" t="s">
        <v>30</v>
      </c>
      <c r="C7" s="306" t="s">
        <v>31</v>
      </c>
      <c r="D7" s="907"/>
      <c r="E7" s="307" t="s">
        <v>45</v>
      </c>
      <c r="F7" s="307" t="s">
        <v>24</v>
      </c>
      <c r="G7" s="307" t="s">
        <v>556</v>
      </c>
      <c r="H7" s="307" t="s">
        <v>557</v>
      </c>
      <c r="I7" s="337" t="s">
        <v>556</v>
      </c>
      <c r="J7" s="337" t="s">
        <v>557</v>
      </c>
    </row>
    <row r="8" spans="1:12" s="299" customFormat="1" x14ac:dyDescent="0.2">
      <c r="A8" s="902"/>
      <c r="B8" s="308" t="s">
        <v>27</v>
      </c>
      <c r="C8" s="308" t="s">
        <v>343</v>
      </c>
      <c r="D8" s="309" t="s">
        <v>353</v>
      </c>
      <c r="E8" s="310" t="s">
        <v>360</v>
      </c>
      <c r="F8" s="310" t="s">
        <v>382</v>
      </c>
      <c r="G8" s="309" t="s">
        <v>558</v>
      </c>
      <c r="H8" s="309" t="s">
        <v>559</v>
      </c>
      <c r="I8" s="309" t="s">
        <v>569</v>
      </c>
      <c r="J8" s="309" t="s">
        <v>570</v>
      </c>
    </row>
    <row r="9" spans="1:12" ht="39.75" customHeight="1" x14ac:dyDescent="0.2">
      <c r="A9" s="311">
        <f>+DICIEMBRE!$F$8</f>
        <v>4088834335</v>
      </c>
      <c r="B9" s="311">
        <f>+DICIEMBRE!$I$8</f>
        <v>4402340183</v>
      </c>
      <c r="C9" s="312">
        <f>+DICIEMBRE!$L$8</f>
        <v>3889542104</v>
      </c>
      <c r="D9" s="313">
        <f>+C9/B9</f>
        <v>0.88351693470209047</v>
      </c>
      <c r="E9" s="312">
        <f>+DICIEMBRE!$AA$8</f>
        <v>3690532649</v>
      </c>
      <c r="F9" s="312">
        <f>+DICIEMBRE!$AG$8</f>
        <v>3413643801</v>
      </c>
      <c r="G9" s="314">
        <f>+B9/E9</f>
        <v>1.1928739295106559</v>
      </c>
      <c r="H9" s="314">
        <f>+C9/E9</f>
        <v>1.0539243176872921</v>
      </c>
      <c r="I9" s="311">
        <f>+B9-E9</f>
        <v>711807534</v>
      </c>
      <c r="J9" s="311">
        <f>+C9-E9</f>
        <v>199009455</v>
      </c>
    </row>
    <row r="10" spans="1:12" x14ac:dyDescent="0.2">
      <c r="A10" s="315"/>
      <c r="B10" s="315"/>
      <c r="C10" s="315"/>
      <c r="D10" s="315"/>
      <c r="E10" s="315"/>
      <c r="F10" s="315"/>
      <c r="G10" s="315"/>
      <c r="H10" s="315"/>
    </row>
    <row r="11" spans="1:12" x14ac:dyDescent="0.2">
      <c r="A11" s="315"/>
      <c r="B11" s="315"/>
      <c r="C11" s="315"/>
      <c r="D11" s="315"/>
      <c r="E11" s="315"/>
      <c r="F11" s="315"/>
      <c r="G11" s="315"/>
      <c r="H11" s="315"/>
    </row>
    <row r="12" spans="1:12" x14ac:dyDescent="0.2">
      <c r="A12" s="315" t="s">
        <v>560</v>
      </c>
      <c r="B12" s="315"/>
      <c r="C12" s="315"/>
      <c r="D12" s="315"/>
      <c r="E12" s="315"/>
      <c r="F12" s="315"/>
      <c r="G12" s="315"/>
      <c r="H12" s="315"/>
    </row>
    <row r="13" spans="1:12" x14ac:dyDescent="0.2">
      <c r="A13" s="315"/>
      <c r="B13" s="315"/>
      <c r="C13" s="315"/>
      <c r="D13" s="315"/>
      <c r="E13" s="315"/>
      <c r="F13" s="315"/>
      <c r="G13" s="315"/>
      <c r="H13" s="315"/>
    </row>
    <row r="14" spans="1:12" x14ac:dyDescent="0.2">
      <c r="A14" s="315" t="s">
        <v>561</v>
      </c>
      <c r="B14" s="315"/>
      <c r="C14" s="315" t="s">
        <v>566</v>
      </c>
      <c r="D14" s="315"/>
      <c r="E14" s="315"/>
      <c r="F14" s="315"/>
      <c r="G14" s="315"/>
      <c r="H14" s="315"/>
    </row>
    <row r="15" spans="1:12" x14ac:dyDescent="0.2">
      <c r="A15" s="315" t="s">
        <v>572</v>
      </c>
      <c r="B15" s="315"/>
      <c r="C15" s="315" t="s">
        <v>565</v>
      </c>
      <c r="D15" s="315"/>
      <c r="E15" s="315"/>
      <c r="F15" s="315"/>
      <c r="G15" s="315"/>
      <c r="H15" s="315"/>
    </row>
    <row r="16" spans="1:12" x14ac:dyDescent="0.2">
      <c r="A16" s="315"/>
      <c r="B16" s="315"/>
      <c r="C16" s="315"/>
      <c r="D16" s="315"/>
      <c r="E16" s="315"/>
      <c r="F16" s="315"/>
      <c r="G16" s="315"/>
      <c r="H16" s="315"/>
    </row>
    <row r="17" spans="1:8" x14ac:dyDescent="0.2">
      <c r="A17" s="315"/>
      <c r="B17" s="315"/>
      <c r="C17" s="315"/>
      <c r="D17" s="315"/>
      <c r="E17" s="315"/>
      <c r="F17" s="315"/>
      <c r="G17" s="315"/>
      <c r="H17" s="315"/>
    </row>
  </sheetData>
  <sheetProtection password="C637" sheet="1" objects="1" scenarios="1"/>
  <mergeCells count="9">
    <mergeCell ref="I6:J6"/>
    <mergeCell ref="A1:H1"/>
    <mergeCell ref="A2:H2"/>
    <mergeCell ref="A3:H3"/>
    <mergeCell ref="A6:A8"/>
    <mergeCell ref="B6:C6"/>
    <mergeCell ref="D6:D7"/>
    <mergeCell ref="E6:F6"/>
    <mergeCell ref="G6:H6"/>
  </mergeCells>
  <pageMargins left="0.70866141732283472" right="0.70866141732283472" top="0.74803149606299213" bottom="0.74803149606299213" header="0.31496062992125984" footer="0.31496062992125984"/>
  <pageSetup paperSize="14" scale="80" orientation="landscape"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
  <sheetViews>
    <sheetView zoomScale="80" zoomScaleNormal="80" workbookViewId="0">
      <selection activeCell="E23" sqref="E23"/>
    </sheetView>
  </sheetViews>
  <sheetFormatPr baseColWidth="10" defaultColWidth="11.42578125" defaultRowHeight="12.75" x14ac:dyDescent="0.2"/>
  <cols>
    <col min="1" max="1" width="29.140625" style="290" bestFit="1" customWidth="1"/>
    <col min="2" max="2" width="27" style="290" customWidth="1"/>
    <col min="3" max="3" width="23.5703125" style="290" bestFit="1" customWidth="1"/>
    <col min="4" max="4" width="16.140625" style="290" bestFit="1" customWidth="1"/>
    <col min="5" max="6" width="27.42578125" style="290" bestFit="1" customWidth="1"/>
    <col min="7" max="8" width="16.140625" style="290" bestFit="1" customWidth="1"/>
    <col min="9" max="9" width="27.7109375" style="290" bestFit="1" customWidth="1"/>
    <col min="10" max="10" width="28.85546875" style="290" bestFit="1" customWidth="1"/>
    <col min="11" max="12" width="16.140625" style="290" bestFit="1" customWidth="1"/>
    <col min="13" max="13" width="27.7109375" style="290" bestFit="1" customWidth="1"/>
    <col min="14" max="14" width="28.85546875" style="290" bestFit="1" customWidth="1"/>
    <col min="15" max="16" width="16.140625" style="290" bestFit="1" customWidth="1"/>
    <col min="17" max="17" width="26.42578125" style="290" bestFit="1" customWidth="1"/>
    <col min="18" max="18" width="27" style="290" bestFit="1" customWidth="1"/>
    <col min="19" max="16384" width="11.42578125" style="290"/>
  </cols>
  <sheetData>
    <row r="1" spans="1:18" ht="26.25" x14ac:dyDescent="0.2">
      <c r="A1" s="914" t="s">
        <v>587</v>
      </c>
      <c r="B1" s="915"/>
      <c r="C1" s="915"/>
      <c r="D1" s="915"/>
      <c r="E1" s="915"/>
      <c r="F1" s="915"/>
      <c r="G1" s="915"/>
      <c r="H1" s="915"/>
      <c r="I1" s="915"/>
      <c r="J1" s="915"/>
      <c r="K1" s="915"/>
      <c r="L1" s="915"/>
      <c r="M1" s="915"/>
      <c r="N1" s="915"/>
      <c r="O1" s="915"/>
      <c r="P1" s="915"/>
      <c r="Q1" s="915"/>
      <c r="R1" s="915"/>
    </row>
    <row r="2" spans="1:18" ht="26.25" x14ac:dyDescent="0.2">
      <c r="A2" s="916" t="str">
        <f>+CONCATENATE(INSTRUCCIONES!B5," - ",INSTRUCCIONES!B3)</f>
        <v>ESE HOSPITAL SAN JUAN DE DIOS - CONCORDIA</v>
      </c>
      <c r="B2" s="917"/>
      <c r="C2" s="917"/>
      <c r="D2" s="917"/>
      <c r="E2" s="917"/>
      <c r="F2" s="917"/>
      <c r="G2" s="917"/>
      <c r="H2" s="917"/>
      <c r="I2" s="917"/>
      <c r="J2" s="917"/>
      <c r="K2" s="917"/>
      <c r="L2" s="917"/>
      <c r="M2" s="917"/>
      <c r="N2" s="917"/>
      <c r="O2" s="917"/>
      <c r="P2" s="917"/>
      <c r="Q2" s="917"/>
      <c r="R2" s="917"/>
    </row>
    <row r="3" spans="1:18" ht="26.25" x14ac:dyDescent="0.2">
      <c r="A3" s="916"/>
      <c r="B3" s="917"/>
      <c r="C3" s="917"/>
      <c r="D3" s="917"/>
      <c r="E3" s="917"/>
      <c r="F3" s="917"/>
      <c r="G3" s="917"/>
      <c r="H3" s="917"/>
      <c r="I3" s="917"/>
      <c r="J3" s="917"/>
      <c r="K3" s="917"/>
      <c r="L3" s="917"/>
      <c r="M3" s="917"/>
      <c r="N3" s="917"/>
      <c r="O3" s="917"/>
      <c r="P3" s="917"/>
      <c r="Q3" s="917"/>
      <c r="R3" s="917"/>
    </row>
    <row r="8" spans="1:18" ht="42" customHeight="1" x14ac:dyDescent="0.2">
      <c r="A8" s="918" t="s">
        <v>539</v>
      </c>
      <c r="B8" s="918" t="s">
        <v>540</v>
      </c>
      <c r="C8" s="908" t="s">
        <v>541</v>
      </c>
      <c r="D8" s="909"/>
      <c r="E8" s="910" t="s">
        <v>542</v>
      </c>
      <c r="F8" s="910" t="s">
        <v>550</v>
      </c>
      <c r="G8" s="908" t="s">
        <v>543</v>
      </c>
      <c r="H8" s="909"/>
      <c r="I8" s="912" t="s">
        <v>552</v>
      </c>
      <c r="J8" s="912" t="s">
        <v>553</v>
      </c>
      <c r="K8" s="908" t="s">
        <v>545</v>
      </c>
      <c r="L8" s="909"/>
      <c r="M8" s="912" t="s">
        <v>544</v>
      </c>
      <c r="N8" s="912" t="s">
        <v>551</v>
      </c>
      <c r="O8" s="908" t="s">
        <v>546</v>
      </c>
      <c r="P8" s="909"/>
      <c r="Q8" s="912" t="s">
        <v>547</v>
      </c>
      <c r="R8" s="912" t="s">
        <v>554</v>
      </c>
    </row>
    <row r="9" spans="1:18" ht="84" customHeight="1" x14ac:dyDescent="0.2">
      <c r="A9" s="918"/>
      <c r="B9" s="918"/>
      <c r="C9" s="291" t="s">
        <v>548</v>
      </c>
      <c r="D9" s="291" t="s">
        <v>549</v>
      </c>
      <c r="E9" s="911"/>
      <c r="F9" s="911"/>
      <c r="G9" s="291" t="s">
        <v>548</v>
      </c>
      <c r="H9" s="291" t="s">
        <v>549</v>
      </c>
      <c r="I9" s="913"/>
      <c r="J9" s="913"/>
      <c r="K9" s="291" t="s">
        <v>548</v>
      </c>
      <c r="L9" s="291" t="s">
        <v>549</v>
      </c>
      <c r="M9" s="913"/>
      <c r="N9" s="913"/>
      <c r="O9" s="291" t="s">
        <v>548</v>
      </c>
      <c r="P9" s="291" t="s">
        <v>549</v>
      </c>
      <c r="Q9" s="913"/>
      <c r="R9" s="913"/>
    </row>
    <row r="10" spans="1:18" s="294" customFormat="1" ht="38.25" customHeight="1" x14ac:dyDescent="0.2">
      <c r="A10" s="295">
        <f>+DICIEMBRE!F8-DICIEMBRE!F10-DICIEMBRE!F93-DICIEMBRE!F99-DICIEMBRE!F108-DICIEMBRE!F123+DICIEMBRE!F106+DICIEMBRE!F110+DICIEMBRE!F112-DICIEMBRE!F116</f>
        <v>3120181403</v>
      </c>
      <c r="B10" s="295">
        <f>+DICIEMBRE!I8-DICIEMBRE!I10-DICIEMBRE!I93-DICIEMBRE!I99-DICIEMBRE!I108-DICIEMBRE!I123+DICIEMBRE!I106+DICIEMBRE!I110+DICIEMBRE!I112-DICIEMBRE!I116</f>
        <v>3171254726</v>
      </c>
      <c r="C10" s="295">
        <f>+DICIEMBRE!X148</f>
        <v>102585858</v>
      </c>
      <c r="D10" s="295">
        <f>+DICIEMBRE!X156</f>
        <v>120349384</v>
      </c>
      <c r="E10" s="293">
        <f>+IF(A10=0," ",(C10+D10)/A10)</f>
        <v>7.1449448992180919E-2</v>
      </c>
      <c r="F10" s="293">
        <f>+IF(B10=0," ",(C10+D10)/B10)</f>
        <v>7.0298749631252419E-2</v>
      </c>
      <c r="G10" s="295">
        <f>+DICIEMBRE!AA148</f>
        <v>81476580</v>
      </c>
      <c r="H10" s="295">
        <f>+DICIEMBRE!AA156</f>
        <v>117268627</v>
      </c>
      <c r="I10" s="292">
        <f>+IF(A10=0," ",(G10+H10)/A10)</f>
        <v>6.3696683407224314E-2</v>
      </c>
      <c r="J10" s="292">
        <f>+IF(B10=0," ",(G10+H10)/B10)</f>
        <v>6.2670842985446132E-2</v>
      </c>
      <c r="K10" s="295">
        <f>+DICIEMBRE!AD148</f>
        <v>81476580</v>
      </c>
      <c r="L10" s="295">
        <f>+DICIEMBRE!AD156</f>
        <v>117268627</v>
      </c>
      <c r="M10" s="292">
        <f>+IF(A10=0," ",(K10+L10)/A10)</f>
        <v>6.3696683407224314E-2</v>
      </c>
      <c r="N10" s="292">
        <f>+IF(B10=0," ",(K10+L10)/B10)</f>
        <v>6.2670842985446132E-2</v>
      </c>
      <c r="O10" s="295">
        <f>+DICIEMBRE!AG148</f>
        <v>65790262</v>
      </c>
      <c r="P10" s="295">
        <f>+DICIEMBRE!AG156</f>
        <v>100316311</v>
      </c>
      <c r="Q10" s="292">
        <f>+IF(A10=0," ",(O10+P10)/A10)</f>
        <v>5.3236190960016437E-2</v>
      </c>
      <c r="R10" s="292">
        <f>+IF(B10=0," ",(O10+P10)/B10)</f>
        <v>5.2378817645315823E-2</v>
      </c>
    </row>
  </sheetData>
  <sheetProtection password="C637" sheet="1" objects="1" scenarios="1"/>
  <mergeCells count="17">
    <mergeCell ref="A1:R1"/>
    <mergeCell ref="A2:R2"/>
    <mergeCell ref="A3:R3"/>
    <mergeCell ref="G8:H8"/>
    <mergeCell ref="I8:I9"/>
    <mergeCell ref="K8:L8"/>
    <mergeCell ref="M8:M9"/>
    <mergeCell ref="O8:P8"/>
    <mergeCell ref="Q8:Q9"/>
    <mergeCell ref="N8:N9"/>
    <mergeCell ref="A8:A9"/>
    <mergeCell ref="B8:B9"/>
    <mergeCell ref="C8:D8"/>
    <mergeCell ref="E8:E9"/>
    <mergeCell ref="F8:F9"/>
    <mergeCell ref="J8:J9"/>
    <mergeCell ref="R8:R9"/>
  </mergeCells>
  <pageMargins left="0.74803149606299213" right="0.74803149606299213" top="0.98425196850393704" bottom="0.98425196850393704" header="0" footer="0"/>
  <pageSetup paperSize="14" scale="35"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59"/>
  <sheetViews>
    <sheetView showGridLines="0" topLeftCell="AB1" zoomScale="90" zoomScaleNormal="90" workbookViewId="0">
      <selection activeCell="AG8" sqref="AG8"/>
    </sheetView>
  </sheetViews>
  <sheetFormatPr baseColWidth="10" defaultColWidth="0" defaultRowHeight="12.75" x14ac:dyDescent="0.2"/>
  <cols>
    <col min="1" max="1" width="12.5703125" style="659" customWidth="1"/>
    <col min="2" max="2" width="58.71093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3.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3" style="339" customWidth="1"/>
    <col min="60" max="63" width="17.5703125" style="339" customWidth="1"/>
    <col min="64" max="64" width="11" style="339" customWidth="1"/>
    <col min="65" max="65" width="76" style="339" customWidth="1"/>
    <col min="66" max="66" width="19.7109375" style="339" customWidth="1"/>
    <col min="67" max="67" width="15.71093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338" t="str">
        <f>IF(SUM(C12:C15)=0,"",IF(SUM(H12:H15)=SUM(C12:C15),"OJO - EN LA DISPONIBILIDAD INICIAL, NI EL RECONOCIMIENTO NI EL RECAUDO PUEDEN SER IGUALES AL PRESUPUESTO INICIAL, haga click en la celda B8 para mas información",""))</f>
        <v/>
      </c>
      <c r="D1" s="338"/>
      <c r="E1" s="338"/>
      <c r="F1" s="338"/>
      <c r="G1" s="338"/>
      <c r="H1" s="338"/>
      <c r="I1" s="338"/>
      <c r="J1" s="338"/>
      <c r="K1" s="958" t="str">
        <f>+IF(L8&gt;I8,"OJO - SUS RECAUDOS SON SUPERIORES A SUS RECONOCIMIENTOS, VERIFIQUE","")</f>
        <v/>
      </c>
      <c r="L1" s="958"/>
      <c r="M1" s="958"/>
      <c r="N1" s="958"/>
      <c r="U1" s="925" t="str">
        <f>+IF(AA8&gt;X8,"OJO - HA COMPROMETIDO MUCHO MAS DE LO QUE TIENE PRESUPUESTADO","")</f>
        <v/>
      </c>
      <c r="V1" s="925"/>
      <c r="W1" s="925"/>
      <c r="X1" s="925"/>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43</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43</v>
      </c>
      <c r="AM2" s="953"/>
      <c r="AO2" s="3">
        <v>1</v>
      </c>
      <c r="AP2" s="349" t="s">
        <v>8</v>
      </c>
      <c r="AQ2" s="350"/>
      <c r="AR2" s="4"/>
      <c r="AS2" s="4"/>
      <c r="AT2" s="4"/>
      <c r="AU2" s="4"/>
      <c r="AV2" s="4"/>
      <c r="AW2" s="4"/>
      <c r="AX2" s="4"/>
      <c r="AY2" s="4"/>
      <c r="AZ2" s="5"/>
      <c r="BB2" s="952" t="s">
        <v>423</v>
      </c>
      <c r="BC2" s="969"/>
      <c r="BD2" s="69" t="s">
        <v>409</v>
      </c>
      <c r="BE2" s="347" t="str">
        <f>+L3</f>
        <v>ENERO</v>
      </c>
      <c r="BF2" s="340"/>
      <c r="BG2" s="952" t="s">
        <v>424</v>
      </c>
      <c r="BH2" s="969"/>
      <c r="BI2" s="969"/>
      <c r="BJ2" s="69" t="s">
        <v>409</v>
      </c>
      <c r="BK2" s="347" t="str">
        <f>+BE2</f>
        <v>ENERO</v>
      </c>
      <c r="BM2" s="952" t="s">
        <v>424</v>
      </c>
      <c r="BN2" s="969"/>
      <c r="BO2" s="969"/>
      <c r="BP2" s="69" t="s">
        <v>409</v>
      </c>
      <c r="BQ2" s="347" t="str">
        <f>+BK2</f>
        <v>ENERO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10</v>
      </c>
      <c r="M3" s="985"/>
      <c r="N3" s="965">
        <f>+INSTRUCCIONES!F3</f>
        <v>2014</v>
      </c>
      <c r="P3" s="954" t="s">
        <v>574</v>
      </c>
      <c r="Q3" s="972" t="s">
        <v>575</v>
      </c>
      <c r="R3" s="348"/>
      <c r="S3" s="64"/>
      <c r="T3" s="963" t="s">
        <v>11</v>
      </c>
      <c r="U3" s="353"/>
      <c r="V3" s="931" t="str">
        <f>+IF(F3="","","E.S.E. HOSPITAL:")</f>
        <v>E.S.E. HOSPITAL:</v>
      </c>
      <c r="W3" s="931"/>
      <c r="X3" s="931"/>
      <c r="Y3" s="933" t="str">
        <f>IF(INSTRUCCIONES!B5=0,"",INSTRUCCIONES!B5)</f>
        <v>ESE HOSPITAL SAN JUAN DE DIOS</v>
      </c>
      <c r="Z3" s="933"/>
      <c r="AA3" s="933"/>
      <c r="AB3" s="933"/>
      <c r="AC3" s="933"/>
      <c r="AD3" s="933"/>
      <c r="AE3" s="933"/>
      <c r="AF3" s="933"/>
      <c r="AG3" s="934"/>
      <c r="AH3" s="937" t="str">
        <f>+L3</f>
        <v>ENERO</v>
      </c>
      <c r="AI3" s="938"/>
      <c r="AJ3" s="929">
        <f>+N3</f>
        <v>2014</v>
      </c>
      <c r="AL3" s="954" t="s">
        <v>576</v>
      </c>
      <c r="AM3" s="972" t="s">
        <v>577</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66"/>
      <c r="BE4" s="65"/>
      <c r="BF4" s="8"/>
      <c r="BG4" s="362"/>
      <c r="BH4" s="363"/>
      <c r="BI4" s="66"/>
      <c r="BJ4" s="66"/>
      <c r="BK4" s="364"/>
      <c r="BL4" s="9"/>
      <c r="BM4" s="362"/>
      <c r="BN4" s="365"/>
      <c r="BO4" s="67"/>
      <c r="BP4" s="67"/>
      <c r="BQ4" s="366"/>
    </row>
    <row r="5" spans="1:69" ht="31.5" thickBot="1" x14ac:dyDescent="0.3">
      <c r="A5" s="945" t="s">
        <v>19</v>
      </c>
      <c r="B5" s="947" t="str">
        <f>IF(SUM(C8:N125)=0,"DESCRIPCIÓN",IF(I10&gt;0,"DESCRIPCIÓN",IF(MARZO!I10=0,"OJO - RECUERDE RECAUDAR LA DISPONIBLIDAD INICIAL EN ESTE TRIMESTRE, haga clik en H9 para ampliar la información","")))</f>
        <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375" t="str">
        <f>+CONCATENATE("ACUMULADO ",N3)</f>
        <v>ACUMULADO 2014</v>
      </c>
      <c r="BD5" s="376"/>
      <c r="BE5" s="377"/>
      <c r="BF5" s="378" t="s">
        <v>14</v>
      </c>
      <c r="BG5" s="980"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521</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521</v>
      </c>
      <c r="AM6" s="142" t="s">
        <v>502</v>
      </c>
      <c r="AO6" s="385"/>
      <c r="AP6" s="386"/>
      <c r="AQ6" s="387" t="s">
        <v>38</v>
      </c>
      <c r="AR6" s="387" t="str">
        <f>+L3</f>
        <v>ENERO</v>
      </c>
      <c r="AS6" s="387" t="str">
        <f>AR6</f>
        <v>ENERO</v>
      </c>
      <c r="AT6" s="387" t="str">
        <f>AR6</f>
        <v>ENERO</v>
      </c>
      <c r="AU6" s="387" t="s">
        <v>16</v>
      </c>
      <c r="AV6" s="387" t="s">
        <v>31</v>
      </c>
      <c r="AW6" s="387"/>
      <c r="AX6" s="387"/>
      <c r="AY6" s="387" t="s">
        <v>16</v>
      </c>
      <c r="AZ6" s="388" t="s">
        <v>31</v>
      </c>
      <c r="BB6" s="389"/>
      <c r="BC6" s="390" t="s">
        <v>47</v>
      </c>
      <c r="BD6" s="391" t="s">
        <v>48</v>
      </c>
      <c r="BE6" s="392" t="s">
        <v>49</v>
      </c>
      <c r="BF6" s="393"/>
      <c r="BG6" s="981"/>
      <c r="BH6" s="394" t="s">
        <v>47</v>
      </c>
      <c r="BI6" s="394" t="s">
        <v>50</v>
      </c>
      <c r="BJ6" s="394" t="s">
        <v>51</v>
      </c>
      <c r="BK6" s="395" t="s">
        <v>52</v>
      </c>
      <c r="BM6" s="976"/>
      <c r="BN6" s="396" t="s">
        <v>47</v>
      </c>
      <c r="BO6" s="394" t="s">
        <v>50</v>
      </c>
      <c r="BP6" s="394" t="s">
        <v>51</v>
      </c>
      <c r="BQ6" s="395" t="s">
        <v>52</v>
      </c>
    </row>
    <row r="7" spans="1:69" s="10" customFormat="1" ht="16.5" thickBot="1" x14ac:dyDescent="0.3">
      <c r="A7" s="397"/>
      <c r="B7" s="398"/>
      <c r="C7" s="230"/>
      <c r="D7" s="230"/>
      <c r="E7" s="230"/>
      <c r="F7" s="230"/>
      <c r="G7" s="230"/>
      <c r="H7" s="230"/>
      <c r="I7" s="230"/>
      <c r="J7" s="230"/>
      <c r="K7" s="230"/>
      <c r="L7" s="230"/>
      <c r="M7" s="230"/>
      <c r="N7" s="231"/>
      <c r="O7" s="348"/>
      <c r="P7" s="232"/>
      <c r="Q7" s="231"/>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29658909</v>
      </c>
      <c r="AS7" s="401">
        <f>L22</f>
        <v>5867783</v>
      </c>
      <c r="AT7" s="15"/>
      <c r="AU7" s="402">
        <f t="shared" ref="AU7:AU17" si="0">IF(AQ7=0," ",AR7/AQ7)</f>
        <v>0.12597318181200765</v>
      </c>
      <c r="AV7" s="402">
        <f t="shared" ref="AV7:AV17" si="1">IF(AQ7=0," ",AS7/AQ7)</f>
        <v>2.49228080066063E-2</v>
      </c>
      <c r="AW7" s="401">
        <f>I23/AO$2*12+I24</f>
        <v>291675785</v>
      </c>
      <c r="AX7" s="401">
        <f>L23/AO$2*12+L24</f>
        <v>6182273</v>
      </c>
      <c r="AY7" s="401">
        <f t="shared" ref="AY7:AY16" si="2">AW7-AQ7</f>
        <v>56237507</v>
      </c>
      <c r="AZ7" s="403">
        <f t="shared" ref="AZ7:AZ16" si="3">AX7-AQ7</f>
        <v>-229256005</v>
      </c>
      <c r="BB7" s="404" t="s">
        <v>55</v>
      </c>
      <c r="BC7" s="72">
        <f>F10</f>
        <v>100000000</v>
      </c>
      <c r="BD7" s="73">
        <f>I10</f>
        <v>0</v>
      </c>
      <c r="BE7" s="74">
        <f>K10</f>
        <v>0</v>
      </c>
      <c r="BF7" s="75"/>
      <c r="BG7" s="76" t="s">
        <v>56</v>
      </c>
      <c r="BH7" s="77">
        <f>+SUM(BH8:BH11)</f>
        <v>3109026189</v>
      </c>
      <c r="BI7" s="77">
        <f>+SUM(BI8:BI11)</f>
        <v>195799239</v>
      </c>
      <c r="BJ7" s="77">
        <f>+SUM(BJ8:BJ11)</f>
        <v>195652951</v>
      </c>
      <c r="BK7" s="78">
        <f>+SUM(BK8:BK11)</f>
        <v>131388154</v>
      </c>
      <c r="BM7" s="79" t="s">
        <v>56</v>
      </c>
      <c r="BN7" s="80">
        <f>BN8+BN15+BN22</f>
        <v>3109026189</v>
      </c>
      <c r="BO7" s="81">
        <f>BO8+BO15+BO22</f>
        <v>195799239</v>
      </c>
      <c r="BP7" s="81">
        <f>BP8+BP15+BP22</f>
        <v>195652951</v>
      </c>
      <c r="BQ7" s="82">
        <f>BQ8+BQ15+BQ22</f>
        <v>131388154</v>
      </c>
    </row>
    <row r="8" spans="1:69" s="10" customFormat="1" ht="24" thickBot="1" x14ac:dyDescent="0.3">
      <c r="A8" s="405">
        <v>1</v>
      </c>
      <c r="B8" s="406" t="s">
        <v>13</v>
      </c>
      <c r="C8" s="407">
        <f>C10+C17+C108</f>
        <v>3631501012</v>
      </c>
      <c r="D8" s="407">
        <f t="shared" ref="D8:N8" si="4">D10+D17+D108</f>
        <v>0</v>
      </c>
      <c r="E8" s="407">
        <f t="shared" si="4"/>
        <v>0</v>
      </c>
      <c r="F8" s="407">
        <f t="shared" si="4"/>
        <v>3631501012</v>
      </c>
      <c r="G8" s="407">
        <f t="shared" si="4"/>
        <v>0</v>
      </c>
      <c r="H8" s="407">
        <f t="shared" si="4"/>
        <v>317311877</v>
      </c>
      <c r="I8" s="407">
        <f t="shared" si="4"/>
        <v>317311877</v>
      </c>
      <c r="J8" s="407">
        <f t="shared" si="4"/>
        <v>0</v>
      </c>
      <c r="K8" s="407">
        <f t="shared" si="4"/>
        <v>256453856</v>
      </c>
      <c r="L8" s="407">
        <f t="shared" si="4"/>
        <v>256453856</v>
      </c>
      <c r="M8" s="407">
        <f t="shared" si="4"/>
        <v>3314189135</v>
      </c>
      <c r="N8" s="408">
        <f t="shared" si="4"/>
        <v>3375047156</v>
      </c>
      <c r="O8" s="409"/>
      <c r="P8" s="410">
        <f>P10+P17+P108</f>
        <v>0</v>
      </c>
      <c r="Q8" s="408">
        <f>Q10+Q17+Q108</f>
        <v>0</v>
      </c>
      <c r="S8" s="206"/>
      <c r="T8" s="411" t="s">
        <v>53</v>
      </c>
      <c r="U8" s="412">
        <f t="shared" ref="U8:AM8" si="5">U10+U207+U220+U232</f>
        <v>3631501012</v>
      </c>
      <c r="V8" s="413">
        <f t="shared" si="5"/>
        <v>0</v>
      </c>
      <c r="W8" s="413">
        <f t="shared" si="5"/>
        <v>0</v>
      </c>
      <c r="X8" s="414">
        <f t="shared" si="5"/>
        <v>3631501012</v>
      </c>
      <c r="Y8" s="415">
        <f t="shared" si="5"/>
        <v>0</v>
      </c>
      <c r="Z8" s="413">
        <f t="shared" si="5"/>
        <v>360710187</v>
      </c>
      <c r="AA8" s="414">
        <f t="shared" si="5"/>
        <v>360710187</v>
      </c>
      <c r="AB8" s="415">
        <f t="shared" si="5"/>
        <v>0</v>
      </c>
      <c r="AC8" s="413">
        <f t="shared" si="5"/>
        <v>360563899</v>
      </c>
      <c r="AD8" s="414">
        <f t="shared" si="5"/>
        <v>360563899</v>
      </c>
      <c r="AE8" s="415">
        <f t="shared" si="5"/>
        <v>0</v>
      </c>
      <c r="AF8" s="413">
        <f t="shared" si="5"/>
        <v>155121697</v>
      </c>
      <c r="AG8" s="414">
        <f t="shared" si="5"/>
        <v>155121697</v>
      </c>
      <c r="AH8" s="415">
        <f t="shared" si="5"/>
        <v>3270790825</v>
      </c>
      <c r="AI8" s="413">
        <f t="shared" si="5"/>
        <v>3270937113</v>
      </c>
      <c r="AJ8" s="416">
        <f t="shared" si="5"/>
        <v>3476379315</v>
      </c>
      <c r="AL8" s="417">
        <f t="shared" si="5"/>
        <v>0</v>
      </c>
      <c r="AM8" s="418">
        <f t="shared" si="5"/>
        <v>0</v>
      </c>
      <c r="AO8" s="23"/>
      <c r="AP8" s="13" t="s">
        <v>58</v>
      </c>
      <c r="AQ8" s="14">
        <f>F25</f>
        <v>2553198704</v>
      </c>
      <c r="AR8" s="14">
        <f>I25</f>
        <v>265904413</v>
      </c>
      <c r="AS8" s="14">
        <f>L25</f>
        <v>233399822</v>
      </c>
      <c r="AT8" s="15"/>
      <c r="AU8" s="419">
        <f t="shared" si="0"/>
        <v>0.10414560080397095</v>
      </c>
      <c r="AV8" s="419">
        <f t="shared" si="1"/>
        <v>9.1414671969847594E-2</v>
      </c>
      <c r="AW8" s="14">
        <f>I26/AO$2*12+I27</f>
        <v>2498587470</v>
      </c>
      <c r="AX8" s="14">
        <f>L26/AO$2*12+L27</f>
        <v>2108532378</v>
      </c>
      <c r="AY8" s="14">
        <f t="shared" si="2"/>
        <v>-54611234</v>
      </c>
      <c r="AZ8" s="420">
        <f t="shared" si="3"/>
        <v>-444666326</v>
      </c>
      <c r="BB8" s="167" t="s">
        <v>59</v>
      </c>
      <c r="BC8" s="83">
        <f>BC9+BC19</f>
        <v>3365478520</v>
      </c>
      <c r="BD8" s="84">
        <f>BD9+BD19</f>
        <v>241180533</v>
      </c>
      <c r="BE8" s="85">
        <f>BE9+BE19</f>
        <v>180322512</v>
      </c>
      <c r="BF8" s="75"/>
      <c r="BG8" s="86" t="s">
        <v>60</v>
      </c>
      <c r="BH8" s="87">
        <f>BN9+BN13</f>
        <v>2162482035</v>
      </c>
      <c r="BI8" s="87">
        <f>BO9+BO13</f>
        <v>148413246</v>
      </c>
      <c r="BJ8" s="87">
        <f>BP9+BP13</f>
        <v>148413246</v>
      </c>
      <c r="BK8" s="88">
        <f>BQ9+BQ13</f>
        <v>108563769</v>
      </c>
      <c r="BM8" s="89" t="s">
        <v>61</v>
      </c>
      <c r="BN8" s="90">
        <f>BN9+BN14+BN13</f>
        <v>2337716990</v>
      </c>
      <c r="BO8" s="87">
        <f>BO9+BO14+BO13</f>
        <v>150767473</v>
      </c>
      <c r="BP8" s="87">
        <f>BP9+BP14+BP13</f>
        <v>150766773</v>
      </c>
      <c r="BQ8" s="88">
        <f>BQ9+BQ14+BQ13</f>
        <v>109094319</v>
      </c>
    </row>
    <row r="9" spans="1:69" s="10" customFormat="1" ht="20.25" thickBot="1" x14ac:dyDescent="0.25">
      <c r="A9" s="421"/>
      <c r="B9" s="422"/>
      <c r="C9" s="423"/>
      <c r="D9" s="423"/>
      <c r="E9" s="423"/>
      <c r="F9" s="423"/>
      <c r="G9" s="423"/>
      <c r="H9" s="423"/>
      <c r="I9" s="423"/>
      <c r="J9" s="423"/>
      <c r="K9" s="423"/>
      <c r="L9" s="423"/>
      <c r="M9" s="423"/>
      <c r="N9" s="42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228176373</v>
      </c>
      <c r="AR9" s="14">
        <f>I28+I75</f>
        <v>6662612</v>
      </c>
      <c r="AS9" s="14">
        <f>L28+L75</f>
        <v>6662612</v>
      </c>
      <c r="AT9" s="15"/>
      <c r="AU9" s="429">
        <f t="shared" si="0"/>
        <v>2.9199394803247222E-2</v>
      </c>
      <c r="AV9" s="429">
        <f t="shared" si="1"/>
        <v>2.9199394803247222E-2</v>
      </c>
      <c r="AW9" s="430">
        <f>(I30+I33+I36+I76)/AO$2*12+I31+I34+I37+I38+I39+I40+I77</f>
        <v>79951344</v>
      </c>
      <c r="AX9" s="430">
        <f>(L30+L33+L36+L76)/AO$2*12+L31+L34+L37+L38+L39+L40+L77</f>
        <v>79951344</v>
      </c>
      <c r="AY9" s="430">
        <f t="shared" si="2"/>
        <v>-148225029</v>
      </c>
      <c r="AZ9" s="431">
        <f t="shared" si="3"/>
        <v>-148225029</v>
      </c>
      <c r="BB9" s="432" t="s">
        <v>456</v>
      </c>
      <c r="BC9" s="91">
        <f>BC10+BC18</f>
        <v>3250299491</v>
      </c>
      <c r="BD9" s="92">
        <f>BD10+BD18</f>
        <v>240080828</v>
      </c>
      <c r="BE9" s="93">
        <f>BE10+BE18</f>
        <v>179222807</v>
      </c>
      <c r="BF9" s="94"/>
      <c r="BG9" s="95" t="s">
        <v>64</v>
      </c>
      <c r="BH9" s="96">
        <f t="shared" ref="BH9:BK10" si="6">BN14</f>
        <v>175234955</v>
      </c>
      <c r="BI9" s="96">
        <f t="shared" si="6"/>
        <v>2354227</v>
      </c>
      <c r="BJ9" s="96">
        <f t="shared" si="6"/>
        <v>2353527</v>
      </c>
      <c r="BK9" s="97">
        <f t="shared" si="6"/>
        <v>530550</v>
      </c>
      <c r="BM9" s="164" t="s">
        <v>65</v>
      </c>
      <c r="BN9" s="98">
        <f>SUM(BN10:BN12)</f>
        <v>1595742067</v>
      </c>
      <c r="BO9" s="96">
        <f>SUM(BO10:BO12)</f>
        <v>113662146</v>
      </c>
      <c r="BP9" s="96">
        <f>SUM(BP10:BP12)</f>
        <v>113662146</v>
      </c>
      <c r="BQ9" s="97">
        <f>SUM(BQ10:BQ12)</f>
        <v>94220969</v>
      </c>
    </row>
    <row r="10" spans="1:69" s="10" customFormat="1" ht="19.5" x14ac:dyDescent="0.2">
      <c r="A10" s="433">
        <v>10</v>
      </c>
      <c r="B10" s="434" t="s">
        <v>57</v>
      </c>
      <c r="C10" s="215">
        <f t="shared" ref="C10:N10" si="7">SUM(C12:C15)</f>
        <v>100000000</v>
      </c>
      <c r="D10" s="435">
        <f t="shared" si="7"/>
        <v>0</v>
      </c>
      <c r="E10" s="435">
        <f t="shared" si="7"/>
        <v>0</v>
      </c>
      <c r="F10" s="216">
        <f t="shared" si="7"/>
        <v>100000000</v>
      </c>
      <c r="G10" s="436">
        <f t="shared" si="7"/>
        <v>0</v>
      </c>
      <c r="H10" s="435">
        <f t="shared" si="7"/>
        <v>0</v>
      </c>
      <c r="I10" s="437">
        <f t="shared" si="7"/>
        <v>0</v>
      </c>
      <c r="J10" s="215">
        <f t="shared" si="7"/>
        <v>0</v>
      </c>
      <c r="K10" s="435">
        <f t="shared" si="7"/>
        <v>0</v>
      </c>
      <c r="L10" s="216">
        <f t="shared" si="7"/>
        <v>0</v>
      </c>
      <c r="M10" s="215">
        <f t="shared" si="7"/>
        <v>100000000</v>
      </c>
      <c r="N10" s="216">
        <f t="shared" si="7"/>
        <v>100000000</v>
      </c>
      <c r="O10" s="15"/>
      <c r="P10" s="215">
        <f>SUM(P12:P15)</f>
        <v>0</v>
      </c>
      <c r="Q10" s="216">
        <f>SUM(Q12:Q15)</f>
        <v>0</v>
      </c>
      <c r="S10" s="438" t="s">
        <v>27</v>
      </c>
      <c r="T10" s="439" t="s">
        <v>56</v>
      </c>
      <c r="U10" s="440">
        <f t="shared" ref="U10:AJ10" si="8">U12+U110+U170+U193</f>
        <v>3509937912</v>
      </c>
      <c r="V10" s="441">
        <f t="shared" si="8"/>
        <v>0</v>
      </c>
      <c r="W10" s="441">
        <f t="shared" si="8"/>
        <v>0</v>
      </c>
      <c r="X10" s="442">
        <f t="shared" si="8"/>
        <v>3509937912</v>
      </c>
      <c r="Y10" s="443">
        <f t="shared" si="8"/>
        <v>0</v>
      </c>
      <c r="Z10" s="441">
        <f t="shared" si="8"/>
        <v>360710187</v>
      </c>
      <c r="AA10" s="442">
        <f t="shared" si="8"/>
        <v>360710187</v>
      </c>
      <c r="AB10" s="443">
        <f t="shared" si="8"/>
        <v>0</v>
      </c>
      <c r="AC10" s="441">
        <f t="shared" si="8"/>
        <v>360563899</v>
      </c>
      <c r="AD10" s="444">
        <f t="shared" si="8"/>
        <v>360563899</v>
      </c>
      <c r="AE10" s="443">
        <f t="shared" si="8"/>
        <v>0</v>
      </c>
      <c r="AF10" s="441">
        <f t="shared" si="8"/>
        <v>155121697</v>
      </c>
      <c r="AG10" s="442">
        <f t="shared" si="8"/>
        <v>155121697</v>
      </c>
      <c r="AH10" s="443">
        <f t="shared" si="8"/>
        <v>3149227725</v>
      </c>
      <c r="AI10" s="441">
        <f t="shared" si="8"/>
        <v>3149374013</v>
      </c>
      <c r="AJ10" s="442">
        <f t="shared" si="8"/>
        <v>3354816215</v>
      </c>
      <c r="AL10" s="445">
        <f>AL12+AL110+AL170+AL193</f>
        <v>0</v>
      </c>
      <c r="AM10" s="446">
        <f>AM12+AM110+AM170+AM193</f>
        <v>0</v>
      </c>
      <c r="AO10" s="428"/>
      <c r="AP10" s="13" t="s">
        <v>67</v>
      </c>
      <c r="AQ10" s="14">
        <f>F42</f>
        <v>125397398</v>
      </c>
      <c r="AR10" s="14">
        <f>I42</f>
        <v>0</v>
      </c>
      <c r="AS10" s="14">
        <f>L42</f>
        <v>0</v>
      </c>
      <c r="AT10" s="15"/>
      <c r="AU10" s="429">
        <f t="shared" si="0"/>
        <v>0</v>
      </c>
      <c r="AV10" s="429">
        <f t="shared" si="1"/>
        <v>0</v>
      </c>
      <c r="AW10" s="430">
        <f>I43/AO$2*12+I44</f>
        <v>0</v>
      </c>
      <c r="AX10" s="430">
        <f>L43/AO$2*12+L44</f>
        <v>0</v>
      </c>
      <c r="AY10" s="430">
        <f t="shared" si="2"/>
        <v>-125397398</v>
      </c>
      <c r="AZ10" s="431">
        <f t="shared" si="3"/>
        <v>-125397398</v>
      </c>
      <c r="BB10" s="447" t="s">
        <v>457</v>
      </c>
      <c r="BC10" s="91">
        <f>BC11+BC12+BC13+BC14+BC16+BC17+BC15</f>
        <v>3250299491</v>
      </c>
      <c r="BD10" s="92">
        <f>BD11+BD12+BD13+BD14+BD16+BD17+BD15</f>
        <v>240080828</v>
      </c>
      <c r="BE10" s="93">
        <f>BE11+BE12+BE13+BE14+BE16+BE17+BE15</f>
        <v>179222807</v>
      </c>
      <c r="BF10" s="94"/>
      <c r="BG10" s="86" t="s">
        <v>68</v>
      </c>
      <c r="BH10" s="99">
        <f t="shared" si="6"/>
        <v>555819964</v>
      </c>
      <c r="BI10" s="99">
        <f t="shared" si="6"/>
        <v>32375801</v>
      </c>
      <c r="BJ10" s="99">
        <f t="shared" si="6"/>
        <v>32375801</v>
      </c>
      <c r="BK10" s="100">
        <f t="shared" si="6"/>
        <v>11170697</v>
      </c>
      <c r="BM10" s="161" t="s">
        <v>470</v>
      </c>
      <c r="BN10" s="101">
        <f>X17+X66</f>
        <v>1269481968</v>
      </c>
      <c r="BO10" s="99">
        <f>AA17+AA66</f>
        <v>99830873</v>
      </c>
      <c r="BP10" s="99">
        <f>AD17+AD66</f>
        <v>99830873</v>
      </c>
      <c r="BQ10" s="100">
        <f>AF17+AF66</f>
        <v>80389696</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449"/>
      <c r="U11" s="193"/>
      <c r="V11" s="193"/>
      <c r="W11" s="193"/>
      <c r="X11" s="207"/>
      <c r="Y11" s="450"/>
      <c r="Z11" s="193"/>
      <c r="AA11" s="207"/>
      <c r="AB11" s="450"/>
      <c r="AC11" s="193"/>
      <c r="AD11" s="193"/>
      <c r="AE11" s="450"/>
      <c r="AF11" s="193"/>
      <c r="AG11" s="207"/>
      <c r="AH11" s="450"/>
      <c r="AI11" s="193"/>
      <c r="AJ11" s="207"/>
      <c r="AL11" s="451"/>
      <c r="AM11" s="452"/>
      <c r="AO11" s="453" t="s">
        <v>13</v>
      </c>
      <c r="AP11" s="717" t="s">
        <v>592</v>
      </c>
      <c r="AQ11" s="14">
        <f>F88</f>
        <v>0</v>
      </c>
      <c r="AR11" s="14">
        <f>I88</f>
        <v>0</v>
      </c>
      <c r="AS11" s="14">
        <f>L88</f>
        <v>0</v>
      </c>
      <c r="AT11" s="454">
        <f>AO2/12</f>
        <v>8.3333333333333329E-2</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202971187</v>
      </c>
      <c r="BE11" s="93">
        <f>K26</f>
        <v>170466596</v>
      </c>
      <c r="BF11" s="94"/>
      <c r="BG11" s="86" t="s">
        <v>69</v>
      </c>
      <c r="BH11" s="102">
        <f>BN22</f>
        <v>215489235</v>
      </c>
      <c r="BI11" s="102">
        <f>BO22</f>
        <v>12655965</v>
      </c>
      <c r="BJ11" s="102">
        <f>BP22</f>
        <v>12510377</v>
      </c>
      <c r="BK11" s="103">
        <f>BQ22</f>
        <v>11123138</v>
      </c>
      <c r="BM11" s="162" t="s">
        <v>471</v>
      </c>
      <c r="BN11" s="104">
        <f>X18+X67</f>
        <v>136976782</v>
      </c>
      <c r="BO11" s="102">
        <f>AA18+AA67</f>
        <v>8683127</v>
      </c>
      <c r="BP11" s="102">
        <f>AD18+AD67</f>
        <v>8683127</v>
      </c>
      <c r="BQ11" s="103">
        <f>AF18+AF67</f>
        <v>8683127</v>
      </c>
    </row>
    <row r="12" spans="1:69" s="10" customFormat="1" ht="25.5" x14ac:dyDescent="0.2">
      <c r="A12" s="203">
        <v>1001</v>
      </c>
      <c r="B12" s="251" t="str">
        <f>+CONCATENATE("Bienestar Social (Caja, Bancos, Inversiones Tempor.) a Dic-31-",INSTRUCCIONES!$F$3-1)</f>
        <v>Bienestar Social (Caja, Bancos, Inversiones Tempor.) a Dic-31-2013</v>
      </c>
      <c r="C12" s="455">
        <v>0</v>
      </c>
      <c r="D12" s="456">
        <f t="shared" ref="D12:E15" si="9">P12</f>
        <v>0</v>
      </c>
      <c r="E12" s="456">
        <f t="shared" si="9"/>
        <v>0</v>
      </c>
      <c r="F12" s="170">
        <f>SUM(C12:E12)</f>
        <v>0</v>
      </c>
      <c r="G12" s="283">
        <v>0</v>
      </c>
      <c r="H12" s="457">
        <v>0</v>
      </c>
      <c r="I12" s="170">
        <f>SUM(G12:H12)</f>
        <v>0</v>
      </c>
      <c r="J12" s="283">
        <v>0</v>
      </c>
      <c r="K12" s="154">
        <f>+H12</f>
        <v>0</v>
      </c>
      <c r="L12" s="170">
        <f>SUM(J12:K12)</f>
        <v>0</v>
      </c>
      <c r="M12" s="283">
        <f>F12-I12</f>
        <v>0</v>
      </c>
      <c r="N12" s="170">
        <f>F12-L12</f>
        <v>0</v>
      </c>
      <c r="O12" s="365"/>
      <c r="P12" s="455">
        <v>0</v>
      </c>
      <c r="Q12" s="458">
        <v>0</v>
      </c>
      <c r="S12" s="459">
        <v>1000000</v>
      </c>
      <c r="T12" s="460" t="s">
        <v>62</v>
      </c>
      <c r="U12" s="461">
        <f t="shared" ref="U12:AJ12" si="10">U14+U63</f>
        <v>2360005696</v>
      </c>
      <c r="V12" s="462">
        <f t="shared" si="10"/>
        <v>0</v>
      </c>
      <c r="W12" s="462">
        <f t="shared" si="10"/>
        <v>0</v>
      </c>
      <c r="X12" s="446">
        <f t="shared" si="10"/>
        <v>2360005696</v>
      </c>
      <c r="Y12" s="445">
        <f t="shared" si="10"/>
        <v>0</v>
      </c>
      <c r="Z12" s="462">
        <f t="shared" si="10"/>
        <v>191380289</v>
      </c>
      <c r="AA12" s="446">
        <f t="shared" si="10"/>
        <v>191380289</v>
      </c>
      <c r="AB12" s="445">
        <f t="shared" si="10"/>
        <v>0</v>
      </c>
      <c r="AC12" s="462">
        <f t="shared" si="10"/>
        <v>191379589</v>
      </c>
      <c r="AD12" s="463">
        <f t="shared" si="10"/>
        <v>191379589</v>
      </c>
      <c r="AE12" s="445">
        <f t="shared" si="10"/>
        <v>0</v>
      </c>
      <c r="AF12" s="462">
        <f t="shared" si="10"/>
        <v>131475796</v>
      </c>
      <c r="AG12" s="446">
        <f t="shared" si="10"/>
        <v>131475796</v>
      </c>
      <c r="AH12" s="445">
        <f t="shared" si="10"/>
        <v>2168625407</v>
      </c>
      <c r="AI12" s="462">
        <f t="shared" si="10"/>
        <v>2168626107</v>
      </c>
      <c r="AJ12" s="446">
        <f t="shared" si="10"/>
        <v>2228529900</v>
      </c>
      <c r="AK12" s="12"/>
      <c r="AL12" s="464">
        <f>AL14+AL63</f>
        <v>0</v>
      </c>
      <c r="AM12" s="465">
        <f>AM14+AM63</f>
        <v>0</v>
      </c>
      <c r="AO12" s="453"/>
      <c r="AP12" s="717"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23819716</v>
      </c>
      <c r="BE12" s="93">
        <f>K23</f>
        <v>28590</v>
      </c>
      <c r="BF12" s="94"/>
      <c r="BG12" s="466" t="s">
        <v>412</v>
      </c>
      <c r="BH12" s="102">
        <f>BN25</f>
        <v>310892858</v>
      </c>
      <c r="BI12" s="17">
        <f>BO25</f>
        <v>19457457</v>
      </c>
      <c r="BJ12" s="102">
        <f>BP25</f>
        <v>19457457</v>
      </c>
      <c r="BK12" s="103">
        <f>BQ25</f>
        <v>1063000</v>
      </c>
      <c r="BM12" s="163" t="s">
        <v>472</v>
      </c>
      <c r="BN12" s="104">
        <f>X16+X65-X81-X33-BN10-BN11</f>
        <v>189283317</v>
      </c>
      <c r="BO12" s="102">
        <f>AA16+AA65-AA81-AA33-BO10-BO11</f>
        <v>5148146</v>
      </c>
      <c r="BP12" s="102">
        <f>AD16+AD65-AD81-AD33-BP10-BP11</f>
        <v>5148146</v>
      </c>
      <c r="BQ12" s="103">
        <f>AF16+AF65-AF81-AF33-BQ10-BQ11</f>
        <v>5148146</v>
      </c>
    </row>
    <row r="13" spans="1:69" s="10" customFormat="1" ht="25.5" x14ac:dyDescent="0.25">
      <c r="A13" s="203">
        <v>1002</v>
      </c>
      <c r="B13" s="251" t="str">
        <f>+CONCATENATE("Fondo Vivienda (Caja, Bancos, Inversiones Tempor.) a Dic-31-",INSTRUCCIONES!$F$3-1)</f>
        <v>Fondo Vivienda (Caja, Bancos, Inversiones Tempor.) a Dic-31-2013</v>
      </c>
      <c r="C13" s="455">
        <v>0</v>
      </c>
      <c r="D13" s="456">
        <f t="shared" si="9"/>
        <v>0</v>
      </c>
      <c r="E13" s="456">
        <f t="shared" si="9"/>
        <v>0</v>
      </c>
      <c r="F13" s="170">
        <f>SUM(C13:E13)</f>
        <v>0</v>
      </c>
      <c r="G13" s="283">
        <v>0</v>
      </c>
      <c r="H13" s="457">
        <v>0</v>
      </c>
      <c r="I13" s="170">
        <f>SUM(G13:H13)</f>
        <v>0</v>
      </c>
      <c r="J13" s="283">
        <v>0</v>
      </c>
      <c r="K13" s="154">
        <f>+H13</f>
        <v>0</v>
      </c>
      <c r="L13" s="170">
        <f>SUM(J13:K13)</f>
        <v>0</v>
      </c>
      <c r="M13" s="283">
        <f>F13-I13</f>
        <v>0</v>
      </c>
      <c r="N13" s="170">
        <f>F13-L13</f>
        <v>0</v>
      </c>
      <c r="O13" s="467"/>
      <c r="P13" s="455">
        <v>0</v>
      </c>
      <c r="Q13" s="458">
        <v>0</v>
      </c>
      <c r="S13" s="448"/>
      <c r="T13" s="449"/>
      <c r="U13" s="193"/>
      <c r="V13" s="193"/>
      <c r="W13" s="193"/>
      <c r="X13" s="207"/>
      <c r="Y13" s="450"/>
      <c r="Z13" s="193"/>
      <c r="AA13" s="207"/>
      <c r="AB13" s="450"/>
      <c r="AC13" s="193"/>
      <c r="AD13" s="193"/>
      <c r="AE13" s="450"/>
      <c r="AF13" s="193"/>
      <c r="AG13" s="207"/>
      <c r="AH13" s="450"/>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716" t="s">
        <v>460</v>
      </c>
      <c r="BC13" s="105">
        <f>+F30+F33+F36</f>
        <v>227076373</v>
      </c>
      <c r="BD13" s="106">
        <f>+I30+I33+I36</f>
        <v>0</v>
      </c>
      <c r="BE13" s="107">
        <f>+K30+K33+K36</f>
        <v>0</v>
      </c>
      <c r="BF13" s="108"/>
      <c r="BG13" s="109" t="s">
        <v>72</v>
      </c>
      <c r="BH13" s="102">
        <f t="shared" ref="BH13:BK15" si="11">BN29</f>
        <v>120000000</v>
      </c>
      <c r="BI13" s="102">
        <f t="shared" si="11"/>
        <v>0</v>
      </c>
      <c r="BJ13" s="102">
        <f t="shared" si="11"/>
        <v>0</v>
      </c>
      <c r="BK13" s="103">
        <f t="shared" si="11"/>
        <v>0</v>
      </c>
      <c r="BM13" s="166" t="s">
        <v>473</v>
      </c>
      <c r="BN13" s="101">
        <f>X43-X55+X57-X61+X90-X102+X104-X108</f>
        <v>566739968</v>
      </c>
      <c r="BO13" s="99">
        <f>AA43-AA55+AA57-AA61+AA90-AA102+AA104-AA108</f>
        <v>34751100</v>
      </c>
      <c r="BP13" s="99">
        <f>AD43-AD55+AD57-AD61+AD90-AD102+AD104-AD108</f>
        <v>34751100</v>
      </c>
      <c r="BQ13" s="100">
        <f>AF43-AF55+AF57-AF61+AF90-AF102+AF104-AF108</f>
        <v>14342800</v>
      </c>
    </row>
    <row r="14" spans="1:69" s="10" customFormat="1" ht="15.75" x14ac:dyDescent="0.25">
      <c r="A14" s="203">
        <v>1003</v>
      </c>
      <c r="B14" s="251" t="str">
        <f>+CONCATENATE("Fondos Comunes y Especiales (Caja, Bancos, Invers. Tempor.) a Dic-31-",INSTRUCCIONES!$F$3-1)</f>
        <v>Fondos Comunes y Especiales (Caja, Bancos, Invers. Tempor.) a Dic-31-2013</v>
      </c>
      <c r="C14" s="455">
        <v>80000000</v>
      </c>
      <c r="D14" s="456">
        <f t="shared" si="9"/>
        <v>0</v>
      </c>
      <c r="E14" s="456">
        <f t="shared" si="9"/>
        <v>0</v>
      </c>
      <c r="F14" s="170">
        <f>SUM(C14:E14)</f>
        <v>80000000</v>
      </c>
      <c r="G14" s="283">
        <v>0</v>
      </c>
      <c r="H14" s="457">
        <v>0</v>
      </c>
      <c r="I14" s="170">
        <f>SUM(G14:H14)</f>
        <v>0</v>
      </c>
      <c r="J14" s="283">
        <v>0</v>
      </c>
      <c r="K14" s="154">
        <f>+H14</f>
        <v>0</v>
      </c>
      <c r="L14" s="170">
        <f>SUM(J14:K14)</f>
        <v>0</v>
      </c>
      <c r="M14" s="283">
        <f>F14-I14</f>
        <v>80000000</v>
      </c>
      <c r="N14" s="170">
        <f>F14-L14</f>
        <v>80000000</v>
      </c>
      <c r="O14" s="467"/>
      <c r="P14" s="455">
        <v>0</v>
      </c>
      <c r="Q14" s="458">
        <v>0</v>
      </c>
      <c r="S14" s="469">
        <v>1010000</v>
      </c>
      <c r="T14" s="470" t="s">
        <v>66</v>
      </c>
      <c r="U14" s="157">
        <f t="shared" ref="U14:AJ14" si="12">U16+U35+U43+U57</f>
        <v>703883287</v>
      </c>
      <c r="V14" s="144">
        <f t="shared" si="12"/>
        <v>0</v>
      </c>
      <c r="W14" s="144">
        <f t="shared" si="12"/>
        <v>0</v>
      </c>
      <c r="X14" s="153">
        <f t="shared" si="12"/>
        <v>703883287</v>
      </c>
      <c r="Y14" s="151">
        <f t="shared" si="12"/>
        <v>0</v>
      </c>
      <c r="Z14" s="144">
        <f t="shared" si="12"/>
        <v>45389334</v>
      </c>
      <c r="AA14" s="153">
        <f t="shared" si="12"/>
        <v>45389334</v>
      </c>
      <c r="AB14" s="151">
        <f t="shared" si="12"/>
        <v>0</v>
      </c>
      <c r="AC14" s="144">
        <f t="shared" si="12"/>
        <v>45389334</v>
      </c>
      <c r="AD14" s="152">
        <f t="shared" si="12"/>
        <v>45389334</v>
      </c>
      <c r="AE14" s="151">
        <f t="shared" si="12"/>
        <v>0</v>
      </c>
      <c r="AF14" s="144">
        <f t="shared" si="12"/>
        <v>29966197</v>
      </c>
      <c r="AG14" s="153">
        <f t="shared" si="12"/>
        <v>29966197</v>
      </c>
      <c r="AH14" s="151">
        <f t="shared" si="12"/>
        <v>658493953</v>
      </c>
      <c r="AI14" s="144">
        <f t="shared" si="12"/>
        <v>658493953</v>
      </c>
      <c r="AJ14" s="153">
        <f t="shared" si="12"/>
        <v>673917090</v>
      </c>
      <c r="AK14" s="12"/>
      <c r="AL14" s="151">
        <f>AL16+AL35+AL43+AL57</f>
        <v>0</v>
      </c>
      <c r="AM14" s="153">
        <f>AM16+AM35+AM43+AM57</f>
        <v>0</v>
      </c>
      <c r="AO14" s="23"/>
      <c r="AP14" s="13" t="s">
        <v>75</v>
      </c>
      <c r="AQ14" s="14">
        <f>F19-AQ7-AQ8-AQ9-AQ10-AQ11-AQ12-AQ13</f>
        <v>387837872</v>
      </c>
      <c r="AR14" s="14">
        <f>I19-AR7-AR8-AR9-AR10-AR11-AR12-AR13</f>
        <v>14710478</v>
      </c>
      <c r="AS14" s="14">
        <f>L19-AS7-AS8-AS9-AS10-AS11-AS12-AS13</f>
        <v>10148174</v>
      </c>
      <c r="AT14" s="467"/>
      <c r="AU14" s="429">
        <f t="shared" si="0"/>
        <v>3.7929452129419686E-2</v>
      </c>
      <c r="AV14" s="429">
        <f t="shared" si="1"/>
        <v>2.6166021249208998E-2</v>
      </c>
      <c r="AW14" s="430">
        <f>(I41+I46+I49+I52+I55+I58+I61+I64+I67+I70+I73+I78+I81+I82+I83+I86+I87+I93)/AO$2*12+I47+I50+I53+I56+I59+I62+I65+I68+I71+I74</f>
        <v>99707676</v>
      </c>
      <c r="AX14" s="430">
        <f>(L41+L46+L49+L52+L55+L58+L61+L64+L67+L70+L73+L78+L81+L82+L83+L86+L87+L93)/AO$2*12+L47+L50+L53+L56+L59+L62+L65+L68+L71+L74</f>
        <v>44960028</v>
      </c>
      <c r="AY14" s="430">
        <f t="shared" si="2"/>
        <v>-288130196</v>
      </c>
      <c r="AZ14" s="431">
        <f t="shared" si="3"/>
        <v>-342877844</v>
      </c>
      <c r="BB14" s="468" t="s">
        <v>461</v>
      </c>
      <c r="BC14" s="110">
        <f>+F64</f>
        <v>40103182</v>
      </c>
      <c r="BD14" s="111">
        <f>+I64</f>
        <v>1924053</v>
      </c>
      <c r="BE14" s="112">
        <f>K64</f>
        <v>0</v>
      </c>
      <c r="BF14" s="113"/>
      <c r="BG14" s="109" t="s">
        <v>76</v>
      </c>
      <c r="BH14" s="99">
        <f t="shared" si="11"/>
        <v>0</v>
      </c>
      <c r="BI14" s="99">
        <f t="shared" si="11"/>
        <v>0</v>
      </c>
      <c r="BJ14" s="99">
        <f t="shared" si="11"/>
        <v>0</v>
      </c>
      <c r="BK14" s="100">
        <f t="shared" si="11"/>
        <v>0</v>
      </c>
      <c r="BM14" s="165" t="s">
        <v>469</v>
      </c>
      <c r="BN14" s="104">
        <f>X35-X41+X83-X88</f>
        <v>175234955</v>
      </c>
      <c r="BO14" s="102">
        <f>AA35-AA41+AA83-AA88</f>
        <v>2354227</v>
      </c>
      <c r="BP14" s="102">
        <f>AD35-AD41+AD83-AD88</f>
        <v>2353527</v>
      </c>
      <c r="BQ14" s="103">
        <f>AF35-AF41+AF83-AF88</f>
        <v>530550</v>
      </c>
    </row>
    <row r="15" spans="1:69" s="10" customFormat="1" ht="16.5" thickBot="1" x14ac:dyDescent="0.3">
      <c r="A15" s="204">
        <v>1004</v>
      </c>
      <c r="B15" s="251" t="str">
        <f>+CONCATENATE("Cesantias Ley 50/1990 a Dic-31-",INSTRUCCIONES!$F$3-1)</f>
        <v>Cesantias Ley 50/1990 a Dic-31-2013</v>
      </c>
      <c r="C15" s="471">
        <v>20000000</v>
      </c>
      <c r="D15" s="472">
        <f t="shared" si="9"/>
        <v>0</v>
      </c>
      <c r="E15" s="472">
        <f t="shared" si="9"/>
        <v>0</v>
      </c>
      <c r="F15" s="473">
        <f>SUM(C15:E15)</f>
        <v>20000000</v>
      </c>
      <c r="G15" s="474">
        <v>0</v>
      </c>
      <c r="H15" s="475">
        <v>0</v>
      </c>
      <c r="I15" s="473">
        <f>SUM(G15:H15)</f>
        <v>0</v>
      </c>
      <c r="J15" s="474">
        <v>0</v>
      </c>
      <c r="K15" s="197">
        <f>+H15</f>
        <v>0</v>
      </c>
      <c r="L15" s="473">
        <f>SUM(J15:K15)</f>
        <v>0</v>
      </c>
      <c r="M15" s="474">
        <f>F15-I15</f>
        <v>20000000</v>
      </c>
      <c r="N15" s="473">
        <f>F15-L15</f>
        <v>20000000</v>
      </c>
      <c r="O15" s="467"/>
      <c r="P15" s="471">
        <v>0</v>
      </c>
      <c r="Q15" s="476">
        <v>0</v>
      </c>
      <c r="S15" s="448"/>
      <c r="T15" s="449" t="str">
        <f>IF($F$8-$X$8=0," ","OJO: PRESUPUESTO DESEQUILIBRADO")</f>
        <v xml:space="preserve"> </v>
      </c>
      <c r="U15" s="193"/>
      <c r="V15" s="193"/>
      <c r="W15" s="193"/>
      <c r="X15" s="207"/>
      <c r="Y15" s="450"/>
      <c r="Z15" s="193"/>
      <c r="AA15" s="207"/>
      <c r="AB15" s="450"/>
      <c r="AC15" s="193"/>
      <c r="AD15" s="193"/>
      <c r="AE15" s="450"/>
      <c r="AF15" s="193"/>
      <c r="AG15" s="207"/>
      <c r="AH15" s="450"/>
      <c r="AI15" s="193"/>
      <c r="AJ15" s="207"/>
      <c r="AK15" s="12"/>
      <c r="AL15" s="211"/>
      <c r="AM15" s="212"/>
      <c r="AO15" s="22"/>
      <c r="AP15" s="13" t="s">
        <v>78</v>
      </c>
      <c r="AQ15" s="14">
        <f>F108</f>
        <v>1452387</v>
      </c>
      <c r="AR15" s="14">
        <f>I108</f>
        <v>375465</v>
      </c>
      <c r="AS15" s="14">
        <f>L108</f>
        <v>375465</v>
      </c>
      <c r="AT15" s="15"/>
      <c r="AU15" s="429">
        <f t="shared" si="0"/>
        <v>0.25851580880302566</v>
      </c>
      <c r="AV15" s="419">
        <f t="shared" si="1"/>
        <v>0.25851580880302566</v>
      </c>
      <c r="AW15" s="14">
        <f>AQ15</f>
        <v>1452387</v>
      </c>
      <c r="AX15" s="14">
        <f>AR15</f>
        <v>375465</v>
      </c>
      <c r="AY15" s="14">
        <f t="shared" si="2"/>
        <v>0</v>
      </c>
      <c r="AZ15" s="420">
        <f t="shared" si="3"/>
        <v>-1076922</v>
      </c>
      <c r="BA15" s="467"/>
      <c r="BB15" s="447" t="s">
        <v>79</v>
      </c>
      <c r="BC15" s="110">
        <f>F46+F49</f>
        <v>0</v>
      </c>
      <c r="BD15" s="111">
        <f>I46+I49</f>
        <v>0</v>
      </c>
      <c r="BE15" s="112">
        <f>K46+K49</f>
        <v>0</v>
      </c>
      <c r="BF15" s="113"/>
      <c r="BG15" s="109" t="s">
        <v>80</v>
      </c>
      <c r="BH15" s="99">
        <f t="shared" si="11"/>
        <v>91581965</v>
      </c>
      <c r="BI15" s="99">
        <f t="shared" si="11"/>
        <v>145453491</v>
      </c>
      <c r="BJ15" s="99">
        <f t="shared" si="11"/>
        <v>145453491</v>
      </c>
      <c r="BK15" s="100">
        <f t="shared" si="11"/>
        <v>22670543</v>
      </c>
      <c r="BM15" s="89" t="s">
        <v>68</v>
      </c>
      <c r="BN15" s="101">
        <f>SUM(BN16:BN21)</f>
        <v>555819964</v>
      </c>
      <c r="BO15" s="99">
        <f>SUM(BO16:BO21)</f>
        <v>32375801</v>
      </c>
      <c r="BP15" s="99">
        <f>SUM(BP16:BP21)</f>
        <v>32375801</v>
      </c>
      <c r="BQ15" s="100">
        <f>SUM(BQ16:BQ21)</f>
        <v>11170697</v>
      </c>
    </row>
    <row r="16" spans="1:69" s="10" customFormat="1" ht="15.75" thickBot="1" x14ac:dyDescent="0.3">
      <c r="A16" s="198"/>
      <c r="B16" s="477"/>
      <c r="C16" s="478"/>
      <c r="D16" s="478"/>
      <c r="E16" s="478"/>
      <c r="F16" s="478"/>
      <c r="G16" s="478"/>
      <c r="H16" s="478"/>
      <c r="I16" s="478"/>
      <c r="J16" s="478"/>
      <c r="K16" s="478"/>
      <c r="L16" s="478"/>
      <c r="M16" s="478"/>
      <c r="N16" s="479"/>
      <c r="O16" s="467"/>
      <c r="P16" s="480"/>
      <c r="Q16" s="481"/>
      <c r="S16" s="34">
        <v>1010100</v>
      </c>
      <c r="T16" s="158" t="s">
        <v>70</v>
      </c>
      <c r="U16" s="157">
        <f t="shared" ref="U16:AJ16" si="13">SUM(U17:U20)+U33</f>
        <v>451022301</v>
      </c>
      <c r="V16" s="144">
        <f t="shared" si="13"/>
        <v>0</v>
      </c>
      <c r="W16" s="144">
        <f t="shared" si="13"/>
        <v>0</v>
      </c>
      <c r="X16" s="153">
        <f t="shared" si="13"/>
        <v>451022301</v>
      </c>
      <c r="Y16" s="151">
        <f t="shared" si="13"/>
        <v>0</v>
      </c>
      <c r="Z16" s="144">
        <f t="shared" si="13"/>
        <v>32263695</v>
      </c>
      <c r="AA16" s="153">
        <f t="shared" si="13"/>
        <v>32263695</v>
      </c>
      <c r="AB16" s="151">
        <f t="shared" si="13"/>
        <v>0</v>
      </c>
      <c r="AC16" s="144">
        <f t="shared" si="13"/>
        <v>32263695</v>
      </c>
      <c r="AD16" s="152">
        <f t="shared" si="13"/>
        <v>32263695</v>
      </c>
      <c r="AE16" s="151">
        <f t="shared" si="13"/>
        <v>0</v>
      </c>
      <c r="AF16" s="144">
        <f t="shared" si="13"/>
        <v>26714247</v>
      </c>
      <c r="AG16" s="153">
        <f t="shared" si="13"/>
        <v>26714247</v>
      </c>
      <c r="AH16" s="151">
        <f t="shared" si="13"/>
        <v>418758606</v>
      </c>
      <c r="AI16" s="144">
        <f t="shared" si="13"/>
        <v>418758606</v>
      </c>
      <c r="AJ16" s="153">
        <f t="shared" si="13"/>
        <v>424308054</v>
      </c>
      <c r="AK16" s="12"/>
      <c r="AL16" s="151">
        <f>SUM(AL17:AL20)+AL33</f>
        <v>0</v>
      </c>
      <c r="AM16" s="153">
        <f>SUM(AM17:AM20)+AM33</f>
        <v>0</v>
      </c>
      <c r="AO16" s="23"/>
      <c r="AP16" s="482" t="s">
        <v>83</v>
      </c>
      <c r="AQ16" s="483">
        <f>F10</f>
        <v>100000000</v>
      </c>
      <c r="AR16" s="483">
        <f>I10</f>
        <v>0</v>
      </c>
      <c r="AS16" s="483">
        <f>L10</f>
        <v>0</v>
      </c>
      <c r="AT16" s="467"/>
      <c r="AU16" s="484">
        <f t="shared" si="0"/>
        <v>0</v>
      </c>
      <c r="AV16" s="484">
        <f t="shared" si="1"/>
        <v>0</v>
      </c>
      <c r="AW16" s="483">
        <f>AQ16</f>
        <v>100000000</v>
      </c>
      <c r="AX16" s="483">
        <f>AR16</f>
        <v>0</v>
      </c>
      <c r="AY16" s="14">
        <f t="shared" si="2"/>
        <v>0</v>
      </c>
      <c r="AZ16" s="485">
        <f t="shared" si="3"/>
        <v>-100000000</v>
      </c>
      <c r="BA16" s="467"/>
      <c r="BB16" s="468" t="s">
        <v>462</v>
      </c>
      <c r="BC16" s="110">
        <f>F43</f>
        <v>125397398</v>
      </c>
      <c r="BD16" s="111">
        <f>I43</f>
        <v>0</v>
      </c>
      <c r="BE16" s="112">
        <f>K43</f>
        <v>0</v>
      </c>
      <c r="BF16" s="94"/>
      <c r="BG16" s="109" t="s">
        <v>84</v>
      </c>
      <c r="BH16" s="114">
        <f>BH7+BH12+BH13+BH14+BH15</f>
        <v>3631501012</v>
      </c>
      <c r="BI16" s="114">
        <f>BI7+BI12+BI13+BI14+BI15</f>
        <v>360710187</v>
      </c>
      <c r="BJ16" s="114">
        <f>BJ7+BJ12+BJ13+BJ14+BJ15</f>
        <v>360563899</v>
      </c>
      <c r="BK16" s="115">
        <f>BK7+BK12+BK13+BK14+BK15</f>
        <v>155121697</v>
      </c>
      <c r="BM16" s="255" t="s">
        <v>85</v>
      </c>
      <c r="BN16" s="101">
        <f>X114-X121+X147-X148-X153</f>
        <v>152267714</v>
      </c>
      <c r="BO16" s="99">
        <f>AA114-AA121+AA147-AA148-AA153</f>
        <v>9649130</v>
      </c>
      <c r="BP16" s="99">
        <f>AD114-AD121+AD147-AD148-AD153</f>
        <v>9649130</v>
      </c>
      <c r="BQ16" s="100">
        <f>AF114-AF121+AF147-AF148-AF153</f>
        <v>0</v>
      </c>
    </row>
    <row r="17" spans="1:70" s="467" customFormat="1" ht="17.25" thickBot="1" x14ac:dyDescent="0.3">
      <c r="A17" s="433">
        <v>11</v>
      </c>
      <c r="B17" s="486" t="s">
        <v>73</v>
      </c>
      <c r="C17" s="435">
        <f>C19+C99</f>
        <v>3530048625</v>
      </c>
      <c r="D17" s="435">
        <f t="shared" ref="D17:N17" si="14">D19+D99</f>
        <v>0</v>
      </c>
      <c r="E17" s="435">
        <f t="shared" si="14"/>
        <v>0</v>
      </c>
      <c r="F17" s="435">
        <f t="shared" si="14"/>
        <v>3530048625</v>
      </c>
      <c r="G17" s="435">
        <f t="shared" si="14"/>
        <v>0</v>
      </c>
      <c r="H17" s="435">
        <f t="shared" si="14"/>
        <v>316936412</v>
      </c>
      <c r="I17" s="435">
        <f t="shared" si="14"/>
        <v>316936412</v>
      </c>
      <c r="J17" s="435">
        <f t="shared" si="14"/>
        <v>0</v>
      </c>
      <c r="K17" s="435">
        <f t="shared" si="14"/>
        <v>256078391</v>
      </c>
      <c r="L17" s="435">
        <f t="shared" si="14"/>
        <v>256078391</v>
      </c>
      <c r="M17" s="435">
        <f t="shared" si="14"/>
        <v>3213112213</v>
      </c>
      <c r="N17" s="216">
        <f t="shared" si="14"/>
        <v>3273970234</v>
      </c>
      <c r="P17" s="215">
        <f>P19+P99</f>
        <v>0</v>
      </c>
      <c r="Q17" s="216">
        <f>Q19+Q99</f>
        <v>0</v>
      </c>
      <c r="R17" s="10"/>
      <c r="S17" s="155">
        <v>1010101</v>
      </c>
      <c r="T17" s="159" t="s">
        <v>71</v>
      </c>
      <c r="U17" s="487">
        <v>368370792</v>
      </c>
      <c r="V17" s="17">
        <f t="shared" ref="V17:W19" si="15">AL17</f>
        <v>0</v>
      </c>
      <c r="W17" s="17">
        <f t="shared" si="15"/>
        <v>0</v>
      </c>
      <c r="X17" s="18">
        <f>SUM(U17:W17)</f>
        <v>368370792</v>
      </c>
      <c r="Y17" s="21">
        <v>0</v>
      </c>
      <c r="Z17" s="457">
        <v>28644392</v>
      </c>
      <c r="AA17" s="18">
        <f>SUM(Y17:Z17)</f>
        <v>28644392</v>
      </c>
      <c r="AB17" s="21">
        <v>0</v>
      </c>
      <c r="AC17" s="457">
        <v>28644392</v>
      </c>
      <c r="AD17" s="20">
        <f>SUM(AB17:AC17)</f>
        <v>28644392</v>
      </c>
      <c r="AE17" s="21">
        <v>0</v>
      </c>
      <c r="AF17" s="457">
        <v>23647944</v>
      </c>
      <c r="AG17" s="18">
        <f>SUM(AE17:AF17)</f>
        <v>23647944</v>
      </c>
      <c r="AH17" s="21">
        <f>X17-AA17</f>
        <v>339726400</v>
      </c>
      <c r="AI17" s="17">
        <f>X17-AD17</f>
        <v>339726400</v>
      </c>
      <c r="AJ17" s="18">
        <f>X17-AG17</f>
        <v>344722848</v>
      </c>
      <c r="AK17" s="10"/>
      <c r="AL17" s="455">
        <v>0</v>
      </c>
      <c r="AM17" s="458">
        <v>0</v>
      </c>
      <c r="AN17" s="10"/>
      <c r="AO17" s="428"/>
      <c r="AP17" s="488" t="s">
        <v>87</v>
      </c>
      <c r="AQ17" s="489">
        <f>SUM(AQ7:AQ16)</f>
        <v>3631501012</v>
      </c>
      <c r="AR17" s="490">
        <f>SUM(AR7:AR16)</f>
        <v>317311877</v>
      </c>
      <c r="AS17" s="491">
        <f>SUM(AS7:AS16)</f>
        <v>256453856</v>
      </c>
      <c r="AT17" s="492"/>
      <c r="AU17" s="490">
        <f t="shared" si="0"/>
        <v>8.7377609410397711E-2</v>
      </c>
      <c r="AV17" s="490">
        <f t="shared" si="1"/>
        <v>7.0619243985495003E-2</v>
      </c>
      <c r="AW17" s="493">
        <f>SUM(AX7:AX16)</f>
        <v>2240001488</v>
      </c>
      <c r="AX17" s="493">
        <f>SUM(AX7:AX16)</f>
        <v>2240001488</v>
      </c>
      <c r="AY17" s="493">
        <f>SUM(AY7:AY16)</f>
        <v>-560126350</v>
      </c>
      <c r="AZ17" s="494">
        <f>SUM(AZ7:AZ16)</f>
        <v>-1391499524</v>
      </c>
      <c r="BA17" s="10"/>
      <c r="BB17" s="447" t="s">
        <v>463</v>
      </c>
      <c r="BC17" s="91">
        <f>F41+F52+F55+F58+F61+F67+F70+F73+F76+F79+F82+F88+F89+F90+F91</f>
        <v>177489895</v>
      </c>
      <c r="BD17" s="92">
        <f>I41+I52+I55+I58+I61+I67+I70+I73+I76+I79+I82+I88+I89+I90+I91</f>
        <v>11365872</v>
      </c>
      <c r="BE17" s="93">
        <f>K41+K52+K55+K58+K61+K67+K70+K73+K76+K79+K82+K88+K89+K90+K91</f>
        <v>8727621</v>
      </c>
      <c r="BF17" s="94"/>
      <c r="BG17" s="116" t="s">
        <v>88</v>
      </c>
      <c r="BH17" s="117">
        <f>BC23-BH16</f>
        <v>0</v>
      </c>
      <c r="BI17" s="117"/>
      <c r="BJ17" s="117"/>
      <c r="BK17" s="118"/>
      <c r="BM17" s="255" t="s">
        <v>479</v>
      </c>
      <c r="BN17" s="101">
        <f>X123-X126-X139+X155-X156-X167-X168</f>
        <v>191636548</v>
      </c>
      <c r="BO17" s="99">
        <f>AA123-AA126-AA139+AA155-AA156-AA167-AA168</f>
        <v>15101947</v>
      </c>
      <c r="BP17" s="99">
        <f>AD123-AD126-AD139+AD155-AD156-AD167-AD168</f>
        <v>15101947</v>
      </c>
      <c r="BQ17" s="100">
        <f>AF123-AF126-AF139+AF155-AF156-AF167-AF168</f>
        <v>7572632</v>
      </c>
      <c r="BR17" s="10"/>
    </row>
    <row r="18" spans="1:70" s="10" customFormat="1" ht="15" thickBot="1" x14ac:dyDescent="0.25">
      <c r="A18" s="202"/>
      <c r="B18" s="201"/>
      <c r="C18" s="495"/>
      <c r="D18" s="495"/>
      <c r="E18" s="495"/>
      <c r="F18" s="495"/>
      <c r="G18" s="495"/>
      <c r="H18" s="495"/>
      <c r="I18" s="495"/>
      <c r="J18" s="495"/>
      <c r="K18" s="495"/>
      <c r="L18" s="495"/>
      <c r="M18" s="495"/>
      <c r="N18" s="496"/>
      <c r="P18" s="497"/>
      <c r="Q18" s="496"/>
      <c r="S18" s="155">
        <v>1010102</v>
      </c>
      <c r="T18" s="159" t="s">
        <v>74</v>
      </c>
      <c r="U18" s="487">
        <v>20119405</v>
      </c>
      <c r="V18" s="17">
        <f t="shared" si="15"/>
        <v>0</v>
      </c>
      <c r="W18" s="17">
        <f t="shared" si="15"/>
        <v>0</v>
      </c>
      <c r="X18" s="18">
        <f>SUM(U18:W18)</f>
        <v>20119405</v>
      </c>
      <c r="Y18" s="21">
        <v>0</v>
      </c>
      <c r="Z18" s="457">
        <v>890294</v>
      </c>
      <c r="AA18" s="18">
        <f>SUM(Y18:Z18)</f>
        <v>890294</v>
      </c>
      <c r="AB18" s="21">
        <v>0</v>
      </c>
      <c r="AC18" s="457">
        <v>890294</v>
      </c>
      <c r="AD18" s="20">
        <f>SUM(AB18:AC18)</f>
        <v>890294</v>
      </c>
      <c r="AE18" s="21">
        <v>0</v>
      </c>
      <c r="AF18" s="457">
        <v>890294</v>
      </c>
      <c r="AG18" s="18">
        <f>SUM(AE18:AF18)</f>
        <v>890294</v>
      </c>
      <c r="AH18" s="21">
        <f>X18-AA18</f>
        <v>19229111</v>
      </c>
      <c r="AI18" s="17">
        <f>X18-AD18</f>
        <v>19229111</v>
      </c>
      <c r="AJ18" s="18">
        <f>X18-AG18</f>
        <v>19229111</v>
      </c>
      <c r="AL18" s="455">
        <v>0</v>
      </c>
      <c r="AM18" s="458">
        <v>0</v>
      </c>
      <c r="AO18" s="23"/>
      <c r="AP18" s="365" t="s">
        <v>53</v>
      </c>
      <c r="AQ18" s="365"/>
      <c r="AR18" s="365"/>
      <c r="AS18" s="365"/>
      <c r="AT18" s="365"/>
      <c r="AU18" s="365"/>
      <c r="AV18" s="365"/>
      <c r="AW18" s="365"/>
      <c r="AX18" s="365"/>
      <c r="AY18" s="365"/>
      <c r="AZ18" s="365"/>
      <c r="BA18" s="467"/>
      <c r="BB18" s="468" t="s">
        <v>464</v>
      </c>
      <c r="BC18" s="91">
        <f>F100+F101+F102+F105</f>
        <v>0</v>
      </c>
      <c r="BD18" s="92">
        <f>I100+I101+I102+I105</f>
        <v>0</v>
      </c>
      <c r="BE18" s="93">
        <f>K100+K101+K102+K105</f>
        <v>0</v>
      </c>
      <c r="BF18" s="113"/>
      <c r="BM18" s="255" t="s">
        <v>89</v>
      </c>
      <c r="BN18" s="101">
        <f>X148+X156</f>
        <v>162635242</v>
      </c>
      <c r="BO18" s="99">
        <f>AA148+AA156</f>
        <v>2655991</v>
      </c>
      <c r="BP18" s="99">
        <f>AD148+AD156</f>
        <v>2655991</v>
      </c>
      <c r="BQ18" s="100">
        <f>AF148+AF156</f>
        <v>918000</v>
      </c>
      <c r="BR18" s="467"/>
    </row>
    <row r="19" spans="1:70" s="10" customFormat="1" ht="15.75" x14ac:dyDescent="0.25">
      <c r="A19" s="498">
        <v>113</v>
      </c>
      <c r="B19" s="499" t="s">
        <v>81</v>
      </c>
      <c r="C19" s="52">
        <f t="shared" ref="C19:N19" si="16">C21+C85</f>
        <v>3530048625</v>
      </c>
      <c r="D19" s="53">
        <f t="shared" si="16"/>
        <v>0</v>
      </c>
      <c r="E19" s="53">
        <f t="shared" si="16"/>
        <v>0</v>
      </c>
      <c r="F19" s="54">
        <f t="shared" si="16"/>
        <v>3530048625</v>
      </c>
      <c r="G19" s="52">
        <f t="shared" si="16"/>
        <v>0</v>
      </c>
      <c r="H19" s="53">
        <f t="shared" si="16"/>
        <v>316936412</v>
      </c>
      <c r="I19" s="54">
        <f t="shared" si="16"/>
        <v>316936412</v>
      </c>
      <c r="J19" s="52">
        <f t="shared" si="16"/>
        <v>0</v>
      </c>
      <c r="K19" s="53">
        <f t="shared" si="16"/>
        <v>256078391</v>
      </c>
      <c r="L19" s="54">
        <f t="shared" si="16"/>
        <v>256078391</v>
      </c>
      <c r="M19" s="52">
        <f t="shared" si="16"/>
        <v>3213112213</v>
      </c>
      <c r="N19" s="54">
        <f t="shared" si="16"/>
        <v>3273970234</v>
      </c>
      <c r="O19" s="467"/>
      <c r="P19" s="52">
        <f>P21+P85</f>
        <v>0</v>
      </c>
      <c r="Q19" s="54">
        <f>Q21+Q85</f>
        <v>0</v>
      </c>
      <c r="S19" s="155">
        <v>1010103</v>
      </c>
      <c r="T19" s="159" t="s">
        <v>77</v>
      </c>
      <c r="U19" s="487">
        <v>0</v>
      </c>
      <c r="V19" s="17">
        <f t="shared" si="15"/>
        <v>0</v>
      </c>
      <c r="W19" s="17">
        <f t="shared" si="15"/>
        <v>0</v>
      </c>
      <c r="X19" s="18">
        <f>SUM(U19:W19)</f>
        <v>0</v>
      </c>
      <c r="Y19" s="21">
        <v>0</v>
      </c>
      <c r="Z19" s="457">
        <v>0</v>
      </c>
      <c r="AA19" s="18">
        <f>SUM(Y19:Z19)</f>
        <v>0</v>
      </c>
      <c r="AB19" s="21">
        <v>0</v>
      </c>
      <c r="AC19" s="457">
        <v>0</v>
      </c>
      <c r="AD19" s="20">
        <f>SUM(AB19:AC19)</f>
        <v>0</v>
      </c>
      <c r="AE19" s="21">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506" t="s">
        <v>95</v>
      </c>
      <c r="BC19" s="110">
        <f>F86+F87+F93+F103+F104</f>
        <v>115179029</v>
      </c>
      <c r="BD19" s="111">
        <f>I86+I87+I93+I103+I104</f>
        <v>1099705</v>
      </c>
      <c r="BE19" s="112">
        <f>K86+K87+K93+K103+K104</f>
        <v>1099705</v>
      </c>
      <c r="BF19" s="75"/>
      <c r="BG19" s="467"/>
      <c r="BH19" s="467"/>
      <c r="BI19" s="467"/>
      <c r="BJ19" s="467"/>
      <c r="BK19" s="467"/>
      <c r="BM19" s="255" t="s">
        <v>96</v>
      </c>
      <c r="BN19" s="101">
        <f>X126+X167</f>
        <v>49280460</v>
      </c>
      <c r="BO19" s="99">
        <f>AA126+AA167</f>
        <v>4968733</v>
      </c>
      <c r="BP19" s="99">
        <f>AD126+AD167</f>
        <v>4968733</v>
      </c>
      <c r="BQ19" s="100">
        <f>AF126+AF167</f>
        <v>2680065</v>
      </c>
    </row>
    <row r="20" spans="1:70" s="514" customFormat="1" ht="15" x14ac:dyDescent="0.25">
      <c r="A20" s="202"/>
      <c r="B20" s="201"/>
      <c r="C20" s="495"/>
      <c r="D20" s="495"/>
      <c r="E20" s="495"/>
      <c r="F20" s="495"/>
      <c r="G20" s="495"/>
      <c r="H20" s="495"/>
      <c r="I20" s="495"/>
      <c r="J20" s="495"/>
      <c r="K20" s="495"/>
      <c r="L20" s="495"/>
      <c r="M20" s="495"/>
      <c r="N20" s="496"/>
      <c r="O20" s="10"/>
      <c r="P20" s="497"/>
      <c r="Q20" s="496"/>
      <c r="R20" s="10"/>
      <c r="S20" s="155">
        <v>1010104</v>
      </c>
      <c r="T20" s="159" t="s">
        <v>82</v>
      </c>
      <c r="U20" s="19">
        <f t="shared" ref="U20:AJ20" si="17">SUM(U21:U32)</f>
        <v>58502253</v>
      </c>
      <c r="V20" s="17">
        <f t="shared" si="17"/>
        <v>0</v>
      </c>
      <c r="W20" s="17">
        <f t="shared" si="17"/>
        <v>0</v>
      </c>
      <c r="X20" s="18">
        <f t="shared" si="17"/>
        <v>58502253</v>
      </c>
      <c r="Y20" s="21">
        <f t="shared" si="17"/>
        <v>0</v>
      </c>
      <c r="Z20" s="169">
        <f t="shared" si="17"/>
        <v>2176009</v>
      </c>
      <c r="AA20" s="18">
        <f t="shared" si="17"/>
        <v>2176009</v>
      </c>
      <c r="AB20" s="21">
        <f t="shared" si="17"/>
        <v>0</v>
      </c>
      <c r="AC20" s="169">
        <f t="shared" si="17"/>
        <v>2176009</v>
      </c>
      <c r="AD20" s="20">
        <f t="shared" si="17"/>
        <v>2176009</v>
      </c>
      <c r="AE20" s="21">
        <f t="shared" si="17"/>
        <v>0</v>
      </c>
      <c r="AF20" s="169">
        <f t="shared" si="17"/>
        <v>2176009</v>
      </c>
      <c r="AG20" s="18">
        <f t="shared" si="17"/>
        <v>2176009</v>
      </c>
      <c r="AH20" s="21">
        <f t="shared" si="17"/>
        <v>56326244</v>
      </c>
      <c r="AI20" s="17">
        <f t="shared" si="17"/>
        <v>56326244</v>
      </c>
      <c r="AJ20" s="18">
        <f t="shared" si="17"/>
        <v>56326244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38797</v>
      </c>
      <c r="BE20" s="85">
        <f>+K109+K111+K113+K114+K115</f>
        <v>38797</v>
      </c>
      <c r="BF20" s="75"/>
      <c r="BG20" s="467"/>
      <c r="BH20" s="467"/>
      <c r="BI20" s="467"/>
      <c r="BJ20" s="467"/>
      <c r="BK20" s="467"/>
      <c r="BL20" s="467"/>
      <c r="BM20" s="166" t="s">
        <v>474</v>
      </c>
      <c r="BN20" s="101">
        <f>+X141-X143</f>
        <v>0</v>
      </c>
      <c r="BO20" s="99">
        <f>+AA141-AA143</f>
        <v>0</v>
      </c>
      <c r="BP20" s="99">
        <f>+AD141-AD143</f>
        <v>0</v>
      </c>
      <c r="BQ20" s="100">
        <f>+AF141-AF143</f>
        <v>0</v>
      </c>
      <c r="BR20" s="10"/>
    </row>
    <row r="21" spans="1:70" s="514" customFormat="1" ht="16.5" thickBot="1" x14ac:dyDescent="0.3">
      <c r="A21" s="515">
        <v>11301</v>
      </c>
      <c r="B21" s="516" t="s">
        <v>90</v>
      </c>
      <c r="C21" s="517">
        <f t="shared" ref="C21:N21" si="18">C22+C25+C28+C41+C42+C45+C48+C51+C54+C57+C60+C63+C66+C69+C72+C75+C78+C81</f>
        <v>3414869596</v>
      </c>
      <c r="D21" s="518">
        <f t="shared" si="18"/>
        <v>0</v>
      </c>
      <c r="E21" s="518">
        <f t="shared" si="18"/>
        <v>0</v>
      </c>
      <c r="F21" s="519">
        <f t="shared" si="18"/>
        <v>3414869596</v>
      </c>
      <c r="G21" s="517">
        <f t="shared" si="18"/>
        <v>0</v>
      </c>
      <c r="H21" s="518">
        <f t="shared" si="18"/>
        <v>315836707</v>
      </c>
      <c r="I21" s="519">
        <f t="shared" si="18"/>
        <v>315836707</v>
      </c>
      <c r="J21" s="517">
        <f t="shared" si="18"/>
        <v>0</v>
      </c>
      <c r="K21" s="518">
        <f t="shared" si="18"/>
        <v>254978686</v>
      </c>
      <c r="L21" s="519">
        <f t="shared" si="18"/>
        <v>254978686</v>
      </c>
      <c r="M21" s="517">
        <f t="shared" si="18"/>
        <v>3099032889</v>
      </c>
      <c r="N21" s="519">
        <f t="shared" si="18"/>
        <v>3159890910</v>
      </c>
      <c r="O21" s="467"/>
      <c r="P21" s="52">
        <f>P22+P25+P28+P41+P42+P45+P48+P51+P54+P57+P60+P63+P66+P69+P72+P75+P78+P81</f>
        <v>0</v>
      </c>
      <c r="Q21" s="54">
        <f>Q22+Q25+Q28+Q41+Q42+Q45+Q48+Q51+Q54+Q57+Q60+Q63+Q66+Q69+Q72+Q75+Q78+Q81</f>
        <v>0</v>
      </c>
      <c r="R21" s="10"/>
      <c r="S21" s="156" t="s">
        <v>86</v>
      </c>
      <c r="T21" s="55" t="s">
        <v>425</v>
      </c>
      <c r="U21" s="487">
        <v>31976631</v>
      </c>
      <c r="V21" s="17">
        <f t="shared" ref="V21:V33" si="19">AL21</f>
        <v>0</v>
      </c>
      <c r="W21" s="17">
        <f t="shared" ref="W21:W33" si="20">AM21</f>
        <v>0</v>
      </c>
      <c r="X21" s="18">
        <f t="shared" ref="X21:X33" si="21">SUM(U21:W21)</f>
        <v>31976631</v>
      </c>
      <c r="Y21" s="21">
        <v>0</v>
      </c>
      <c r="Z21" s="457">
        <v>0</v>
      </c>
      <c r="AA21" s="18">
        <f t="shared" ref="AA21:AA33" si="22">SUM(Y21:Z21)</f>
        <v>0</v>
      </c>
      <c r="AB21" s="21">
        <v>0</v>
      </c>
      <c r="AC21" s="457">
        <v>0</v>
      </c>
      <c r="AD21" s="20">
        <f t="shared" ref="AD21:AD33" si="23">SUM(AB21:AC21)</f>
        <v>0</v>
      </c>
      <c r="AE21" s="21">
        <v>0</v>
      </c>
      <c r="AF21" s="457">
        <v>0</v>
      </c>
      <c r="AG21" s="18">
        <f t="shared" ref="AG21:AG33" si="24">SUM(AE21:AF21)</f>
        <v>0</v>
      </c>
      <c r="AH21" s="21">
        <f t="shared" ref="AH21:AH33" si="25">X21-AA21</f>
        <v>31976631</v>
      </c>
      <c r="AI21" s="17">
        <f t="shared" ref="AI21:AI33" si="26">X21-AD21</f>
        <v>31976631</v>
      </c>
      <c r="AJ21" s="18">
        <f t="shared" ref="AJ21:AJ33" si="27">X21-AG21</f>
        <v>31976631</v>
      </c>
      <c r="AK21" s="10"/>
      <c r="AL21" s="455">
        <v>0</v>
      </c>
      <c r="AM21" s="458">
        <v>0</v>
      </c>
      <c r="AN21" s="10"/>
      <c r="AO21" s="428"/>
      <c r="AP21" s="520"/>
      <c r="AQ21" s="521"/>
      <c r="AR21" s="522" t="str">
        <f>AR6</f>
        <v>ENERO</v>
      </c>
      <c r="AS21" s="523" t="str">
        <f>AR6</f>
        <v>ENERO</v>
      </c>
      <c r="AT21" s="522" t="str">
        <f>AR6</f>
        <v>ENERO</v>
      </c>
      <c r="AU21" s="522" t="s">
        <v>46</v>
      </c>
      <c r="AV21" s="522" t="s">
        <v>24</v>
      </c>
      <c r="AW21" s="524"/>
      <c r="AX21" s="524"/>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v>1130101</v>
      </c>
      <c r="B22" s="45" t="s">
        <v>92</v>
      </c>
      <c r="C22" s="52">
        <f t="shared" ref="C22:N22" si="28">SUM(C23:C24)</f>
        <v>235438278</v>
      </c>
      <c r="D22" s="53">
        <f t="shared" si="28"/>
        <v>0</v>
      </c>
      <c r="E22" s="53">
        <f t="shared" si="28"/>
        <v>0</v>
      </c>
      <c r="F22" s="54">
        <f t="shared" si="28"/>
        <v>235438278</v>
      </c>
      <c r="G22" s="52">
        <f t="shared" si="28"/>
        <v>0</v>
      </c>
      <c r="H22" s="53">
        <f t="shared" si="28"/>
        <v>29658909</v>
      </c>
      <c r="I22" s="54">
        <f t="shared" si="28"/>
        <v>29658909</v>
      </c>
      <c r="J22" s="52">
        <f t="shared" si="28"/>
        <v>0</v>
      </c>
      <c r="K22" s="53">
        <f t="shared" si="28"/>
        <v>5867783</v>
      </c>
      <c r="L22" s="54">
        <f t="shared" si="28"/>
        <v>5867783</v>
      </c>
      <c r="M22" s="52">
        <f t="shared" si="28"/>
        <v>205779369</v>
      </c>
      <c r="N22" s="54">
        <f t="shared" si="28"/>
        <v>229570495</v>
      </c>
      <c r="P22" s="52">
        <f>SUM(P23:P24)</f>
        <v>0</v>
      </c>
      <c r="Q22" s="54">
        <f>SUM(Q23:Q24)</f>
        <v>0</v>
      </c>
      <c r="S22" s="156" t="s">
        <v>91</v>
      </c>
      <c r="T22" s="55" t="s">
        <v>426</v>
      </c>
      <c r="U22" s="487">
        <v>0</v>
      </c>
      <c r="V22" s="17">
        <f t="shared" si="19"/>
        <v>0</v>
      </c>
      <c r="W22" s="17">
        <f t="shared" si="20"/>
        <v>0</v>
      </c>
      <c r="X22" s="18">
        <f t="shared" si="21"/>
        <v>0</v>
      </c>
      <c r="Y22" s="21">
        <v>0</v>
      </c>
      <c r="Z22" s="457">
        <v>0</v>
      </c>
      <c r="AA22" s="18">
        <f t="shared" si="22"/>
        <v>0</v>
      </c>
      <c r="AB22" s="21">
        <v>0</v>
      </c>
      <c r="AC22" s="457">
        <v>0</v>
      </c>
      <c r="AD22" s="20">
        <f t="shared" si="23"/>
        <v>0</v>
      </c>
      <c r="AE22" s="21">
        <v>0</v>
      </c>
      <c r="AF22" s="457">
        <v>0</v>
      </c>
      <c r="AG22" s="18">
        <f t="shared" si="24"/>
        <v>0</v>
      </c>
      <c r="AH22" s="21">
        <f t="shared" si="25"/>
        <v>0</v>
      </c>
      <c r="AI22" s="17">
        <f t="shared" si="26"/>
        <v>0</v>
      </c>
      <c r="AJ22" s="18">
        <f t="shared" si="27"/>
        <v>0</v>
      </c>
      <c r="AL22" s="455">
        <v>0</v>
      </c>
      <c r="AM22" s="458">
        <v>0</v>
      </c>
      <c r="AO22" s="23"/>
      <c r="AP22" s="526" t="s">
        <v>106</v>
      </c>
      <c r="AQ22" s="527">
        <f>X17+X66</f>
        <v>1269481968</v>
      </c>
      <c r="AR22" s="527">
        <f>AD17+AD66</f>
        <v>99830873</v>
      </c>
      <c r="AS22" s="527">
        <f>AG17+AG66</f>
        <v>80389696</v>
      </c>
      <c r="AT22" s="528"/>
      <c r="AU22" s="529">
        <f t="shared" ref="AU22:AU32" si="29">IF(AQ22=0," ",AR22/AQ22)</f>
        <v>7.8639063426224259E-2</v>
      </c>
      <c r="AV22" s="529">
        <f t="shared" ref="AV22:AV32" si="30">IF(AQ22=0," ",AS22/AQ22)</f>
        <v>6.332480336577731E-2</v>
      </c>
      <c r="AW22" s="530">
        <f>AR22/$AO$2*12</f>
        <v>1197970476</v>
      </c>
      <c r="AX22" s="530">
        <f>AS22/$AO$2*12</f>
        <v>964676352</v>
      </c>
      <c r="AY22" s="530">
        <f t="shared" ref="AY22:AY28" si="31">AQ22-AW22</f>
        <v>71511492</v>
      </c>
      <c r="AZ22" s="531">
        <f t="shared" ref="AZ22:AZ31" si="32">AQ22-AX22</f>
        <v>304805616</v>
      </c>
      <c r="BA22" s="467"/>
      <c r="BB22" s="119" t="s">
        <v>467</v>
      </c>
      <c r="BC22" s="83">
        <f>SUMIF($B8:B117,$B24,F8:F117)+F116</f>
        <v>165717175</v>
      </c>
      <c r="BD22" s="84">
        <f>SUMIF($B8:B117,$B24,I8:I117)+I116</f>
        <v>76092547</v>
      </c>
      <c r="BE22" s="85">
        <f>SUMIF($B8:B117,$B24,K8:K117)+K116</f>
        <v>76092547</v>
      </c>
      <c r="BF22" s="75"/>
      <c r="BG22" s="467"/>
      <c r="BH22" s="467"/>
      <c r="BI22" s="467"/>
      <c r="BJ22" s="467"/>
      <c r="BK22" s="467"/>
      <c r="BM22" s="89" t="s">
        <v>69</v>
      </c>
      <c r="BN22" s="101">
        <f>BN23+BN24</f>
        <v>215489235</v>
      </c>
      <c r="BO22" s="99">
        <f>BO23+BO24</f>
        <v>12655965</v>
      </c>
      <c r="BP22" s="99">
        <f>BP23+BP24</f>
        <v>12510377</v>
      </c>
      <c r="BQ22" s="100">
        <f>BQ23+BQ24</f>
        <v>11123138</v>
      </c>
      <c r="BR22" s="467"/>
    </row>
    <row r="23" spans="1:70" s="514" customFormat="1" ht="15.75" thickBot="1" x14ac:dyDescent="0.25">
      <c r="A23" s="188" t="s">
        <v>97</v>
      </c>
      <c r="B23" s="189" t="str">
        <f>+CONCATENATE("Vigencia ",INSTRUCCIONES!$F$3)</f>
        <v>Vigencia 2014</v>
      </c>
      <c r="C23" s="455">
        <v>190033939</v>
      </c>
      <c r="D23" s="456">
        <f>P23</f>
        <v>0</v>
      </c>
      <c r="E23" s="456">
        <f>Q23</f>
        <v>0</v>
      </c>
      <c r="F23" s="170">
        <f>SUM(C23:E23)</f>
        <v>190033939</v>
      </c>
      <c r="G23" s="283">
        <v>0</v>
      </c>
      <c r="H23" s="457">
        <v>23819716</v>
      </c>
      <c r="I23" s="170">
        <f>SUM(G23:H23)</f>
        <v>23819716</v>
      </c>
      <c r="J23" s="283">
        <v>0</v>
      </c>
      <c r="K23" s="457">
        <v>28590</v>
      </c>
      <c r="L23" s="170">
        <f>SUM(J23:K23)</f>
        <v>28590</v>
      </c>
      <c r="M23" s="283">
        <f>F23-I23</f>
        <v>166214223</v>
      </c>
      <c r="N23" s="170">
        <f>F23-L23</f>
        <v>190005349</v>
      </c>
      <c r="O23" s="10"/>
      <c r="P23" s="455">
        <v>0</v>
      </c>
      <c r="Q23" s="458">
        <v>0</v>
      </c>
      <c r="R23" s="10"/>
      <c r="S23" s="156" t="s">
        <v>93</v>
      </c>
      <c r="T23" s="55" t="s">
        <v>427</v>
      </c>
      <c r="U23" s="487">
        <v>15348783</v>
      </c>
      <c r="V23" s="17">
        <f t="shared" si="19"/>
        <v>0</v>
      </c>
      <c r="W23" s="17">
        <f t="shared" si="20"/>
        <v>0</v>
      </c>
      <c r="X23" s="18">
        <f t="shared" si="21"/>
        <v>15348783</v>
      </c>
      <c r="Y23" s="21">
        <v>0</v>
      </c>
      <c r="Z23" s="457">
        <v>1316795</v>
      </c>
      <c r="AA23" s="18">
        <f t="shared" si="22"/>
        <v>1316795</v>
      </c>
      <c r="AB23" s="21">
        <v>0</v>
      </c>
      <c r="AC23" s="457">
        <v>1316795</v>
      </c>
      <c r="AD23" s="20">
        <f t="shared" si="23"/>
        <v>1316795</v>
      </c>
      <c r="AE23" s="21">
        <v>0</v>
      </c>
      <c r="AF23" s="457">
        <v>1316795</v>
      </c>
      <c r="AG23" s="18">
        <f t="shared" si="24"/>
        <v>1316795</v>
      </c>
      <c r="AH23" s="21">
        <f t="shared" si="25"/>
        <v>14031988</v>
      </c>
      <c r="AI23" s="17">
        <f t="shared" si="26"/>
        <v>14031988</v>
      </c>
      <c r="AJ23" s="18">
        <f t="shared" si="27"/>
        <v>14031988</v>
      </c>
      <c r="AK23" s="10"/>
      <c r="AL23" s="455">
        <v>0</v>
      </c>
      <c r="AM23" s="458">
        <v>0</v>
      </c>
      <c r="AN23" s="10"/>
      <c r="AO23" s="453"/>
      <c r="AP23" s="532" t="s">
        <v>110</v>
      </c>
      <c r="AQ23" s="533">
        <f>X16+X65-AQ22</f>
        <v>339028064</v>
      </c>
      <c r="AR23" s="533">
        <f>AD16+AD65-AR22</f>
        <v>37064302</v>
      </c>
      <c r="AS23" s="533">
        <f>AG16+AG65-AS22</f>
        <v>26311463</v>
      </c>
      <c r="AT23" s="401"/>
      <c r="AU23" s="419">
        <f t="shared" si="29"/>
        <v>0.10932517374136909</v>
      </c>
      <c r="AV23" s="419">
        <f t="shared" si="30"/>
        <v>7.760851030904628E-2</v>
      </c>
      <c r="AW23" s="533">
        <f>(AR23-AD21-AD22-AD23-AD25-AD30-AD33-AD70-AD71-AD72-AD74-AD78-AD81)/$AO$2*12+AX22/12*2.5+AD30+AD33+AD78+AD81</f>
        <v>346253449</v>
      </c>
      <c r="AX23" s="533">
        <f>(AS23-AG21-AG22-AG23-AG25-AG30-AG33-AG70-AG71-AG72-AG74-AG78-AG81)/$AO$2*12+AX22/12*2.5+AG30+AG33+AG78+AG81</f>
        <v>335500610</v>
      </c>
      <c r="AY23" s="533">
        <f t="shared" si="31"/>
        <v>-7225385</v>
      </c>
      <c r="AZ23" s="62">
        <f t="shared" si="32"/>
        <v>3527454</v>
      </c>
      <c r="BA23" s="467"/>
      <c r="BB23" s="120" t="s">
        <v>111</v>
      </c>
      <c r="BC23" s="121">
        <f>BC7+BC8+BC20+BC21+BC22</f>
        <v>3631501012</v>
      </c>
      <c r="BD23" s="122">
        <f>BD7+BD8+BD20+BD21+BD22+BD92</f>
        <v>317311877</v>
      </c>
      <c r="BE23" s="123">
        <f>BE7+BE8+BE20+BE21+BE22+BE92</f>
        <v>256453856</v>
      </c>
      <c r="BF23" s="467"/>
      <c r="BG23" s="467"/>
      <c r="BH23" s="467"/>
      <c r="BI23" s="467"/>
      <c r="BJ23" s="467"/>
      <c r="BK23" s="467"/>
      <c r="BL23" s="467"/>
      <c r="BM23" s="164" t="s">
        <v>107</v>
      </c>
      <c r="BN23" s="101">
        <f>X177</f>
        <v>104106866</v>
      </c>
      <c r="BO23" s="99">
        <f>AA177</f>
        <v>7037842</v>
      </c>
      <c r="BP23" s="99">
        <f>AD177</f>
        <v>7037842</v>
      </c>
      <c r="BQ23" s="100">
        <f>AF177</f>
        <v>6123138</v>
      </c>
      <c r="BR23" s="10"/>
    </row>
    <row r="24" spans="1:70" s="514" customFormat="1" ht="15" x14ac:dyDescent="0.2">
      <c r="A24" s="188" t="s">
        <v>102</v>
      </c>
      <c r="B24" s="189" t="s">
        <v>132</v>
      </c>
      <c r="C24" s="455">
        <v>45404339</v>
      </c>
      <c r="D24" s="456">
        <f>P24</f>
        <v>0</v>
      </c>
      <c r="E24" s="456">
        <f>Q24</f>
        <v>0</v>
      </c>
      <c r="F24" s="170">
        <f>SUM(C24:E24)</f>
        <v>45404339</v>
      </c>
      <c r="G24" s="283">
        <v>0</v>
      </c>
      <c r="H24" s="457">
        <v>5839193</v>
      </c>
      <c r="I24" s="170">
        <f>SUM(G24:H24)</f>
        <v>5839193</v>
      </c>
      <c r="J24" s="283">
        <v>0</v>
      </c>
      <c r="K24" s="457">
        <v>5839193</v>
      </c>
      <c r="L24" s="170">
        <f>SUM(J24:K24)</f>
        <v>5839193</v>
      </c>
      <c r="M24" s="283">
        <f>F24-I24</f>
        <v>39565146</v>
      </c>
      <c r="N24" s="170">
        <f>F24-L24</f>
        <v>39565146</v>
      </c>
      <c r="O24" s="467"/>
      <c r="P24" s="455">
        <v>0</v>
      </c>
      <c r="Q24" s="458">
        <v>0</v>
      </c>
      <c r="R24" s="10"/>
      <c r="S24" s="156" t="s">
        <v>98</v>
      </c>
      <c r="T24" s="55" t="s">
        <v>428</v>
      </c>
      <c r="U24" s="487">
        <v>0</v>
      </c>
      <c r="V24" s="17">
        <f t="shared" si="19"/>
        <v>0</v>
      </c>
      <c r="W24" s="17">
        <f t="shared" si="20"/>
        <v>0</v>
      </c>
      <c r="X24" s="18">
        <f t="shared" si="21"/>
        <v>0</v>
      </c>
      <c r="Y24" s="21">
        <v>0</v>
      </c>
      <c r="Z24" s="457">
        <v>0</v>
      </c>
      <c r="AA24" s="18">
        <f t="shared" si="22"/>
        <v>0</v>
      </c>
      <c r="AB24" s="21">
        <v>0</v>
      </c>
      <c r="AC24" s="457">
        <v>0</v>
      </c>
      <c r="AD24" s="20">
        <f t="shared" si="23"/>
        <v>0</v>
      </c>
      <c r="AE24" s="21">
        <v>0</v>
      </c>
      <c r="AF24" s="457">
        <v>0</v>
      </c>
      <c r="AG24" s="18">
        <f t="shared" si="24"/>
        <v>0</v>
      </c>
      <c r="AH24" s="21">
        <f t="shared" si="25"/>
        <v>0</v>
      </c>
      <c r="AI24" s="17">
        <f t="shared" si="26"/>
        <v>0</v>
      </c>
      <c r="AJ24" s="18">
        <f t="shared" si="27"/>
        <v>0</v>
      </c>
      <c r="AK24" s="10"/>
      <c r="AL24" s="455">
        <v>0</v>
      </c>
      <c r="AM24" s="458">
        <v>0</v>
      </c>
      <c r="AN24" s="10"/>
      <c r="AO24" s="453"/>
      <c r="AP24" s="507" t="s">
        <v>115</v>
      </c>
      <c r="AQ24" s="528">
        <f>X35+X83</f>
        <v>184755696</v>
      </c>
      <c r="AR24" s="528">
        <f>AD35+AD83</f>
        <v>13893579</v>
      </c>
      <c r="AS24" s="528">
        <f>AG35+AG83</f>
        <v>7861706</v>
      </c>
      <c r="AT24" s="528"/>
      <c r="AU24" s="456">
        <f t="shared" si="29"/>
        <v>7.5199732948964135E-2</v>
      </c>
      <c r="AV24" s="456">
        <f t="shared" si="30"/>
        <v>4.2551900537886531E-2</v>
      </c>
      <c r="AW24" s="456">
        <f>(AR24-AD41-AD88)/$AO$2*12+AD41+AD88</f>
        <v>39782376</v>
      </c>
      <c r="AX24" s="456">
        <f>(AS24-AG41-AG88)/$AO$2*12+AG41+AG88</f>
        <v>13697756</v>
      </c>
      <c r="AY24" s="456">
        <f t="shared" si="31"/>
        <v>144973320</v>
      </c>
      <c r="AZ24" s="170">
        <f t="shared" si="32"/>
        <v>171057940</v>
      </c>
      <c r="BA24" s="10"/>
      <c r="BB24" s="534"/>
      <c r="BC24" s="467"/>
      <c r="BD24" s="467"/>
      <c r="BE24" s="467"/>
      <c r="BF24" s="467"/>
      <c r="BG24" s="467"/>
      <c r="BH24" s="467"/>
      <c r="BI24" s="467"/>
      <c r="BJ24" s="467"/>
      <c r="BK24" s="467"/>
      <c r="BL24" s="467"/>
      <c r="BM24" s="164" t="s">
        <v>112</v>
      </c>
      <c r="BN24" s="101">
        <f>X170-X177-X174-X183-X191</f>
        <v>111382369</v>
      </c>
      <c r="BO24" s="99">
        <f>AA170-AA177-AA174-AA183-AA191</f>
        <v>5618123</v>
      </c>
      <c r="BP24" s="99">
        <f>AD170-AD177-AD174-AD183-AD191</f>
        <v>5472535</v>
      </c>
      <c r="BQ24" s="100">
        <f>AF170-AF177-AF174-AF183-AF191</f>
        <v>5000000</v>
      </c>
      <c r="BR24" s="467"/>
    </row>
    <row r="25" spans="1:70" s="467" customFormat="1" ht="15" x14ac:dyDescent="0.25">
      <c r="A25" s="57">
        <v>1130102</v>
      </c>
      <c r="B25" s="45" t="s">
        <v>104</v>
      </c>
      <c r="C25" s="52">
        <f t="shared" ref="C25:N25" si="33">SUM(C26:C27)</f>
        <v>2553198704</v>
      </c>
      <c r="D25" s="53">
        <f t="shared" si="33"/>
        <v>0</v>
      </c>
      <c r="E25" s="53">
        <f t="shared" si="33"/>
        <v>0</v>
      </c>
      <c r="F25" s="54">
        <f t="shared" si="33"/>
        <v>2553198704</v>
      </c>
      <c r="G25" s="52">
        <f t="shared" si="33"/>
        <v>0</v>
      </c>
      <c r="H25" s="53">
        <f t="shared" si="33"/>
        <v>265904413</v>
      </c>
      <c r="I25" s="54">
        <f t="shared" si="33"/>
        <v>265904413</v>
      </c>
      <c r="J25" s="52">
        <f t="shared" si="33"/>
        <v>0</v>
      </c>
      <c r="K25" s="53">
        <f t="shared" si="33"/>
        <v>233399822</v>
      </c>
      <c r="L25" s="54">
        <f t="shared" si="33"/>
        <v>233399822</v>
      </c>
      <c r="M25" s="52">
        <f t="shared" si="33"/>
        <v>2287294291</v>
      </c>
      <c r="N25" s="54">
        <f t="shared" si="33"/>
        <v>2319798882</v>
      </c>
      <c r="P25" s="52">
        <f>SUM(P26:P27)</f>
        <v>0</v>
      </c>
      <c r="Q25" s="54">
        <f>SUM(Q26:Q27)</f>
        <v>0</v>
      </c>
      <c r="R25" s="10"/>
      <c r="S25" s="156" t="s">
        <v>103</v>
      </c>
      <c r="T25" s="55" t="s">
        <v>429</v>
      </c>
      <c r="U25" s="487">
        <v>0</v>
      </c>
      <c r="V25" s="17">
        <f t="shared" si="19"/>
        <v>0</v>
      </c>
      <c r="W25" s="17">
        <f t="shared" si="20"/>
        <v>0</v>
      </c>
      <c r="X25" s="18">
        <f t="shared" si="21"/>
        <v>0</v>
      </c>
      <c r="Y25" s="21">
        <v>0</v>
      </c>
      <c r="Z25" s="457">
        <v>0</v>
      </c>
      <c r="AA25" s="18">
        <f t="shared" si="22"/>
        <v>0</v>
      </c>
      <c r="AB25" s="21">
        <v>0</v>
      </c>
      <c r="AC25" s="457">
        <v>0</v>
      </c>
      <c r="AD25" s="20">
        <f t="shared" si="23"/>
        <v>0</v>
      </c>
      <c r="AE25" s="21">
        <v>0</v>
      </c>
      <c r="AF25" s="457">
        <v>0</v>
      </c>
      <c r="AG25" s="18">
        <f t="shared" si="24"/>
        <v>0</v>
      </c>
      <c r="AH25" s="21">
        <f t="shared" si="25"/>
        <v>0</v>
      </c>
      <c r="AI25" s="17">
        <f t="shared" si="26"/>
        <v>0</v>
      </c>
      <c r="AJ25" s="18">
        <f t="shared" si="27"/>
        <v>0</v>
      </c>
      <c r="AK25" s="10"/>
      <c r="AL25" s="455">
        <v>0</v>
      </c>
      <c r="AM25" s="458">
        <v>0</v>
      </c>
      <c r="AN25" s="10"/>
      <c r="AO25" s="23"/>
      <c r="AP25" s="535" t="s">
        <v>118</v>
      </c>
      <c r="AQ25" s="456">
        <f>X43+X57+X90+X104</f>
        <v>566739968</v>
      </c>
      <c r="AR25" s="456">
        <f>AD43+AD57+AD90+AD104</f>
        <v>40590835</v>
      </c>
      <c r="AS25" s="456">
        <f>AG43+AG57+AG90+AG104</f>
        <v>16912931</v>
      </c>
      <c r="AT25" s="528"/>
      <c r="AU25" s="456">
        <f t="shared" si="29"/>
        <v>7.1621620658312207E-2</v>
      </c>
      <c r="AV25" s="456">
        <f t="shared" si="30"/>
        <v>2.9842488539647164E-2</v>
      </c>
      <c r="AW25" s="456">
        <f>(AR25-AD55-AD61-AD102-AD108)/$AO$2*12+AD55+AD61+AD102+AD108</f>
        <v>422852935</v>
      </c>
      <c r="AX25" s="456">
        <f>(AS25-AG55-AG61-AG102-AG108)/$AO$2*12+AG55+AG61+AG102+AG108</f>
        <v>174683731</v>
      </c>
      <c r="AY25" s="456">
        <f t="shared" si="31"/>
        <v>143887033</v>
      </c>
      <c r="AZ25" s="170">
        <f t="shared" si="32"/>
        <v>392056237</v>
      </c>
      <c r="BB25" s="534"/>
      <c r="BM25" s="167" t="s">
        <v>475</v>
      </c>
      <c r="BN25" s="124">
        <f>+SUM(BN26:BN28)</f>
        <v>310892858</v>
      </c>
      <c r="BO25" s="125">
        <f>+SUM(BO26:BO28)</f>
        <v>19457457</v>
      </c>
      <c r="BP25" s="125">
        <f>+SUM(BP26:BP28)</f>
        <v>19457457</v>
      </c>
      <c r="BQ25" s="126">
        <f>+SUM(BQ26:BQ28)</f>
        <v>1063000</v>
      </c>
    </row>
    <row r="26" spans="1:70" s="10" customFormat="1" ht="15" x14ac:dyDescent="0.2">
      <c r="A26" s="188" t="s">
        <v>108</v>
      </c>
      <c r="B26" s="189" t="str">
        <f>+CONCATENATE("Vigencia ",INSTRUCCIONES!$F$3)</f>
        <v>Vigencia 2014</v>
      </c>
      <c r="C26" s="455">
        <v>2490198704</v>
      </c>
      <c r="D26" s="456">
        <f>P26</f>
        <v>0</v>
      </c>
      <c r="E26" s="456">
        <f>Q26</f>
        <v>0</v>
      </c>
      <c r="F26" s="170">
        <f>SUM(C26:E26)</f>
        <v>2490198704</v>
      </c>
      <c r="G26" s="283">
        <v>0</v>
      </c>
      <c r="H26" s="457">
        <v>202971187</v>
      </c>
      <c r="I26" s="170">
        <f>SUM(G26:H26)</f>
        <v>202971187</v>
      </c>
      <c r="J26" s="283">
        <v>0</v>
      </c>
      <c r="K26" s="457">
        <v>170466596</v>
      </c>
      <c r="L26" s="170">
        <f>SUM(J26:K26)</f>
        <v>170466596</v>
      </c>
      <c r="M26" s="283">
        <f>F26-I26</f>
        <v>2287227517</v>
      </c>
      <c r="N26" s="170">
        <f>F26-L26</f>
        <v>2319732108</v>
      </c>
      <c r="P26" s="455">
        <v>0</v>
      </c>
      <c r="Q26" s="458">
        <v>0</v>
      </c>
      <c r="S26" s="156" t="s">
        <v>105</v>
      </c>
      <c r="T26" s="55" t="s">
        <v>430</v>
      </c>
      <c r="U26" s="487">
        <v>0</v>
      </c>
      <c r="V26" s="17">
        <f t="shared" si="19"/>
        <v>0</v>
      </c>
      <c r="W26" s="17">
        <f t="shared" si="20"/>
        <v>0</v>
      </c>
      <c r="X26" s="18">
        <f t="shared" si="21"/>
        <v>0</v>
      </c>
      <c r="Y26" s="21">
        <v>0</v>
      </c>
      <c r="Z26" s="457">
        <v>0</v>
      </c>
      <c r="AA26" s="18">
        <f t="shared" si="22"/>
        <v>0</v>
      </c>
      <c r="AB26" s="21">
        <v>0</v>
      </c>
      <c r="AC26" s="457">
        <v>0</v>
      </c>
      <c r="AD26" s="20">
        <f t="shared" si="23"/>
        <v>0</v>
      </c>
      <c r="AE26" s="21">
        <v>0</v>
      </c>
      <c r="AF26" s="457">
        <v>0</v>
      </c>
      <c r="AG26" s="18">
        <f t="shared" si="24"/>
        <v>0</v>
      </c>
      <c r="AH26" s="21">
        <f t="shared" si="25"/>
        <v>0</v>
      </c>
      <c r="AI26" s="17">
        <f t="shared" si="26"/>
        <v>0</v>
      </c>
      <c r="AJ26" s="18">
        <f t="shared" si="27"/>
        <v>0</v>
      </c>
      <c r="AL26" s="455">
        <v>0</v>
      </c>
      <c r="AM26" s="458">
        <v>0</v>
      </c>
      <c r="AO26" s="23"/>
      <c r="AP26" s="536" t="s">
        <v>122</v>
      </c>
      <c r="AQ26" s="401">
        <f>X110</f>
        <v>576550123</v>
      </c>
      <c r="AR26" s="401">
        <f>AD110</f>
        <v>70185131</v>
      </c>
      <c r="AS26" s="401">
        <f>AG110</f>
        <v>11183470</v>
      </c>
      <c r="AT26" s="454">
        <f>AO2/12</f>
        <v>8.3333333333333329E-2</v>
      </c>
      <c r="AU26" s="419">
        <f t="shared" si="29"/>
        <v>0.12173292173593032</v>
      </c>
      <c r="AV26" s="419">
        <f t="shared" si="30"/>
        <v>1.9397220733920476E-2</v>
      </c>
      <c r="AW26" s="533">
        <f>(AR26-AD121-AD139-AD143-AD153-AD168)/$AO$2*12+AD121+AD139+AD143+AD153+AD168</f>
        <v>426318942</v>
      </c>
      <c r="AX26" s="533">
        <f>(AS26-AG121-AG139-AG143-AG153-AG168)/$AO$2*12+AG121+AG139+AG143+AG153+AG168</f>
        <v>134061137</v>
      </c>
      <c r="AY26" s="533">
        <f t="shared" si="31"/>
        <v>150231181</v>
      </c>
      <c r="AZ26" s="62">
        <f t="shared" si="32"/>
        <v>442488986</v>
      </c>
      <c r="BA26" s="467"/>
      <c r="BB26" s="467"/>
      <c r="BC26" s="467"/>
      <c r="BD26" s="467"/>
      <c r="BE26" s="467"/>
      <c r="BF26" s="467"/>
      <c r="BG26" s="467"/>
      <c r="BH26" s="467"/>
      <c r="BI26" s="467"/>
      <c r="BJ26" s="467"/>
      <c r="BK26" s="467"/>
      <c r="BM26" s="127" t="s">
        <v>476</v>
      </c>
      <c r="BN26" s="104">
        <f>+X196+X212</f>
        <v>185254982</v>
      </c>
      <c r="BO26" s="102">
        <f>+AA196+AA212</f>
        <v>13797645</v>
      </c>
      <c r="BP26" s="102">
        <f>+AD196+AD212</f>
        <v>13797645</v>
      </c>
      <c r="BQ26" s="103">
        <f>+AF196+AF212</f>
        <v>463000</v>
      </c>
      <c r="BR26" s="467"/>
    </row>
    <row r="27" spans="1:70" s="514" customFormat="1" ht="15" x14ac:dyDescent="0.2">
      <c r="A27" s="188" t="s">
        <v>113</v>
      </c>
      <c r="B27" s="189" t="s">
        <v>132</v>
      </c>
      <c r="C27" s="455">
        <v>63000000</v>
      </c>
      <c r="D27" s="456">
        <f>P27</f>
        <v>0</v>
      </c>
      <c r="E27" s="456">
        <f>Q27</f>
        <v>0</v>
      </c>
      <c r="F27" s="170">
        <f>SUM(C27:E27)</f>
        <v>63000000</v>
      </c>
      <c r="G27" s="283">
        <v>0</v>
      </c>
      <c r="H27" s="457">
        <v>62933226</v>
      </c>
      <c r="I27" s="170">
        <f>SUM(G27:H27)</f>
        <v>62933226</v>
      </c>
      <c r="J27" s="283">
        <v>0</v>
      </c>
      <c r="K27" s="457">
        <v>62933226</v>
      </c>
      <c r="L27" s="170">
        <f>SUM(J27:K27)</f>
        <v>62933226</v>
      </c>
      <c r="M27" s="283">
        <f>F27-I27</f>
        <v>66774</v>
      </c>
      <c r="N27" s="170">
        <f>F27-L27</f>
        <v>66774</v>
      </c>
      <c r="O27" s="467"/>
      <c r="P27" s="455">
        <v>0</v>
      </c>
      <c r="Q27" s="458">
        <v>0</v>
      </c>
      <c r="R27" s="10"/>
      <c r="S27" s="156" t="s">
        <v>109</v>
      </c>
      <c r="T27" s="55" t="s">
        <v>431</v>
      </c>
      <c r="U27" s="487">
        <v>0</v>
      </c>
      <c r="V27" s="17">
        <f t="shared" si="19"/>
        <v>0</v>
      </c>
      <c r="W27" s="17">
        <f t="shared" si="20"/>
        <v>0</v>
      </c>
      <c r="X27" s="18">
        <f t="shared" si="21"/>
        <v>0</v>
      </c>
      <c r="Y27" s="21">
        <v>0</v>
      </c>
      <c r="Z27" s="457">
        <v>0</v>
      </c>
      <c r="AA27" s="18">
        <f t="shared" si="22"/>
        <v>0</v>
      </c>
      <c r="AB27" s="21">
        <v>0</v>
      </c>
      <c r="AC27" s="457">
        <v>0</v>
      </c>
      <c r="AD27" s="20">
        <f t="shared" si="23"/>
        <v>0</v>
      </c>
      <c r="AE27" s="21">
        <v>0</v>
      </c>
      <c r="AF27" s="457">
        <v>0</v>
      </c>
      <c r="AG27" s="18">
        <f t="shared" si="24"/>
        <v>0</v>
      </c>
      <c r="AH27" s="21">
        <f t="shared" si="25"/>
        <v>0</v>
      </c>
      <c r="AI27" s="17">
        <f t="shared" si="26"/>
        <v>0</v>
      </c>
      <c r="AJ27" s="18">
        <f t="shared" si="27"/>
        <v>0</v>
      </c>
      <c r="AK27" s="10"/>
      <c r="AL27" s="455">
        <v>0</v>
      </c>
      <c r="AM27" s="458">
        <v>0</v>
      </c>
      <c r="AN27" s="10"/>
      <c r="AO27" s="428"/>
      <c r="AP27" s="535" t="s">
        <v>126</v>
      </c>
      <c r="AQ27" s="456">
        <f>X170</f>
        <v>217489235</v>
      </c>
      <c r="AR27" s="456">
        <f>AD170</f>
        <v>19324431</v>
      </c>
      <c r="AS27" s="456">
        <f>AG170</f>
        <v>11399431</v>
      </c>
      <c r="AT27" s="528"/>
      <c r="AU27" s="456">
        <f t="shared" si="29"/>
        <v>8.8852356301680868E-2</v>
      </c>
      <c r="AV27" s="456">
        <f t="shared" si="30"/>
        <v>5.2413771191939684E-2</v>
      </c>
      <c r="AW27" s="456">
        <f>(AR27-AD174-AD183-AD191)/$AO$2*12+AD174+AD183+AD191</f>
        <v>156938578</v>
      </c>
      <c r="AX27" s="456">
        <f>(AS27-AG174-AG183-AG191)/$AO$2*12+AG174+AG183+AG191</f>
        <v>133753949</v>
      </c>
      <c r="AY27" s="456">
        <f t="shared" si="31"/>
        <v>60550657</v>
      </c>
      <c r="AZ27" s="170">
        <f t="shared" si="32"/>
        <v>83735286</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v>1130103</v>
      </c>
      <c r="B28" s="715" t="s">
        <v>116</v>
      </c>
      <c r="C28" s="52">
        <f t="shared" ref="C28:N28" si="34">C29+C32+C35</f>
        <v>227076373</v>
      </c>
      <c r="D28" s="53">
        <f t="shared" si="34"/>
        <v>0</v>
      </c>
      <c r="E28" s="53">
        <f t="shared" si="34"/>
        <v>0</v>
      </c>
      <c r="F28" s="54">
        <f t="shared" si="34"/>
        <v>227076373</v>
      </c>
      <c r="G28" s="52">
        <f t="shared" si="34"/>
        <v>0</v>
      </c>
      <c r="H28" s="53">
        <f t="shared" si="34"/>
        <v>0</v>
      </c>
      <c r="I28" s="54">
        <f t="shared" si="34"/>
        <v>0</v>
      </c>
      <c r="J28" s="52">
        <f t="shared" si="34"/>
        <v>0</v>
      </c>
      <c r="K28" s="53">
        <f t="shared" si="34"/>
        <v>0</v>
      </c>
      <c r="L28" s="54">
        <f t="shared" si="34"/>
        <v>0</v>
      </c>
      <c r="M28" s="52">
        <f t="shared" si="34"/>
        <v>227076373</v>
      </c>
      <c r="N28" s="54">
        <f t="shared" si="34"/>
        <v>227076373</v>
      </c>
      <c r="O28" s="467"/>
      <c r="P28" s="52">
        <f>P29+P32+P35</f>
        <v>0</v>
      </c>
      <c r="Q28" s="54">
        <f>Q29+Q32+Q35</f>
        <v>0</v>
      </c>
      <c r="R28" s="10"/>
      <c r="S28" s="156" t="s">
        <v>114</v>
      </c>
      <c r="T28" s="55" t="s">
        <v>432</v>
      </c>
      <c r="U28" s="487">
        <v>9130335</v>
      </c>
      <c r="V28" s="17">
        <f t="shared" si="19"/>
        <v>0</v>
      </c>
      <c r="W28" s="17">
        <f t="shared" si="20"/>
        <v>0</v>
      </c>
      <c r="X28" s="18">
        <f t="shared" si="21"/>
        <v>9130335</v>
      </c>
      <c r="Y28" s="21">
        <v>0</v>
      </c>
      <c r="Z28" s="457">
        <v>683642</v>
      </c>
      <c r="AA28" s="18">
        <f t="shared" si="22"/>
        <v>683642</v>
      </c>
      <c r="AB28" s="21">
        <v>0</v>
      </c>
      <c r="AC28" s="457">
        <v>683642</v>
      </c>
      <c r="AD28" s="20">
        <f t="shared" si="23"/>
        <v>683642</v>
      </c>
      <c r="AE28" s="21">
        <v>0</v>
      </c>
      <c r="AF28" s="457">
        <v>683642</v>
      </c>
      <c r="AG28" s="18">
        <f t="shared" si="24"/>
        <v>683642</v>
      </c>
      <c r="AH28" s="21">
        <f t="shared" si="25"/>
        <v>8446693</v>
      </c>
      <c r="AI28" s="17">
        <f t="shared" si="26"/>
        <v>8446693</v>
      </c>
      <c r="AJ28" s="18">
        <f t="shared" si="27"/>
        <v>8446693</v>
      </c>
      <c r="AK28" s="10"/>
      <c r="AL28" s="455">
        <v>0</v>
      </c>
      <c r="AM28" s="458">
        <v>0</v>
      </c>
      <c r="AN28" s="10"/>
      <c r="AO28" s="428"/>
      <c r="AP28" s="535" t="s">
        <v>129</v>
      </c>
      <c r="AQ28" s="528">
        <f>X193</f>
        <v>355892858</v>
      </c>
      <c r="AR28" s="528">
        <f>AD193</f>
        <v>79674748</v>
      </c>
      <c r="AS28" s="528">
        <f>AG193</f>
        <v>1063000</v>
      </c>
      <c r="AT28" s="528"/>
      <c r="AU28" s="456">
        <f t="shared" si="29"/>
        <v>0.22387284883362285</v>
      </c>
      <c r="AV28" s="456">
        <f t="shared" si="30"/>
        <v>2.9868539817677377E-3</v>
      </c>
      <c r="AW28" s="456">
        <f>(AR28-AD205)/$AO$2*12+AD205</f>
        <v>293706775</v>
      </c>
      <c r="AX28" s="456">
        <f>(AS28-AG205)/$AO$2*12+AG205</f>
        <v>12756000</v>
      </c>
      <c r="AY28" s="456">
        <f t="shared" si="31"/>
        <v>62186083</v>
      </c>
      <c r="AZ28" s="170">
        <f t="shared" si="32"/>
        <v>343136858</v>
      </c>
      <c r="BA28" s="467"/>
      <c r="BB28" s="467"/>
      <c r="BC28" s="467"/>
      <c r="BD28" s="467"/>
      <c r="BE28" s="467"/>
      <c r="BF28" s="467"/>
      <c r="BG28" s="467"/>
      <c r="BH28" s="467"/>
      <c r="BI28" s="467"/>
      <c r="BJ28" s="467"/>
      <c r="BK28" s="467"/>
      <c r="BL28" s="467"/>
      <c r="BM28" s="89" t="s">
        <v>478</v>
      </c>
      <c r="BN28" s="101">
        <f>+X194-X196-X205</f>
        <v>125637876</v>
      </c>
      <c r="BO28" s="99">
        <f>+AA194-AA196-AA205</f>
        <v>5659812</v>
      </c>
      <c r="BP28" s="99">
        <f>+AD194-AD196-AD205</f>
        <v>5659812</v>
      </c>
      <c r="BQ28" s="100">
        <f>+AF194-AF196-AF205</f>
        <v>600000</v>
      </c>
      <c r="BR28" s="10"/>
    </row>
    <row r="29" spans="1:70" s="10" customFormat="1" ht="15" x14ac:dyDescent="0.25">
      <c r="A29" s="61" t="s">
        <v>119</v>
      </c>
      <c r="B29" s="62" t="s">
        <v>120</v>
      </c>
      <c r="C29" s="21">
        <f t="shared" ref="C29:N29" si="35">SUM(C30:C31)</f>
        <v>227076373</v>
      </c>
      <c r="D29" s="17">
        <f t="shared" si="35"/>
        <v>0</v>
      </c>
      <c r="E29" s="17">
        <f t="shared" si="35"/>
        <v>0</v>
      </c>
      <c r="F29" s="18">
        <f t="shared" si="35"/>
        <v>227076373</v>
      </c>
      <c r="G29" s="21">
        <f t="shared" si="35"/>
        <v>0</v>
      </c>
      <c r="H29" s="17">
        <f t="shared" si="35"/>
        <v>0</v>
      </c>
      <c r="I29" s="18">
        <f t="shared" si="35"/>
        <v>0</v>
      </c>
      <c r="J29" s="21">
        <f t="shared" si="35"/>
        <v>0</v>
      </c>
      <c r="K29" s="17">
        <f t="shared" si="35"/>
        <v>0</v>
      </c>
      <c r="L29" s="18">
        <f t="shared" si="35"/>
        <v>0</v>
      </c>
      <c r="M29" s="21">
        <f t="shared" si="35"/>
        <v>227076373</v>
      </c>
      <c r="N29" s="18">
        <f t="shared" si="35"/>
        <v>227076373</v>
      </c>
      <c r="O29" s="467"/>
      <c r="P29" s="171">
        <f>SUM(P30:P31)</f>
        <v>0</v>
      </c>
      <c r="Q29" s="173">
        <f>SUM(Q30:Q31)</f>
        <v>0</v>
      </c>
      <c r="S29" s="156" t="s">
        <v>117</v>
      </c>
      <c r="T29" s="55" t="s">
        <v>433</v>
      </c>
      <c r="U29" s="487">
        <v>0</v>
      </c>
      <c r="V29" s="17">
        <f t="shared" si="19"/>
        <v>0</v>
      </c>
      <c r="W29" s="17">
        <f t="shared" si="20"/>
        <v>0</v>
      </c>
      <c r="X29" s="18">
        <f t="shared" si="21"/>
        <v>0</v>
      </c>
      <c r="Y29" s="21">
        <v>0</v>
      </c>
      <c r="Z29" s="457">
        <v>0</v>
      </c>
      <c r="AA29" s="18">
        <f t="shared" si="22"/>
        <v>0</v>
      </c>
      <c r="AB29" s="21">
        <v>0</v>
      </c>
      <c r="AC29" s="457">
        <v>0</v>
      </c>
      <c r="AD29" s="20">
        <f t="shared" si="23"/>
        <v>0</v>
      </c>
      <c r="AE29" s="21">
        <v>0</v>
      </c>
      <c r="AF29" s="457">
        <v>0</v>
      </c>
      <c r="AG29" s="18">
        <f t="shared" si="24"/>
        <v>0</v>
      </c>
      <c r="AH29" s="21">
        <f t="shared" si="25"/>
        <v>0</v>
      </c>
      <c r="AI29" s="17">
        <f t="shared" si="26"/>
        <v>0</v>
      </c>
      <c r="AJ29" s="18">
        <f t="shared" si="27"/>
        <v>0</v>
      </c>
      <c r="AL29" s="455">
        <v>0</v>
      </c>
      <c r="AM29" s="458">
        <v>0</v>
      </c>
      <c r="AO29" s="23"/>
      <c r="AP29" s="536" t="s">
        <v>133</v>
      </c>
      <c r="AQ29" s="14">
        <f>X207</f>
        <v>0</v>
      </c>
      <c r="AR29" s="14">
        <f>AD207</f>
        <v>0</v>
      </c>
      <c r="AS29" s="14">
        <f>AG207</f>
        <v>0</v>
      </c>
      <c r="AT29" s="401"/>
      <c r="AU29" s="419" t="str">
        <f t="shared" si="29"/>
        <v xml:space="preserve"> </v>
      </c>
      <c r="AV29" s="419" t="str">
        <f t="shared" si="30"/>
        <v xml:space="preserve"> </v>
      </c>
      <c r="AW29" s="533">
        <f>(AR29-AD218)/$AO$2*12+AD218</f>
        <v>0</v>
      </c>
      <c r="AX29" s="533">
        <f>(AS29-AG218)/$AO$2*12+AG218</f>
        <v>0</v>
      </c>
      <c r="AY29" s="533">
        <v>0</v>
      </c>
      <c r="AZ29" s="62">
        <f t="shared" si="32"/>
        <v>0</v>
      </c>
      <c r="BA29" s="467"/>
      <c r="BB29" s="467"/>
      <c r="BC29" s="467"/>
      <c r="BD29" s="467"/>
      <c r="BE29" s="467"/>
      <c r="BF29" s="514"/>
      <c r="BG29" s="467"/>
      <c r="BH29" s="467"/>
      <c r="BI29" s="467"/>
      <c r="BJ29" s="467"/>
      <c r="BK29" s="467"/>
      <c r="BM29" s="128" t="s">
        <v>72</v>
      </c>
      <c r="BN29" s="124">
        <f>X232-X256-X241</f>
        <v>120000000</v>
      </c>
      <c r="BO29" s="125">
        <f>AA232-AA256-AA241</f>
        <v>0</v>
      </c>
      <c r="BP29" s="125">
        <f>AD232-AD256-AD241</f>
        <v>0</v>
      </c>
      <c r="BQ29" s="126">
        <f>AF232-AF256-AF241</f>
        <v>0</v>
      </c>
      <c r="BR29" s="467"/>
    </row>
    <row r="30" spans="1:70" s="514" customFormat="1" ht="15" x14ac:dyDescent="0.25">
      <c r="A30" s="188" t="s">
        <v>123</v>
      </c>
      <c r="B30" s="189" t="str">
        <f>+CONCATENATE("Vigencia ",INSTRUCCIONES!$F$3)</f>
        <v>Vigencia 2014</v>
      </c>
      <c r="C30" s="455">
        <v>227076373</v>
      </c>
      <c r="D30" s="456">
        <f>P30</f>
        <v>0</v>
      </c>
      <c r="E30" s="456">
        <f>Q30</f>
        <v>0</v>
      </c>
      <c r="F30" s="170">
        <f>SUM(C30:E30)</f>
        <v>227076373</v>
      </c>
      <c r="G30" s="283">
        <v>0</v>
      </c>
      <c r="H30" s="457">
        <v>0</v>
      </c>
      <c r="I30" s="170">
        <f>SUM(G30:H30)</f>
        <v>0</v>
      </c>
      <c r="J30" s="283">
        <v>0</v>
      </c>
      <c r="K30" s="457">
        <v>0</v>
      </c>
      <c r="L30" s="170">
        <f>SUM(J30:K30)</f>
        <v>0</v>
      </c>
      <c r="M30" s="283">
        <f>F30-I30</f>
        <v>227076373</v>
      </c>
      <c r="N30" s="170">
        <f>F30-L30</f>
        <v>227076373</v>
      </c>
      <c r="O30" s="10"/>
      <c r="P30" s="455">
        <v>0</v>
      </c>
      <c r="Q30" s="458">
        <v>0</v>
      </c>
      <c r="R30" s="10"/>
      <c r="S30" s="156" t="s">
        <v>121</v>
      </c>
      <c r="T30" s="55" t="s">
        <v>434</v>
      </c>
      <c r="U30" s="487">
        <v>0</v>
      </c>
      <c r="V30" s="17">
        <f t="shared" si="19"/>
        <v>0</v>
      </c>
      <c r="W30" s="17">
        <f t="shared" si="20"/>
        <v>0</v>
      </c>
      <c r="X30" s="18">
        <f t="shared" si="21"/>
        <v>0</v>
      </c>
      <c r="Y30" s="21">
        <v>0</v>
      </c>
      <c r="Z30" s="457">
        <v>0</v>
      </c>
      <c r="AA30" s="18">
        <f t="shared" si="22"/>
        <v>0</v>
      </c>
      <c r="AB30" s="21">
        <v>0</v>
      </c>
      <c r="AC30" s="457">
        <v>0</v>
      </c>
      <c r="AD30" s="20">
        <f t="shared" si="23"/>
        <v>0</v>
      </c>
      <c r="AE30" s="21">
        <v>0</v>
      </c>
      <c r="AF30" s="457">
        <v>0</v>
      </c>
      <c r="AG30" s="18">
        <f t="shared" si="24"/>
        <v>0</v>
      </c>
      <c r="AH30" s="21">
        <f t="shared" si="25"/>
        <v>0</v>
      </c>
      <c r="AI30" s="17">
        <f t="shared" si="26"/>
        <v>0</v>
      </c>
      <c r="AJ30" s="18">
        <f t="shared" si="27"/>
        <v>0</v>
      </c>
      <c r="AK30" s="10"/>
      <c r="AL30" s="455">
        <v>0</v>
      </c>
      <c r="AM30" s="458">
        <v>0</v>
      </c>
      <c r="AN30" s="10"/>
      <c r="AO30" s="453" t="s">
        <v>53</v>
      </c>
      <c r="AP30" s="535" t="s">
        <v>136</v>
      </c>
      <c r="AQ30" s="456">
        <f>X220+X232</f>
        <v>121563100</v>
      </c>
      <c r="AR30" s="456">
        <f>AD220+AD232</f>
        <v>0</v>
      </c>
      <c r="AS30" s="456">
        <f>AG220+AG232</f>
        <v>0</v>
      </c>
      <c r="AT30" s="528"/>
      <c r="AU30" s="456">
        <f t="shared" si="29"/>
        <v>0</v>
      </c>
      <c r="AV30" s="456">
        <f t="shared" si="30"/>
        <v>0</v>
      </c>
      <c r="AW30" s="456">
        <f>(AR30-AD225-AD230-AD241-AD256)/$AO$2*12+AD225+AD230+AD241+AD256</f>
        <v>0</v>
      </c>
      <c r="AX30" s="456">
        <f>(AS30-AG225-AG230-AG241-AG256)/$AO$2*12+AG225+AG230+AG241+AG256</f>
        <v>0</v>
      </c>
      <c r="AY30" s="456">
        <f>AQ30-AW30</f>
        <v>121563100</v>
      </c>
      <c r="AZ30" s="170">
        <f t="shared" si="32"/>
        <v>121563100</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
        <v>127</v>
      </c>
      <c r="B31" s="189" t="s">
        <v>132</v>
      </c>
      <c r="C31" s="455">
        <v>0</v>
      </c>
      <c r="D31" s="456">
        <f>P31</f>
        <v>0</v>
      </c>
      <c r="E31" s="456">
        <f>Q31</f>
        <v>0</v>
      </c>
      <c r="F31" s="170">
        <f>SUM(C31:E31)</f>
        <v>0</v>
      </c>
      <c r="G31" s="283">
        <v>0</v>
      </c>
      <c r="H31" s="457">
        <v>0</v>
      </c>
      <c r="I31" s="170">
        <f>SUM(G31:H31)</f>
        <v>0</v>
      </c>
      <c r="J31" s="283">
        <v>0</v>
      </c>
      <c r="K31" s="457">
        <v>0</v>
      </c>
      <c r="L31" s="170">
        <f>SUM(J31:K31)</f>
        <v>0</v>
      </c>
      <c r="M31" s="283">
        <f>F31-I31</f>
        <v>0</v>
      </c>
      <c r="N31" s="170">
        <f>F31-L31</f>
        <v>0</v>
      </c>
      <c r="O31" s="467"/>
      <c r="P31" s="455">
        <v>0</v>
      </c>
      <c r="Q31" s="458">
        <v>0</v>
      </c>
      <c r="R31" s="10"/>
      <c r="S31" s="156" t="s">
        <v>124</v>
      </c>
      <c r="T31" s="55" t="s">
        <v>125</v>
      </c>
      <c r="U31" s="487">
        <v>2046504</v>
      </c>
      <c r="V31" s="17">
        <f t="shared" si="19"/>
        <v>0</v>
      </c>
      <c r="W31" s="17">
        <f t="shared" si="20"/>
        <v>0</v>
      </c>
      <c r="X31" s="18">
        <f t="shared" si="21"/>
        <v>2046504</v>
      </c>
      <c r="Y31" s="21">
        <v>0</v>
      </c>
      <c r="Z31" s="457">
        <v>175572</v>
      </c>
      <c r="AA31" s="18">
        <f t="shared" si="22"/>
        <v>175572</v>
      </c>
      <c r="AB31" s="21">
        <v>0</v>
      </c>
      <c r="AC31" s="457">
        <v>175572</v>
      </c>
      <c r="AD31" s="20">
        <f t="shared" si="23"/>
        <v>175572</v>
      </c>
      <c r="AE31" s="21">
        <v>0</v>
      </c>
      <c r="AF31" s="457">
        <v>175572</v>
      </c>
      <c r="AG31" s="18">
        <f t="shared" si="24"/>
        <v>175572</v>
      </c>
      <c r="AH31" s="21">
        <f t="shared" si="25"/>
        <v>1870932</v>
      </c>
      <c r="AI31" s="17">
        <f t="shared" si="26"/>
        <v>1870932</v>
      </c>
      <c r="AJ31" s="18">
        <f t="shared" si="27"/>
        <v>1870932</v>
      </c>
      <c r="AK31" s="10"/>
      <c r="AL31" s="455">
        <v>0</v>
      </c>
      <c r="AM31" s="458">
        <v>0</v>
      </c>
      <c r="AN31" s="10"/>
      <c r="AO31" s="428"/>
      <c r="AP31" s="507" t="s">
        <v>139</v>
      </c>
      <c r="AQ31" s="528">
        <f>X258</f>
        <v>0</v>
      </c>
      <c r="AR31" s="528">
        <f>AD258</f>
        <v>-104110043</v>
      </c>
      <c r="AS31" s="528">
        <f>AG258</f>
        <v>-155121697</v>
      </c>
      <c r="AT31" s="528"/>
      <c r="AU31" s="456" t="str">
        <f t="shared" si="29"/>
        <v xml:space="preserve"> </v>
      </c>
      <c r="AV31" s="456" t="str">
        <f t="shared" si="30"/>
        <v xml:space="preserve"> </v>
      </c>
      <c r="AW31" s="456">
        <f>AQ31</f>
        <v>0</v>
      </c>
      <c r="AX31" s="456">
        <f>AQ31</f>
        <v>0</v>
      </c>
      <c r="AY31" s="456">
        <f>AQ31-AW31</f>
        <v>0</v>
      </c>
      <c r="AZ31" s="170">
        <f t="shared" si="32"/>
        <v>0</v>
      </c>
      <c r="BA31" s="467"/>
      <c r="BF31" s="467"/>
      <c r="BG31" s="467"/>
      <c r="BH31" s="467"/>
      <c r="BI31" s="467"/>
      <c r="BJ31" s="467"/>
      <c r="BK31" s="467"/>
      <c r="BL31" s="467"/>
      <c r="BM31" s="128" t="s">
        <v>134</v>
      </c>
      <c r="BN31" s="124">
        <f>X33+X41+X55+X61+X81+X88+X102+X108+X121+X139+X143+X153+X168+X174+X183+X191+X205+X218+X230+X241+X256+X225</f>
        <v>91581965</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22670543</v>
      </c>
      <c r="BR31" s="10"/>
    </row>
    <row r="32" spans="1:70" s="10" customFormat="1" ht="15.75" thickBot="1" x14ac:dyDescent="0.3">
      <c r="A32" s="61" t="s">
        <v>130</v>
      </c>
      <c r="B32" s="62" t="s">
        <v>131</v>
      </c>
      <c r="C32" s="21">
        <f t="shared" ref="C32:N32" si="36">SUM(C33:C34)</f>
        <v>0</v>
      </c>
      <c r="D32" s="17">
        <f t="shared" si="36"/>
        <v>0</v>
      </c>
      <c r="E32" s="17">
        <f t="shared" si="36"/>
        <v>0</v>
      </c>
      <c r="F32" s="18">
        <f t="shared" si="36"/>
        <v>0</v>
      </c>
      <c r="G32" s="21">
        <f t="shared" si="36"/>
        <v>0</v>
      </c>
      <c r="H32" s="17">
        <f t="shared" si="36"/>
        <v>0</v>
      </c>
      <c r="I32" s="18">
        <f t="shared" si="36"/>
        <v>0</v>
      </c>
      <c r="J32" s="21">
        <f t="shared" si="36"/>
        <v>0</v>
      </c>
      <c r="K32" s="17">
        <f t="shared" si="36"/>
        <v>0</v>
      </c>
      <c r="L32" s="18">
        <f t="shared" si="36"/>
        <v>0</v>
      </c>
      <c r="M32" s="21">
        <f t="shared" si="36"/>
        <v>0</v>
      </c>
      <c r="N32" s="18">
        <f t="shared" si="36"/>
        <v>0</v>
      </c>
      <c r="O32" s="467"/>
      <c r="P32" s="171">
        <f>SUM(P33:P34)</f>
        <v>0</v>
      </c>
      <c r="Q32" s="173">
        <f>SUM(Q33:Q34)</f>
        <v>0</v>
      </c>
      <c r="S32" s="156" t="s">
        <v>128</v>
      </c>
      <c r="T32" s="205"/>
      <c r="U32" s="487">
        <v>0</v>
      </c>
      <c r="V32" s="17">
        <f t="shared" si="19"/>
        <v>0</v>
      </c>
      <c r="W32" s="17">
        <f t="shared" si="20"/>
        <v>0</v>
      </c>
      <c r="X32" s="18">
        <f t="shared" si="21"/>
        <v>0</v>
      </c>
      <c r="Y32" s="21">
        <v>0</v>
      </c>
      <c r="Z32" s="457">
        <v>0</v>
      </c>
      <c r="AA32" s="18">
        <f t="shared" si="22"/>
        <v>0</v>
      </c>
      <c r="AB32" s="21">
        <v>0</v>
      </c>
      <c r="AC32" s="457">
        <v>0</v>
      </c>
      <c r="AD32" s="20">
        <f t="shared" si="23"/>
        <v>0</v>
      </c>
      <c r="AE32" s="21">
        <v>0</v>
      </c>
      <c r="AF32" s="457">
        <v>0</v>
      </c>
      <c r="AG32" s="18">
        <f t="shared" si="24"/>
        <v>0</v>
      </c>
      <c r="AH32" s="21">
        <f t="shared" si="25"/>
        <v>0</v>
      </c>
      <c r="AI32" s="17">
        <f t="shared" si="26"/>
        <v>0</v>
      </c>
      <c r="AJ32" s="18">
        <f t="shared" si="27"/>
        <v>0</v>
      </c>
      <c r="AL32" s="455">
        <v>0</v>
      </c>
      <c r="AM32" s="458">
        <v>0</v>
      </c>
      <c r="AO32" s="23"/>
      <c r="AP32" s="537" t="s">
        <v>144</v>
      </c>
      <c r="AQ32" s="483">
        <f>SUM(AQ22:AQ31)</f>
        <v>3631501012</v>
      </c>
      <c r="AR32" s="483">
        <f>SUM(AR22:AR31)</f>
        <v>256453856</v>
      </c>
      <c r="AS32" s="483">
        <f>SUM(AS22:AS31)</f>
        <v>0</v>
      </c>
      <c r="AT32" s="538"/>
      <c r="AU32" s="539">
        <f t="shared" si="29"/>
        <v>7.0619243985495003E-2</v>
      </c>
      <c r="AV32" s="539">
        <f t="shared" si="30"/>
        <v>0</v>
      </c>
      <c r="AW32" s="430">
        <f>SUM(AW22:AW31)</f>
        <v>2883823531</v>
      </c>
      <c r="AX32" s="430">
        <f>SUM(AX22:AX31)</f>
        <v>1769129535</v>
      </c>
      <c r="AY32" s="430">
        <f>SUM(AY22:AY31)</f>
        <v>747677481</v>
      </c>
      <c r="AZ32" s="431">
        <f>SUM(AZ22:AZ31)</f>
        <v>1862371477</v>
      </c>
      <c r="BA32" s="467"/>
      <c r="BB32" s="467"/>
      <c r="BC32" s="467"/>
      <c r="BD32" s="467"/>
      <c r="BE32" s="467"/>
      <c r="BF32" s="514"/>
      <c r="BG32" s="467"/>
      <c r="BH32" s="467"/>
      <c r="BI32" s="467"/>
      <c r="BJ32" s="467"/>
      <c r="BK32" s="467"/>
      <c r="BM32" s="128" t="s">
        <v>140</v>
      </c>
      <c r="BN32" s="124">
        <f>+BN7+BN25+BN29+BN30+BN31</f>
        <v>3631501012</v>
      </c>
      <c r="BO32" s="125">
        <f t="shared" ref="BO32:BQ32" si="37">+BO7+BO25+BO29+BO30+BO31</f>
        <v>360710187</v>
      </c>
      <c r="BP32" s="125">
        <f t="shared" si="37"/>
        <v>360563899</v>
      </c>
      <c r="BQ32" s="126">
        <f t="shared" si="37"/>
        <v>155121697</v>
      </c>
      <c r="BR32" s="467"/>
    </row>
    <row r="33" spans="1:70" s="514" customFormat="1" ht="15.75" thickBot="1" x14ac:dyDescent="0.3">
      <c r="A33" s="188" t="s">
        <v>135</v>
      </c>
      <c r="B33" s="189" t="str">
        <f>+CONCATENATE("Vigencia ",INSTRUCCIONES!$F$3)</f>
        <v>Vigencia 2014</v>
      </c>
      <c r="C33" s="455">
        <v>0</v>
      </c>
      <c r="D33" s="456">
        <f>P33</f>
        <v>0</v>
      </c>
      <c r="E33" s="456">
        <f>Q33</f>
        <v>0</v>
      </c>
      <c r="F33" s="170">
        <f>SUM(C33:E33)</f>
        <v>0</v>
      </c>
      <c r="G33" s="283">
        <v>0</v>
      </c>
      <c r="H33" s="457">
        <v>0</v>
      </c>
      <c r="I33" s="170">
        <f>SUM(G33:H33)</f>
        <v>0</v>
      </c>
      <c r="J33" s="283">
        <v>0</v>
      </c>
      <c r="K33" s="457">
        <v>0</v>
      </c>
      <c r="L33" s="170">
        <f>SUM(J33:K33)</f>
        <v>0</v>
      </c>
      <c r="M33" s="283">
        <f>F33-I33</f>
        <v>0</v>
      </c>
      <c r="N33" s="170">
        <f>F33-L33</f>
        <v>0</v>
      </c>
      <c r="O33" s="10"/>
      <c r="P33" s="455">
        <v>0</v>
      </c>
      <c r="Q33" s="458">
        <v>0</v>
      </c>
      <c r="R33" s="10"/>
      <c r="S33" s="155">
        <v>1010199</v>
      </c>
      <c r="T33" s="159" t="s">
        <v>132</v>
      </c>
      <c r="U33" s="487">
        <v>4029851</v>
      </c>
      <c r="V33" s="17">
        <f t="shared" si="19"/>
        <v>0</v>
      </c>
      <c r="W33" s="17">
        <f t="shared" si="20"/>
        <v>0</v>
      </c>
      <c r="X33" s="18">
        <f t="shared" si="21"/>
        <v>4029851</v>
      </c>
      <c r="Y33" s="21">
        <v>0</v>
      </c>
      <c r="Z33" s="457">
        <v>553000</v>
      </c>
      <c r="AA33" s="18">
        <f t="shared" si="22"/>
        <v>553000</v>
      </c>
      <c r="AB33" s="21">
        <v>0</v>
      </c>
      <c r="AC33" s="457">
        <v>553000</v>
      </c>
      <c r="AD33" s="20">
        <f t="shared" si="23"/>
        <v>553000</v>
      </c>
      <c r="AE33" s="21">
        <v>0</v>
      </c>
      <c r="AF33" s="457">
        <v>0</v>
      </c>
      <c r="AG33" s="18">
        <f t="shared" si="24"/>
        <v>0</v>
      </c>
      <c r="AH33" s="21">
        <f t="shared" si="25"/>
        <v>3476851</v>
      </c>
      <c r="AI33" s="17">
        <f t="shared" si="26"/>
        <v>3476851</v>
      </c>
      <c r="AJ33" s="18">
        <f t="shared" si="27"/>
        <v>4029851</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-43398310</v>
      </c>
      <c r="BP33" s="131">
        <f>AD258</f>
        <v>-104110043</v>
      </c>
      <c r="BQ33" s="132">
        <f>AF258</f>
        <v>3219925459</v>
      </c>
      <c r="BR33" s="467"/>
    </row>
    <row r="34" spans="1:70" s="514" customFormat="1" ht="16.5" thickBot="1" x14ac:dyDescent="0.25">
      <c r="A34" s="188" t="s">
        <v>138</v>
      </c>
      <c r="B34" s="189" t="s">
        <v>132</v>
      </c>
      <c r="C34" s="455">
        <v>0</v>
      </c>
      <c r="D34" s="456">
        <f>P34</f>
        <v>0</v>
      </c>
      <c r="E34" s="456">
        <f>Q34</f>
        <v>0</v>
      </c>
      <c r="F34" s="170">
        <f>SUM(C34:E34)</f>
        <v>0</v>
      </c>
      <c r="G34" s="283">
        <v>0</v>
      </c>
      <c r="H34" s="457">
        <v>0</v>
      </c>
      <c r="I34" s="170">
        <f>SUM(G34:H34)</f>
        <v>0</v>
      </c>
      <c r="J34" s="283">
        <v>0</v>
      </c>
      <c r="K34" s="457">
        <v>0</v>
      </c>
      <c r="L34" s="170">
        <f>SUM(J34:K34)</f>
        <v>0</v>
      </c>
      <c r="M34" s="283">
        <f>F34-I34</f>
        <v>0</v>
      </c>
      <c r="N34" s="170">
        <f>F34-L34</f>
        <v>0</v>
      </c>
      <c r="O34" s="467"/>
      <c r="P34" s="455">
        <v>0</v>
      </c>
      <c r="Q34" s="458">
        <v>0</v>
      </c>
      <c r="R34" s="10"/>
      <c r="S34" s="448"/>
      <c r="T34" s="449"/>
      <c r="U34" s="193"/>
      <c r="V34" s="193"/>
      <c r="W34" s="193"/>
      <c r="X34" s="207"/>
      <c r="Y34" s="450"/>
      <c r="Z34" s="193"/>
      <c r="AA34" s="207"/>
      <c r="AB34" s="450"/>
      <c r="AC34" s="193"/>
      <c r="AD34" s="193"/>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F34" s="467"/>
      <c r="BG34" s="467"/>
      <c r="BH34" s="467"/>
      <c r="BI34" s="467"/>
      <c r="BJ34" s="467"/>
      <c r="BK34" s="467"/>
      <c r="BL34" s="467"/>
      <c r="BM34" s="10"/>
      <c r="BN34" s="10"/>
      <c r="BO34" s="10"/>
      <c r="BP34" s="10"/>
      <c r="BQ34" s="10"/>
      <c r="BR34" s="10"/>
    </row>
    <row r="35" spans="1:70" s="467" customFormat="1" ht="15.75" thickBot="1" x14ac:dyDescent="0.25">
      <c r="A35" s="61" t="s">
        <v>141</v>
      </c>
      <c r="B35" s="62" t="s">
        <v>142</v>
      </c>
      <c r="C35" s="21">
        <f t="shared" ref="C35:N35" si="38">SUM(C36:C37)</f>
        <v>0</v>
      </c>
      <c r="D35" s="17">
        <f t="shared" si="38"/>
        <v>0</v>
      </c>
      <c r="E35" s="17">
        <f t="shared" si="38"/>
        <v>0</v>
      </c>
      <c r="F35" s="18">
        <f t="shared" si="38"/>
        <v>0</v>
      </c>
      <c r="G35" s="21">
        <f t="shared" si="38"/>
        <v>0</v>
      </c>
      <c r="H35" s="17">
        <f t="shared" si="38"/>
        <v>0</v>
      </c>
      <c r="I35" s="18">
        <f t="shared" si="38"/>
        <v>0</v>
      </c>
      <c r="J35" s="21">
        <f t="shared" si="38"/>
        <v>0</v>
      </c>
      <c r="K35" s="17">
        <f t="shared" si="38"/>
        <v>0</v>
      </c>
      <c r="L35" s="18">
        <f t="shared" si="38"/>
        <v>0</v>
      </c>
      <c r="M35" s="21">
        <f t="shared" si="38"/>
        <v>0</v>
      </c>
      <c r="N35" s="18">
        <f t="shared" si="38"/>
        <v>0</v>
      </c>
      <c r="P35" s="171">
        <f>SUM(P36:P37)</f>
        <v>0</v>
      </c>
      <c r="Q35" s="173">
        <f>SUM(Q36:Q37)</f>
        <v>0</v>
      </c>
      <c r="R35" s="10"/>
      <c r="S35" s="34">
        <v>1010200</v>
      </c>
      <c r="T35" s="158" t="s">
        <v>115</v>
      </c>
      <c r="U35" s="157">
        <f t="shared" ref="U35:AJ35" si="39">SUM(U36:U41)</f>
        <v>113755696</v>
      </c>
      <c r="V35" s="144">
        <f t="shared" si="39"/>
        <v>0</v>
      </c>
      <c r="W35" s="144">
        <f t="shared" si="39"/>
        <v>0</v>
      </c>
      <c r="X35" s="153">
        <f t="shared" si="39"/>
        <v>113755696</v>
      </c>
      <c r="Y35" s="151">
        <f t="shared" si="39"/>
        <v>0</v>
      </c>
      <c r="Z35" s="144">
        <f t="shared" si="39"/>
        <v>3383291</v>
      </c>
      <c r="AA35" s="153">
        <f t="shared" si="39"/>
        <v>3383291</v>
      </c>
      <c r="AB35" s="151">
        <f t="shared" si="39"/>
        <v>0</v>
      </c>
      <c r="AC35" s="144">
        <f t="shared" si="39"/>
        <v>3383291</v>
      </c>
      <c r="AD35" s="152">
        <f t="shared" si="39"/>
        <v>3383291</v>
      </c>
      <c r="AE35" s="151">
        <f t="shared" si="39"/>
        <v>0</v>
      </c>
      <c r="AF35" s="144">
        <f t="shared" si="39"/>
        <v>530550</v>
      </c>
      <c r="AG35" s="153">
        <f t="shared" si="39"/>
        <v>530550</v>
      </c>
      <c r="AH35" s="151">
        <f t="shared" si="39"/>
        <v>110372405</v>
      </c>
      <c r="AI35" s="144">
        <f t="shared" si="39"/>
        <v>110372405</v>
      </c>
      <c r="AJ35" s="153">
        <f t="shared" si="39"/>
        <v>113225146</v>
      </c>
      <c r="AK35" s="10"/>
      <c r="AL35" s="151">
        <f>SUM(AL36:AL41)</f>
        <v>0</v>
      </c>
      <c r="AM35" s="153">
        <f>SUM(AM36:AM41)</f>
        <v>0</v>
      </c>
      <c r="AN35" s="10"/>
      <c r="AO35" s="428"/>
      <c r="AP35" s="547"/>
      <c r="AQ35" s="363"/>
      <c r="AR35" s="548"/>
      <c r="AS35" s="548"/>
      <c r="AT35" s="548"/>
      <c r="AU35" s="549">
        <f>AR17-AR32</f>
        <v>60858021</v>
      </c>
      <c r="AV35" s="550">
        <f>AS17-AR32</f>
        <v>0</v>
      </c>
      <c r="AW35" s="550" t="s">
        <v>158</v>
      </c>
      <c r="AX35" s="551"/>
      <c r="AY35" s="550">
        <f>AY17+AY32</f>
        <v>187551131</v>
      </c>
      <c r="AZ35" s="552">
        <f>AZ17+AY32</f>
        <v>-643822043</v>
      </c>
      <c r="BF35" s="514"/>
    </row>
    <row r="36" spans="1:70" s="467" customFormat="1" ht="15.75" thickBot="1" x14ac:dyDescent="0.25">
      <c r="A36" s="188" t="s">
        <v>145</v>
      </c>
      <c r="B36" s="189" t="str">
        <f>+CONCATENATE("Vigencia ",INSTRUCCIONES!$F$3)</f>
        <v>Vigencia 2014</v>
      </c>
      <c r="C36" s="455">
        <v>0</v>
      </c>
      <c r="D36" s="456">
        <f t="shared" ref="D36:E41" si="40">P36</f>
        <v>0</v>
      </c>
      <c r="E36" s="456">
        <f t="shared" si="40"/>
        <v>0</v>
      </c>
      <c r="F36" s="170">
        <f t="shared" ref="F36:F41" si="41">SUM(C36:E36)</f>
        <v>0</v>
      </c>
      <c r="G36" s="283">
        <v>0</v>
      </c>
      <c r="H36" s="457">
        <v>0</v>
      </c>
      <c r="I36" s="170">
        <f t="shared" ref="I36:I41" si="42">SUM(G36:H36)</f>
        <v>0</v>
      </c>
      <c r="J36" s="283">
        <v>0</v>
      </c>
      <c r="K36" s="457">
        <v>0</v>
      </c>
      <c r="L36" s="170">
        <f t="shared" ref="L36:L41" si="43">SUM(J36:K36)</f>
        <v>0</v>
      </c>
      <c r="M36" s="283">
        <f t="shared" ref="M36:M41" si="44">F36-I36</f>
        <v>0</v>
      </c>
      <c r="N36" s="170">
        <f t="shared" ref="N36:N41" si="45">F36-L36</f>
        <v>0</v>
      </c>
      <c r="O36" s="10"/>
      <c r="P36" s="455">
        <v>0</v>
      </c>
      <c r="Q36" s="458">
        <v>0</v>
      </c>
      <c r="R36" s="10"/>
      <c r="S36" s="155" t="s">
        <v>143</v>
      </c>
      <c r="T36" s="159" t="s">
        <v>481</v>
      </c>
      <c r="U36" s="487">
        <v>16339906</v>
      </c>
      <c r="V36" s="17">
        <f t="shared" ref="V36:W41" si="46">AL36</f>
        <v>0</v>
      </c>
      <c r="W36" s="17">
        <f t="shared" si="46"/>
        <v>0</v>
      </c>
      <c r="X36" s="18">
        <f t="shared" ref="X36:X41" si="47">SUM(U36:W36)</f>
        <v>16339906</v>
      </c>
      <c r="Y36" s="21">
        <v>0</v>
      </c>
      <c r="Z36" s="457">
        <v>0</v>
      </c>
      <c r="AA36" s="18">
        <f t="shared" ref="AA36:AA41" si="48">SUM(Y36:Z36)</f>
        <v>0</v>
      </c>
      <c r="AB36" s="21">
        <v>0</v>
      </c>
      <c r="AC36" s="457">
        <v>0</v>
      </c>
      <c r="AD36" s="20">
        <f t="shared" ref="AD36:AD41" si="49">SUM(AB36:AC36)</f>
        <v>0</v>
      </c>
      <c r="AE36" s="21">
        <v>0</v>
      </c>
      <c r="AF36" s="457">
        <v>0</v>
      </c>
      <c r="AG36" s="18">
        <f t="shared" ref="AG36:AG41" si="50">SUM(AE36:AF36)</f>
        <v>0</v>
      </c>
      <c r="AH36" s="21">
        <f t="shared" ref="AH36:AH41" si="51">X36-AA36</f>
        <v>16339906</v>
      </c>
      <c r="AI36" s="17">
        <f t="shared" ref="AI36:AI41" si="52">X36-AD36</f>
        <v>16339906</v>
      </c>
      <c r="AJ36" s="18">
        <f t="shared" ref="AJ36:AJ41" si="53">X36-AG36</f>
        <v>16339906</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
        <v>148</v>
      </c>
      <c r="B37" s="189" t="s">
        <v>132</v>
      </c>
      <c r="C37" s="455">
        <v>0</v>
      </c>
      <c r="D37" s="456">
        <f t="shared" si="40"/>
        <v>0</v>
      </c>
      <c r="E37" s="456">
        <f t="shared" si="40"/>
        <v>0</v>
      </c>
      <c r="F37" s="170">
        <f t="shared" si="41"/>
        <v>0</v>
      </c>
      <c r="G37" s="283">
        <v>0</v>
      </c>
      <c r="H37" s="457">
        <v>0</v>
      </c>
      <c r="I37" s="170">
        <f t="shared" si="42"/>
        <v>0</v>
      </c>
      <c r="J37" s="283">
        <v>0</v>
      </c>
      <c r="K37" s="457">
        <v>0</v>
      </c>
      <c r="L37" s="170">
        <f t="shared" si="43"/>
        <v>0</v>
      </c>
      <c r="M37" s="283">
        <f t="shared" si="44"/>
        <v>0</v>
      </c>
      <c r="N37" s="170">
        <f t="shared" si="45"/>
        <v>0</v>
      </c>
      <c r="P37" s="455">
        <v>0</v>
      </c>
      <c r="Q37" s="458">
        <v>0</v>
      </c>
      <c r="R37" s="10"/>
      <c r="S37" s="155" t="s">
        <v>146</v>
      </c>
      <c r="T37" s="159" t="s">
        <v>147</v>
      </c>
      <c r="U37" s="487">
        <v>10000000</v>
      </c>
      <c r="V37" s="17">
        <f t="shared" si="46"/>
        <v>0</v>
      </c>
      <c r="W37" s="17">
        <f t="shared" si="46"/>
        <v>0</v>
      </c>
      <c r="X37" s="18">
        <f t="shared" si="47"/>
        <v>10000000</v>
      </c>
      <c r="Y37" s="21">
        <v>0</v>
      </c>
      <c r="Z37" s="457">
        <v>0</v>
      </c>
      <c r="AA37" s="18">
        <f t="shared" si="48"/>
        <v>0</v>
      </c>
      <c r="AB37" s="21">
        <v>0</v>
      </c>
      <c r="AC37" s="457">
        <v>0</v>
      </c>
      <c r="AD37" s="20">
        <f t="shared" si="49"/>
        <v>0</v>
      </c>
      <c r="AE37" s="21">
        <v>0</v>
      </c>
      <c r="AF37" s="457">
        <v>0</v>
      </c>
      <c r="AG37" s="18">
        <f t="shared" si="50"/>
        <v>0</v>
      </c>
      <c r="AH37" s="21">
        <f t="shared" si="51"/>
        <v>10000000</v>
      </c>
      <c r="AI37" s="17">
        <f t="shared" si="52"/>
        <v>10000000</v>
      </c>
      <c r="AJ37" s="18">
        <f t="shared" si="53"/>
        <v>10000000</v>
      </c>
      <c r="AK37" s="10"/>
      <c r="AL37" s="455">
        <v>0</v>
      </c>
      <c r="AM37" s="458">
        <v>0</v>
      </c>
      <c r="AN37" s="10"/>
      <c r="AO37" s="26" t="s">
        <v>161</v>
      </c>
      <c r="BB37" s="514"/>
      <c r="BC37" s="514"/>
      <c r="BD37" s="514"/>
      <c r="BE37" s="514"/>
    </row>
    <row r="38" spans="1:70" s="467" customFormat="1" x14ac:dyDescent="0.2">
      <c r="A38" s="706"/>
      <c r="B38" s="707"/>
      <c r="C38" s="708"/>
      <c r="D38" s="709"/>
      <c r="E38" s="709"/>
      <c r="F38" s="710"/>
      <c r="G38" s="711"/>
      <c r="H38" s="712"/>
      <c r="I38" s="710"/>
      <c r="J38" s="711"/>
      <c r="K38" s="712"/>
      <c r="L38" s="710"/>
      <c r="M38" s="711"/>
      <c r="N38" s="710"/>
      <c r="O38" s="713"/>
      <c r="P38" s="708"/>
      <c r="Q38" s="714"/>
      <c r="R38" s="10"/>
      <c r="S38" s="155" t="s">
        <v>149</v>
      </c>
      <c r="T38" s="159" t="s">
        <v>150</v>
      </c>
      <c r="U38" s="487">
        <v>1098240</v>
      </c>
      <c r="V38" s="17">
        <f t="shared" si="46"/>
        <v>0</v>
      </c>
      <c r="W38" s="17">
        <f t="shared" si="46"/>
        <v>0</v>
      </c>
      <c r="X38" s="18">
        <f t="shared" si="47"/>
        <v>1098240</v>
      </c>
      <c r="Y38" s="21">
        <v>0</v>
      </c>
      <c r="Z38" s="457">
        <v>530550</v>
      </c>
      <c r="AA38" s="18">
        <f t="shared" si="48"/>
        <v>530550</v>
      </c>
      <c r="AB38" s="21">
        <v>0</v>
      </c>
      <c r="AC38" s="457">
        <v>530550</v>
      </c>
      <c r="AD38" s="20">
        <f t="shared" si="49"/>
        <v>530550</v>
      </c>
      <c r="AE38" s="21">
        <v>0</v>
      </c>
      <c r="AF38" s="457">
        <v>530550</v>
      </c>
      <c r="AG38" s="18">
        <f t="shared" si="50"/>
        <v>530550</v>
      </c>
      <c r="AH38" s="21">
        <f t="shared" si="51"/>
        <v>567690</v>
      </c>
      <c r="AI38" s="17">
        <f t="shared" si="52"/>
        <v>567690</v>
      </c>
      <c r="AJ38" s="18">
        <f t="shared" si="53"/>
        <v>567690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06"/>
      <c r="B39" s="707"/>
      <c r="C39" s="708"/>
      <c r="D39" s="709"/>
      <c r="E39" s="709"/>
      <c r="F39" s="710"/>
      <c r="G39" s="711"/>
      <c r="H39" s="712"/>
      <c r="I39" s="710"/>
      <c r="J39" s="711"/>
      <c r="K39" s="712"/>
      <c r="L39" s="710"/>
      <c r="M39" s="711"/>
      <c r="N39" s="710"/>
      <c r="O39" s="713"/>
      <c r="P39" s="708"/>
      <c r="Q39" s="714"/>
      <c r="R39" s="10"/>
      <c r="S39" s="155" t="s">
        <v>156</v>
      </c>
      <c r="T39" s="159" t="s">
        <v>157</v>
      </c>
      <c r="U39" s="487">
        <v>80796809</v>
      </c>
      <c r="V39" s="17">
        <f t="shared" si="46"/>
        <v>0</v>
      </c>
      <c r="W39" s="17">
        <f t="shared" si="46"/>
        <v>0</v>
      </c>
      <c r="X39" s="18">
        <f t="shared" si="47"/>
        <v>80796809</v>
      </c>
      <c r="Y39" s="21">
        <v>0</v>
      </c>
      <c r="Z39" s="457">
        <v>0</v>
      </c>
      <c r="AA39" s="18">
        <f t="shared" si="48"/>
        <v>0</v>
      </c>
      <c r="AB39" s="21">
        <v>0</v>
      </c>
      <c r="AC39" s="457">
        <v>0</v>
      </c>
      <c r="AD39" s="20">
        <f t="shared" si="49"/>
        <v>0</v>
      </c>
      <c r="AE39" s="21">
        <v>0</v>
      </c>
      <c r="AF39" s="457">
        <v>0</v>
      </c>
      <c r="AG39" s="18">
        <f t="shared" si="50"/>
        <v>0</v>
      </c>
      <c r="AH39" s="21">
        <f t="shared" si="51"/>
        <v>80796809</v>
      </c>
      <c r="AI39" s="17">
        <f t="shared" si="52"/>
        <v>80796809</v>
      </c>
      <c r="AJ39" s="18">
        <f t="shared" si="53"/>
        <v>80796809</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06"/>
      <c r="B40" s="707"/>
      <c r="C40" s="708"/>
      <c r="D40" s="709"/>
      <c r="E40" s="709"/>
      <c r="F40" s="710"/>
      <c r="G40" s="711"/>
      <c r="H40" s="712"/>
      <c r="I40" s="710"/>
      <c r="J40" s="711"/>
      <c r="K40" s="712"/>
      <c r="L40" s="710"/>
      <c r="M40" s="711"/>
      <c r="N40" s="710"/>
      <c r="O40" s="713"/>
      <c r="P40" s="708"/>
      <c r="Q40" s="714"/>
      <c r="R40" s="10"/>
      <c r="S40" s="155" t="s">
        <v>159</v>
      </c>
      <c r="T40" s="159" t="s">
        <v>160</v>
      </c>
      <c r="U40" s="487">
        <v>0</v>
      </c>
      <c r="V40" s="17">
        <f t="shared" si="46"/>
        <v>0</v>
      </c>
      <c r="W40" s="17">
        <f t="shared" si="46"/>
        <v>0</v>
      </c>
      <c r="X40" s="18">
        <f t="shared" si="47"/>
        <v>0</v>
      </c>
      <c r="Y40" s="21">
        <v>0</v>
      </c>
      <c r="Z40" s="457">
        <v>0</v>
      </c>
      <c r="AA40" s="18">
        <f t="shared" si="48"/>
        <v>0</v>
      </c>
      <c r="AB40" s="21">
        <v>0</v>
      </c>
      <c r="AC40" s="457">
        <v>0</v>
      </c>
      <c r="AD40" s="20">
        <f t="shared" si="49"/>
        <v>0</v>
      </c>
      <c r="AE40" s="21">
        <v>0</v>
      </c>
      <c r="AF40" s="457">
        <v>0</v>
      </c>
      <c r="AG40" s="18">
        <f t="shared" si="50"/>
        <v>0</v>
      </c>
      <c r="AH40" s="21">
        <f t="shared" si="51"/>
        <v>0</v>
      </c>
      <c r="AI40" s="17">
        <f t="shared" si="52"/>
        <v>0</v>
      </c>
      <c r="AJ40" s="18">
        <f t="shared" si="53"/>
        <v>0</v>
      </c>
      <c r="AK40" s="10"/>
      <c r="AL40" s="455">
        <v>0</v>
      </c>
      <c r="AM40" s="458">
        <v>0</v>
      </c>
      <c r="AN40" s="10"/>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row>
    <row r="41" spans="1:70" s="514" customFormat="1" x14ac:dyDescent="0.2">
      <c r="A41" s="57">
        <v>1130104</v>
      </c>
      <c r="B41" s="45" t="s">
        <v>162</v>
      </c>
      <c r="C41" s="455">
        <v>0</v>
      </c>
      <c r="D41" s="144">
        <f t="shared" si="40"/>
        <v>0</v>
      </c>
      <c r="E41" s="144">
        <f t="shared" si="40"/>
        <v>0</v>
      </c>
      <c r="F41" s="153">
        <f t="shared" si="41"/>
        <v>0</v>
      </c>
      <c r="G41" s="151">
        <v>0</v>
      </c>
      <c r="H41" s="457">
        <v>0</v>
      </c>
      <c r="I41" s="153">
        <f t="shared" si="42"/>
        <v>0</v>
      </c>
      <c r="J41" s="151">
        <v>0</v>
      </c>
      <c r="K41" s="457">
        <v>0</v>
      </c>
      <c r="L41" s="153">
        <f t="shared" si="43"/>
        <v>0</v>
      </c>
      <c r="M41" s="151">
        <f t="shared" si="44"/>
        <v>0</v>
      </c>
      <c r="N41" s="153">
        <f t="shared" si="45"/>
        <v>0</v>
      </c>
      <c r="O41" s="467"/>
      <c r="P41" s="455">
        <v>0</v>
      </c>
      <c r="Q41" s="458">
        <v>0</v>
      </c>
      <c r="R41" s="10"/>
      <c r="S41" s="155">
        <v>1010299</v>
      </c>
      <c r="T41" s="159" t="s">
        <v>132</v>
      </c>
      <c r="U41" s="487">
        <v>5520741</v>
      </c>
      <c r="V41" s="17">
        <f t="shared" si="46"/>
        <v>0</v>
      </c>
      <c r="W41" s="17">
        <f t="shared" si="46"/>
        <v>0</v>
      </c>
      <c r="X41" s="18">
        <f t="shared" si="47"/>
        <v>5520741</v>
      </c>
      <c r="Y41" s="21">
        <v>0</v>
      </c>
      <c r="Z41" s="457">
        <v>2852741</v>
      </c>
      <c r="AA41" s="18">
        <f t="shared" si="48"/>
        <v>2852741</v>
      </c>
      <c r="AB41" s="21">
        <v>0</v>
      </c>
      <c r="AC41" s="457">
        <v>2852741</v>
      </c>
      <c r="AD41" s="20">
        <f t="shared" si="49"/>
        <v>2852741</v>
      </c>
      <c r="AE41" s="21">
        <v>0</v>
      </c>
      <c r="AF41" s="457">
        <v>0</v>
      </c>
      <c r="AG41" s="18">
        <f t="shared" si="50"/>
        <v>0</v>
      </c>
      <c r="AH41" s="21">
        <f t="shared" si="51"/>
        <v>2668000</v>
      </c>
      <c r="AI41" s="17">
        <f t="shared" si="52"/>
        <v>2668000</v>
      </c>
      <c r="AJ41" s="18">
        <f t="shared" si="53"/>
        <v>5520741</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v>1130106</v>
      </c>
      <c r="B42" s="45" t="s">
        <v>571</v>
      </c>
      <c r="C42" s="52">
        <f t="shared" ref="C42:N42" si="54">SUM(C43:C44)</f>
        <v>125397398</v>
      </c>
      <c r="D42" s="53">
        <f t="shared" si="54"/>
        <v>0</v>
      </c>
      <c r="E42" s="53">
        <f t="shared" si="54"/>
        <v>0</v>
      </c>
      <c r="F42" s="54">
        <f t="shared" si="54"/>
        <v>125397398</v>
      </c>
      <c r="G42" s="52">
        <f t="shared" si="54"/>
        <v>0</v>
      </c>
      <c r="H42" s="53">
        <f t="shared" si="54"/>
        <v>0</v>
      </c>
      <c r="I42" s="54">
        <f t="shared" si="54"/>
        <v>0</v>
      </c>
      <c r="J42" s="52">
        <f t="shared" si="54"/>
        <v>0</v>
      </c>
      <c r="K42" s="53">
        <f t="shared" si="54"/>
        <v>0</v>
      </c>
      <c r="L42" s="54">
        <f t="shared" si="54"/>
        <v>0</v>
      </c>
      <c r="M42" s="52">
        <f t="shared" si="54"/>
        <v>125397398</v>
      </c>
      <c r="N42" s="54">
        <f t="shared" si="54"/>
        <v>125397398</v>
      </c>
      <c r="P42" s="52">
        <f>SUM(P43:P44)</f>
        <v>0</v>
      </c>
      <c r="Q42" s="54">
        <f>SUM(Q43:Q44)</f>
        <v>0</v>
      </c>
      <c r="R42" s="10"/>
      <c r="S42" s="448"/>
      <c r="T42" s="449"/>
      <c r="U42" s="193"/>
      <c r="V42" s="193"/>
      <c r="W42" s="193"/>
      <c r="X42" s="207"/>
      <c r="Y42" s="450"/>
      <c r="Z42" s="193"/>
      <c r="AA42" s="207"/>
      <c r="AB42" s="450"/>
      <c r="AC42" s="193"/>
      <c r="AD42" s="193"/>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B42" s="514"/>
      <c r="BC42" s="514"/>
      <c r="BD42" s="514"/>
      <c r="BE42" s="514"/>
    </row>
    <row r="43" spans="1:70" s="514" customFormat="1" ht="15" x14ac:dyDescent="0.2">
      <c r="A43" s="188" t="s">
        <v>164</v>
      </c>
      <c r="B43" s="189" t="str">
        <f>+CONCATENATE("Vigencia ",INSTRUCCIONES!$F$3)</f>
        <v>Vigencia 2014</v>
      </c>
      <c r="C43" s="455">
        <v>125397398</v>
      </c>
      <c r="D43" s="456">
        <f>P43</f>
        <v>0</v>
      </c>
      <c r="E43" s="456">
        <f>Q43</f>
        <v>0</v>
      </c>
      <c r="F43" s="170">
        <f>SUM(C43:E43)</f>
        <v>125397398</v>
      </c>
      <c r="G43" s="283">
        <v>0</v>
      </c>
      <c r="H43" s="457">
        <v>0</v>
      </c>
      <c r="I43" s="170">
        <f>SUM(G43:H43)</f>
        <v>0</v>
      </c>
      <c r="J43" s="283">
        <v>0</v>
      </c>
      <c r="K43" s="457">
        <v>0</v>
      </c>
      <c r="L43" s="170">
        <f>SUM(J43:K43)</f>
        <v>0</v>
      </c>
      <c r="M43" s="283">
        <f>F43-I43</f>
        <v>125397398</v>
      </c>
      <c r="N43" s="170">
        <f>F43-L43</f>
        <v>125397398</v>
      </c>
      <c r="O43" s="467"/>
      <c r="P43" s="455">
        <v>0</v>
      </c>
      <c r="Q43" s="458">
        <v>0</v>
      </c>
      <c r="R43" s="10"/>
      <c r="S43" s="34">
        <v>1010300</v>
      </c>
      <c r="T43" s="158" t="s">
        <v>163</v>
      </c>
      <c r="U43" s="157">
        <f t="shared" ref="U43:AJ43" si="55">U44+U49+U55</f>
        <v>119647956</v>
      </c>
      <c r="V43" s="144">
        <f t="shared" si="55"/>
        <v>0</v>
      </c>
      <c r="W43" s="144">
        <f t="shared" si="55"/>
        <v>0</v>
      </c>
      <c r="X43" s="153">
        <f t="shared" si="55"/>
        <v>119647956</v>
      </c>
      <c r="Y43" s="151">
        <f t="shared" si="55"/>
        <v>0</v>
      </c>
      <c r="Z43" s="144">
        <f t="shared" si="55"/>
        <v>8118248</v>
      </c>
      <c r="AA43" s="153">
        <f t="shared" si="55"/>
        <v>8118248</v>
      </c>
      <c r="AB43" s="151">
        <f t="shared" si="55"/>
        <v>0</v>
      </c>
      <c r="AC43" s="144">
        <f t="shared" si="55"/>
        <v>8118248</v>
      </c>
      <c r="AD43" s="152">
        <f t="shared" si="55"/>
        <v>8118248</v>
      </c>
      <c r="AE43" s="151">
        <f t="shared" si="55"/>
        <v>0</v>
      </c>
      <c r="AF43" s="144">
        <f t="shared" si="55"/>
        <v>2721400</v>
      </c>
      <c r="AG43" s="153">
        <f t="shared" si="55"/>
        <v>2721400</v>
      </c>
      <c r="AH43" s="151">
        <f t="shared" si="55"/>
        <v>111529708</v>
      </c>
      <c r="AI43" s="144">
        <f t="shared" si="55"/>
        <v>111529708</v>
      </c>
      <c r="AJ43" s="153">
        <f t="shared" si="55"/>
        <v>116926556</v>
      </c>
      <c r="AK43" s="10"/>
      <c r="AL43" s="151">
        <f>AL44+AL49+AL55</f>
        <v>0</v>
      </c>
      <c r="AM43" s="153">
        <f>AM44+AM49+AM55</f>
        <v>0</v>
      </c>
      <c r="AN43" s="10"/>
      <c r="AO43" s="467"/>
      <c r="AP43" s="554"/>
      <c r="AQ43" s="365"/>
      <c r="AR43" s="365"/>
      <c r="AS43" s="365"/>
      <c r="AT43" s="365"/>
      <c r="AU43" s="365"/>
      <c r="AV43" s="365"/>
      <c r="AW43" s="365"/>
      <c r="AX43" s="365"/>
      <c r="AY43" s="365"/>
      <c r="AZ43" s="365"/>
      <c r="BA43" s="467"/>
      <c r="BB43" s="467"/>
      <c r="BC43" s="467"/>
      <c r="BD43" s="467"/>
      <c r="BE43" s="467"/>
      <c r="BF43" s="467"/>
      <c r="BG43" s="467"/>
      <c r="BH43" s="467"/>
      <c r="BI43" s="467"/>
      <c r="BJ43" s="467"/>
      <c r="BK43" s="467"/>
      <c r="BL43" s="467"/>
      <c r="BM43" s="467"/>
      <c r="BN43" s="467"/>
      <c r="BO43" s="467"/>
      <c r="BP43" s="467"/>
      <c r="BQ43" s="467"/>
      <c r="BR43" s="467"/>
    </row>
    <row r="44" spans="1:70" s="514" customFormat="1" ht="15" x14ac:dyDescent="0.2">
      <c r="A44" s="188" t="s">
        <v>166</v>
      </c>
      <c r="B44" s="189" t="s">
        <v>132</v>
      </c>
      <c r="C44" s="455">
        <v>0</v>
      </c>
      <c r="D44" s="456">
        <f>P44</f>
        <v>0</v>
      </c>
      <c r="E44" s="456">
        <f>Q44</f>
        <v>0</v>
      </c>
      <c r="F44" s="170">
        <f>SUM(C44:E44)</f>
        <v>0</v>
      </c>
      <c r="G44" s="283">
        <v>0</v>
      </c>
      <c r="H44" s="457">
        <v>0</v>
      </c>
      <c r="I44" s="170">
        <f>SUM(G44:H44)</f>
        <v>0</v>
      </c>
      <c r="J44" s="283">
        <v>0</v>
      </c>
      <c r="K44" s="457">
        <v>0</v>
      </c>
      <c r="L44" s="170">
        <f>SUM(J44:K44)</f>
        <v>0</v>
      </c>
      <c r="M44" s="283">
        <f>F44-I44</f>
        <v>0</v>
      </c>
      <c r="N44" s="170">
        <f>F44-L44</f>
        <v>0</v>
      </c>
      <c r="O44" s="467"/>
      <c r="P44" s="455">
        <v>0</v>
      </c>
      <c r="Q44" s="458">
        <v>0</v>
      </c>
      <c r="R44" s="10"/>
      <c r="S44" s="155">
        <v>1010301</v>
      </c>
      <c r="T44" s="159" t="s">
        <v>165</v>
      </c>
      <c r="U44" s="29">
        <f t="shared" ref="U44:AJ44" si="56">SUM(U45:U48)</f>
        <v>56401928</v>
      </c>
      <c r="V44" s="27">
        <f t="shared" si="56"/>
        <v>0</v>
      </c>
      <c r="W44" s="27">
        <f t="shared" si="56"/>
        <v>0</v>
      </c>
      <c r="X44" s="28">
        <f t="shared" si="56"/>
        <v>56401928</v>
      </c>
      <c r="Y44" s="31">
        <f t="shared" si="56"/>
        <v>0</v>
      </c>
      <c r="Z44" s="27">
        <f t="shared" si="56"/>
        <v>2721400</v>
      </c>
      <c r="AA44" s="28">
        <f t="shared" si="56"/>
        <v>2721400</v>
      </c>
      <c r="AB44" s="31">
        <f t="shared" si="56"/>
        <v>0</v>
      </c>
      <c r="AC44" s="27">
        <f t="shared" si="56"/>
        <v>2721400</v>
      </c>
      <c r="AD44" s="30">
        <f t="shared" si="56"/>
        <v>2721400</v>
      </c>
      <c r="AE44" s="31">
        <f t="shared" si="56"/>
        <v>0</v>
      </c>
      <c r="AF44" s="27">
        <f t="shared" si="56"/>
        <v>2721400</v>
      </c>
      <c r="AG44" s="28">
        <f t="shared" si="56"/>
        <v>2721400</v>
      </c>
      <c r="AH44" s="21">
        <f t="shared" si="56"/>
        <v>53680528</v>
      </c>
      <c r="AI44" s="17">
        <f t="shared" si="56"/>
        <v>53680528</v>
      </c>
      <c r="AJ44" s="18">
        <f t="shared" si="56"/>
        <v>53680528</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v>1130107</v>
      </c>
      <c r="B45" s="45" t="s">
        <v>168</v>
      </c>
      <c r="C45" s="52">
        <f t="shared" ref="C45:N45" si="57">SUM(C46:C47)</f>
        <v>0</v>
      </c>
      <c r="D45" s="53">
        <f t="shared" si="57"/>
        <v>0</v>
      </c>
      <c r="E45" s="53">
        <f t="shared" si="57"/>
        <v>0</v>
      </c>
      <c r="F45" s="54">
        <f t="shared" si="57"/>
        <v>0</v>
      </c>
      <c r="G45" s="52">
        <f t="shared" si="57"/>
        <v>0</v>
      </c>
      <c r="H45" s="53">
        <f t="shared" si="57"/>
        <v>0</v>
      </c>
      <c r="I45" s="54">
        <f t="shared" si="57"/>
        <v>0</v>
      </c>
      <c r="J45" s="52">
        <f t="shared" si="57"/>
        <v>0</v>
      </c>
      <c r="K45" s="53">
        <f t="shared" si="57"/>
        <v>0</v>
      </c>
      <c r="L45" s="54">
        <f t="shared" si="57"/>
        <v>0</v>
      </c>
      <c r="M45" s="52">
        <f t="shared" si="57"/>
        <v>0</v>
      </c>
      <c r="N45" s="54">
        <f t="shared" si="57"/>
        <v>0</v>
      </c>
      <c r="P45" s="52">
        <f>SUM(P46:P47)</f>
        <v>0</v>
      </c>
      <c r="Q45" s="54">
        <f>SUM(Q46:Q47)</f>
        <v>0</v>
      </c>
      <c r="R45" s="10"/>
      <c r="S45" s="156" t="s">
        <v>167</v>
      </c>
      <c r="T45" s="55" t="s">
        <v>435</v>
      </c>
      <c r="U45" s="487">
        <v>24712429</v>
      </c>
      <c r="V45" s="17">
        <f t="shared" ref="V45:W48" si="58">AL45</f>
        <v>0</v>
      </c>
      <c r="W45" s="17">
        <f t="shared" si="58"/>
        <v>0</v>
      </c>
      <c r="X45" s="18">
        <f>SUM(U45:W45)</f>
        <v>24712429</v>
      </c>
      <c r="Y45" s="21">
        <v>0</v>
      </c>
      <c r="Z45" s="457">
        <v>1128400</v>
      </c>
      <c r="AA45" s="18">
        <f>SUM(Y45:Z45)</f>
        <v>1128400</v>
      </c>
      <c r="AB45" s="21">
        <v>0</v>
      </c>
      <c r="AC45" s="457">
        <v>1128400</v>
      </c>
      <c r="AD45" s="20">
        <f>SUM(AB45:AC45)</f>
        <v>1128400</v>
      </c>
      <c r="AE45" s="21">
        <v>0</v>
      </c>
      <c r="AF45" s="457">
        <v>1128400</v>
      </c>
      <c r="AG45" s="18">
        <f>SUM(AE45:AF45)</f>
        <v>1128400</v>
      </c>
      <c r="AH45" s="21">
        <f>X45-AA45</f>
        <v>23584029</v>
      </c>
      <c r="AI45" s="17">
        <f>X45-AD45</f>
        <v>23584029</v>
      </c>
      <c r="AJ45" s="18">
        <f>X45-AG45</f>
        <v>23584029</v>
      </c>
      <c r="AK45" s="10"/>
      <c r="AL45" s="455">
        <v>0</v>
      </c>
      <c r="AM45" s="458">
        <v>0</v>
      </c>
      <c r="AN45" s="10"/>
      <c r="AO45" s="365"/>
      <c r="AP45" s="365"/>
      <c r="AQ45" s="365"/>
      <c r="AR45" s="365"/>
      <c r="AS45" s="365"/>
      <c r="AT45" s="365"/>
      <c r="AU45" s="365"/>
      <c r="AV45" s="365"/>
      <c r="AW45" s="365"/>
      <c r="AX45" s="365"/>
      <c r="AY45" s="365"/>
      <c r="AZ45" s="365"/>
      <c r="BB45" s="514"/>
      <c r="BC45" s="514"/>
      <c r="BD45" s="514"/>
      <c r="BE45" s="514"/>
    </row>
    <row r="46" spans="1:70" s="514" customFormat="1" ht="15" x14ac:dyDescent="0.2">
      <c r="A46" s="188" t="s">
        <v>170</v>
      </c>
      <c r="B46" s="189" t="str">
        <f>+CONCATENATE("Vigencia ",INSTRUCCIONES!$F$3)</f>
        <v>Vigencia 2014</v>
      </c>
      <c r="C46" s="455">
        <v>0</v>
      </c>
      <c r="D46" s="456">
        <f>P46</f>
        <v>0</v>
      </c>
      <c r="E46" s="456">
        <f>Q46</f>
        <v>0</v>
      </c>
      <c r="F46" s="170">
        <f>SUM(C46:E46)</f>
        <v>0</v>
      </c>
      <c r="G46" s="283">
        <v>0</v>
      </c>
      <c r="H46" s="457">
        <v>0</v>
      </c>
      <c r="I46" s="170">
        <f>SUM(G46:H46)</f>
        <v>0</v>
      </c>
      <c r="J46" s="283">
        <v>0</v>
      </c>
      <c r="K46" s="457">
        <v>0</v>
      </c>
      <c r="L46" s="170">
        <f>SUM(J46:K46)</f>
        <v>0</v>
      </c>
      <c r="M46" s="283">
        <f>F46-I46</f>
        <v>0</v>
      </c>
      <c r="N46" s="170">
        <f>F46-L46</f>
        <v>0</v>
      </c>
      <c r="O46" s="467"/>
      <c r="P46" s="455">
        <v>0</v>
      </c>
      <c r="Q46" s="458">
        <v>0</v>
      </c>
      <c r="R46" s="10"/>
      <c r="S46" s="156" t="s">
        <v>169</v>
      </c>
      <c r="T46" s="55" t="s">
        <v>436</v>
      </c>
      <c r="U46" s="487">
        <v>26693987</v>
      </c>
      <c r="V46" s="17">
        <f t="shared" si="58"/>
        <v>0</v>
      </c>
      <c r="W46" s="17">
        <f t="shared" si="58"/>
        <v>0</v>
      </c>
      <c r="X46" s="18">
        <f>SUM(U46:W46)</f>
        <v>26693987</v>
      </c>
      <c r="Y46" s="21">
        <v>0</v>
      </c>
      <c r="Z46" s="457">
        <v>1593000</v>
      </c>
      <c r="AA46" s="18">
        <f>SUM(Y46:Z46)</f>
        <v>1593000</v>
      </c>
      <c r="AB46" s="21">
        <v>0</v>
      </c>
      <c r="AC46" s="457">
        <v>1593000</v>
      </c>
      <c r="AD46" s="20">
        <f>SUM(AB46:AC46)</f>
        <v>1593000</v>
      </c>
      <c r="AE46" s="21">
        <v>0</v>
      </c>
      <c r="AF46" s="457">
        <v>1593000</v>
      </c>
      <c r="AG46" s="18">
        <f>SUM(AE46:AF46)</f>
        <v>1593000</v>
      </c>
      <c r="AH46" s="21">
        <f>X46-AA46</f>
        <v>25100987</v>
      </c>
      <c r="AI46" s="17">
        <f>X46-AD46</f>
        <v>25100987</v>
      </c>
      <c r="AJ46" s="18">
        <f>X46-AG46</f>
        <v>25100987</v>
      </c>
      <c r="AK46" s="10"/>
      <c r="AL46" s="455">
        <v>0</v>
      </c>
      <c r="AM46" s="458">
        <v>0</v>
      </c>
      <c r="AN46" s="10"/>
      <c r="AO46" s="555"/>
      <c r="AP46" s="554"/>
      <c r="AQ46" s="365"/>
      <c r="AR46" s="365"/>
      <c r="AS46" s="365"/>
      <c r="AT46" s="365"/>
      <c r="AU46" s="365"/>
      <c r="AV46" s="365"/>
      <c r="AW46" s="365"/>
      <c r="AX46" s="365"/>
      <c r="AY46" s="365"/>
      <c r="AZ46" s="365"/>
      <c r="BA46" s="467"/>
      <c r="BB46" s="467"/>
      <c r="BC46" s="467"/>
      <c r="BD46" s="467"/>
      <c r="BE46" s="467"/>
      <c r="BF46" s="467"/>
      <c r="BG46" s="467"/>
      <c r="BH46" s="467"/>
      <c r="BI46" s="467"/>
      <c r="BJ46" s="467"/>
      <c r="BK46" s="467"/>
      <c r="BL46" s="467"/>
    </row>
    <row r="47" spans="1:70" s="514" customFormat="1" ht="15" x14ac:dyDescent="0.2">
      <c r="A47" s="188" t="s">
        <v>172</v>
      </c>
      <c r="B47" s="189" t="s">
        <v>132</v>
      </c>
      <c r="C47" s="455">
        <v>0</v>
      </c>
      <c r="D47" s="456">
        <f>P47</f>
        <v>0</v>
      </c>
      <c r="E47" s="456">
        <f>Q47</f>
        <v>0</v>
      </c>
      <c r="F47" s="170">
        <f>SUM(C47:E47)</f>
        <v>0</v>
      </c>
      <c r="G47" s="283">
        <v>0</v>
      </c>
      <c r="H47" s="457">
        <v>0</v>
      </c>
      <c r="I47" s="170">
        <f>SUM(G47:H47)</f>
        <v>0</v>
      </c>
      <c r="J47" s="283">
        <v>0</v>
      </c>
      <c r="K47" s="457">
        <v>0</v>
      </c>
      <c r="L47" s="170">
        <f>SUM(J47:K47)</f>
        <v>0</v>
      </c>
      <c r="M47" s="283">
        <f>F47-I47</f>
        <v>0</v>
      </c>
      <c r="N47" s="170">
        <f>F47-L47</f>
        <v>0</v>
      </c>
      <c r="O47" s="467"/>
      <c r="P47" s="455">
        <v>0</v>
      </c>
      <c r="Q47" s="458">
        <v>0</v>
      </c>
      <c r="R47" s="10"/>
      <c r="S47" s="156" t="s">
        <v>171</v>
      </c>
      <c r="T47" s="55" t="s">
        <v>437</v>
      </c>
      <c r="U47" s="487">
        <v>4995512</v>
      </c>
      <c r="V47" s="17">
        <f t="shared" si="58"/>
        <v>0</v>
      </c>
      <c r="W47" s="17">
        <f t="shared" si="58"/>
        <v>0</v>
      </c>
      <c r="X47" s="18">
        <f>SUM(U47:W47)</f>
        <v>4995512</v>
      </c>
      <c r="Y47" s="21">
        <v>0</v>
      </c>
      <c r="Z47" s="457">
        <v>0</v>
      </c>
      <c r="AA47" s="18">
        <f>SUM(Y47:Z47)</f>
        <v>0</v>
      </c>
      <c r="AB47" s="21">
        <v>0</v>
      </c>
      <c r="AC47" s="457">
        <v>0</v>
      </c>
      <c r="AD47" s="20">
        <f>SUM(AB47:AC47)</f>
        <v>0</v>
      </c>
      <c r="AE47" s="21">
        <v>0</v>
      </c>
      <c r="AF47" s="457">
        <v>0</v>
      </c>
      <c r="AG47" s="18">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v>1130108</v>
      </c>
      <c r="B48" s="45" t="s">
        <v>174</v>
      </c>
      <c r="C48" s="52">
        <f t="shared" ref="C48:N48" si="59">SUM(C49:C50)</f>
        <v>0</v>
      </c>
      <c r="D48" s="53">
        <f t="shared" si="59"/>
        <v>0</v>
      </c>
      <c r="E48" s="53">
        <f t="shared" si="59"/>
        <v>0</v>
      </c>
      <c r="F48" s="54">
        <f t="shared" si="59"/>
        <v>0</v>
      </c>
      <c r="G48" s="52">
        <f t="shared" si="59"/>
        <v>0</v>
      </c>
      <c r="H48" s="53">
        <f t="shared" si="59"/>
        <v>0</v>
      </c>
      <c r="I48" s="54">
        <f t="shared" si="59"/>
        <v>0</v>
      </c>
      <c r="J48" s="52">
        <f t="shared" si="59"/>
        <v>0</v>
      </c>
      <c r="K48" s="53">
        <f t="shared" si="59"/>
        <v>0</v>
      </c>
      <c r="L48" s="54">
        <f t="shared" si="59"/>
        <v>0</v>
      </c>
      <c r="M48" s="52">
        <f t="shared" si="59"/>
        <v>0</v>
      </c>
      <c r="N48" s="54">
        <f t="shared" si="59"/>
        <v>0</v>
      </c>
      <c r="P48" s="52">
        <f>SUM(P49:P50)</f>
        <v>0</v>
      </c>
      <c r="Q48" s="54">
        <f>SUM(Q49:Q50)</f>
        <v>0</v>
      </c>
      <c r="R48" s="10"/>
      <c r="S48" s="156" t="s">
        <v>173</v>
      </c>
      <c r="T48" s="55" t="s">
        <v>588</v>
      </c>
      <c r="U48" s="487">
        <v>0</v>
      </c>
      <c r="V48" s="17">
        <f t="shared" si="58"/>
        <v>0</v>
      </c>
      <c r="W48" s="17">
        <f t="shared" si="58"/>
        <v>0</v>
      </c>
      <c r="X48" s="18">
        <f>SUM(U48:W48)</f>
        <v>0</v>
      </c>
      <c r="Y48" s="21">
        <v>0</v>
      </c>
      <c r="Z48" s="457">
        <v>0</v>
      </c>
      <c r="AA48" s="18">
        <f>SUM(Y48:Z48)</f>
        <v>0</v>
      </c>
      <c r="AB48" s="21">
        <v>0</v>
      </c>
      <c r="AC48" s="457">
        <v>0</v>
      </c>
      <c r="AD48" s="20">
        <f>SUM(AB48:AC48)</f>
        <v>0</v>
      </c>
      <c r="AE48" s="21">
        <v>0</v>
      </c>
      <c r="AF48" s="457">
        <v>0</v>
      </c>
      <c r="AG48" s="18">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c r="BB48" s="514"/>
      <c r="BC48" s="514"/>
      <c r="BD48" s="514"/>
      <c r="BE48" s="514"/>
    </row>
    <row r="49" spans="1:70" s="514" customFormat="1" ht="15" x14ac:dyDescent="0.2">
      <c r="A49" s="188" t="s">
        <v>407</v>
      </c>
      <c r="B49" s="189" t="str">
        <f>+CONCATENATE("Vigencia ",INSTRUCCIONES!$F$3)</f>
        <v>Vigencia 2014</v>
      </c>
      <c r="C49" s="455">
        <v>0</v>
      </c>
      <c r="D49" s="456">
        <f>P49</f>
        <v>0</v>
      </c>
      <c r="E49" s="456">
        <f>Q49</f>
        <v>0</v>
      </c>
      <c r="F49" s="170">
        <f>SUM(C49:E49)</f>
        <v>0</v>
      </c>
      <c r="G49" s="283">
        <v>0</v>
      </c>
      <c r="H49" s="457">
        <v>0</v>
      </c>
      <c r="I49" s="170">
        <f>SUM(G49:H49)</f>
        <v>0</v>
      </c>
      <c r="J49" s="283">
        <v>0</v>
      </c>
      <c r="K49" s="457">
        <v>0</v>
      </c>
      <c r="L49" s="170">
        <f>SUM(J49:K49)</f>
        <v>0</v>
      </c>
      <c r="M49" s="283">
        <f>F49-I49</f>
        <v>0</v>
      </c>
      <c r="N49" s="170">
        <f>F49-L49</f>
        <v>0</v>
      </c>
      <c r="O49" s="467"/>
      <c r="P49" s="455">
        <v>0</v>
      </c>
      <c r="Q49" s="458">
        <v>0</v>
      </c>
      <c r="R49" s="10"/>
      <c r="S49" s="155">
        <v>1010302</v>
      </c>
      <c r="T49" s="159" t="s">
        <v>175</v>
      </c>
      <c r="U49" s="19">
        <f t="shared" ref="U49:AJ49" si="60">SUM(U50:U54)</f>
        <v>63246028</v>
      </c>
      <c r="V49" s="17">
        <f t="shared" si="60"/>
        <v>0</v>
      </c>
      <c r="W49" s="17">
        <f t="shared" si="60"/>
        <v>0</v>
      </c>
      <c r="X49" s="18">
        <f t="shared" si="60"/>
        <v>63246028</v>
      </c>
      <c r="Y49" s="21">
        <f t="shared" si="60"/>
        <v>0</v>
      </c>
      <c r="Z49" s="169">
        <f t="shared" si="60"/>
        <v>4909700</v>
      </c>
      <c r="AA49" s="18">
        <f t="shared" si="60"/>
        <v>4909700</v>
      </c>
      <c r="AB49" s="21">
        <f t="shared" si="60"/>
        <v>0</v>
      </c>
      <c r="AC49" s="169">
        <f t="shared" si="60"/>
        <v>4909700</v>
      </c>
      <c r="AD49" s="20">
        <f t="shared" si="60"/>
        <v>4909700</v>
      </c>
      <c r="AE49" s="21">
        <f t="shared" si="60"/>
        <v>0</v>
      </c>
      <c r="AF49" s="169">
        <f t="shared" si="60"/>
        <v>0</v>
      </c>
      <c r="AG49" s="18">
        <f t="shared" si="60"/>
        <v>0</v>
      </c>
      <c r="AH49" s="21">
        <f t="shared" si="60"/>
        <v>58336328</v>
      </c>
      <c r="AI49" s="17">
        <f t="shared" si="60"/>
        <v>58336328</v>
      </c>
      <c r="AJ49" s="18">
        <f t="shared" si="60"/>
        <v>63246028</v>
      </c>
      <c r="AK49" s="10"/>
      <c r="AL49" s="31">
        <f>SUM(AL50:AL54)</f>
        <v>0</v>
      </c>
      <c r="AM49" s="28">
        <f>SUM(AM50:AM54)</f>
        <v>0</v>
      </c>
      <c r="AN49" s="10"/>
      <c r="AO49" s="555"/>
      <c r="AP49" s="554"/>
      <c r="AQ49" s="365"/>
      <c r="AR49" s="365"/>
      <c r="AS49" s="365"/>
      <c r="AT49" s="365"/>
      <c r="AU49" s="365"/>
      <c r="AV49" s="365"/>
      <c r="AW49" s="365"/>
      <c r="AX49" s="365"/>
      <c r="AY49" s="365"/>
      <c r="AZ49" s="365"/>
      <c r="BA49" s="467"/>
      <c r="BB49" s="467"/>
      <c r="BC49" s="467"/>
      <c r="BD49" s="467"/>
      <c r="BE49" s="467"/>
      <c r="BF49" s="467"/>
      <c r="BG49" s="467"/>
      <c r="BH49" s="467"/>
      <c r="BI49" s="467"/>
      <c r="BJ49" s="467"/>
      <c r="BK49" s="467"/>
      <c r="BL49" s="467"/>
      <c r="BM49" s="467"/>
      <c r="BN49" s="467"/>
      <c r="BO49" s="467"/>
      <c r="BP49" s="467"/>
      <c r="BQ49" s="467"/>
      <c r="BR49" s="467"/>
    </row>
    <row r="50" spans="1:70" s="514" customFormat="1" ht="15" x14ac:dyDescent="0.2">
      <c r="A50" s="188" t="s">
        <v>408</v>
      </c>
      <c r="B50" s="189" t="s">
        <v>132</v>
      </c>
      <c r="C50" s="455">
        <v>0</v>
      </c>
      <c r="D50" s="456">
        <f>P50</f>
        <v>0</v>
      </c>
      <c r="E50" s="456">
        <f>Q50</f>
        <v>0</v>
      </c>
      <c r="F50" s="170">
        <f>SUM(C50:E50)</f>
        <v>0</v>
      </c>
      <c r="G50" s="283">
        <v>0</v>
      </c>
      <c r="H50" s="457">
        <v>0</v>
      </c>
      <c r="I50" s="170">
        <f>SUM(G50:H50)</f>
        <v>0</v>
      </c>
      <c r="J50" s="283">
        <v>0</v>
      </c>
      <c r="K50" s="457">
        <v>0</v>
      </c>
      <c r="L50" s="170">
        <f>SUM(J50:K50)</f>
        <v>0</v>
      </c>
      <c r="M50" s="283">
        <f>F50-I50</f>
        <v>0</v>
      </c>
      <c r="N50" s="170">
        <f>F50-L50</f>
        <v>0</v>
      </c>
      <c r="O50" s="467"/>
      <c r="P50" s="455">
        <v>0</v>
      </c>
      <c r="Q50" s="458">
        <v>0</v>
      </c>
      <c r="R50" s="10"/>
      <c r="S50" s="156" t="s">
        <v>176</v>
      </c>
      <c r="T50" s="55" t="s">
        <v>438</v>
      </c>
      <c r="U50" s="487">
        <v>4719263</v>
      </c>
      <c r="V50" s="17">
        <f t="shared" ref="V50:W55" si="61">AL50</f>
        <v>0</v>
      </c>
      <c r="W50" s="17">
        <f t="shared" si="61"/>
        <v>0</v>
      </c>
      <c r="X50" s="18">
        <f t="shared" ref="X50:X55" si="62">SUM(U50:W50)</f>
        <v>4719263</v>
      </c>
      <c r="Y50" s="21">
        <v>0</v>
      </c>
      <c r="Z50" s="457">
        <v>1465100</v>
      </c>
      <c r="AA50" s="18">
        <f t="shared" ref="AA50:AA55" si="63">SUM(Y50:Z50)</f>
        <v>1465100</v>
      </c>
      <c r="AB50" s="21">
        <v>0</v>
      </c>
      <c r="AC50" s="457">
        <v>1465100</v>
      </c>
      <c r="AD50" s="20">
        <f t="shared" ref="AD50:AD55" si="64">SUM(AB50:AC50)</f>
        <v>1465100</v>
      </c>
      <c r="AE50" s="21">
        <v>0</v>
      </c>
      <c r="AF50" s="457">
        <v>0</v>
      </c>
      <c r="AG50" s="18">
        <f t="shared" ref="AG50:AG55" si="65">SUM(AE50:AF50)</f>
        <v>0</v>
      </c>
      <c r="AH50" s="21">
        <f t="shared" ref="AH50:AH55" si="66">X50-AA50</f>
        <v>3254163</v>
      </c>
      <c r="AI50" s="17">
        <f t="shared" ref="AI50:AI55" si="67">X50-AD50</f>
        <v>3254163</v>
      </c>
      <c r="AJ50" s="18">
        <f t="shared" ref="AJ50:AJ55" si="68">X50-AG50</f>
        <v>4719263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v>1130109</v>
      </c>
      <c r="B51" s="45" t="s">
        <v>178</v>
      </c>
      <c r="C51" s="52">
        <f t="shared" ref="C51:N51" si="69">SUM(C52:C53)</f>
        <v>0</v>
      </c>
      <c r="D51" s="53">
        <f t="shared" si="69"/>
        <v>0</v>
      </c>
      <c r="E51" s="53">
        <f t="shared" si="69"/>
        <v>0</v>
      </c>
      <c r="F51" s="54">
        <f t="shared" si="69"/>
        <v>0</v>
      </c>
      <c r="G51" s="52">
        <f t="shared" si="69"/>
        <v>0</v>
      </c>
      <c r="H51" s="53">
        <f t="shared" si="69"/>
        <v>0</v>
      </c>
      <c r="I51" s="54">
        <f t="shared" si="69"/>
        <v>0</v>
      </c>
      <c r="J51" s="52">
        <f t="shared" si="69"/>
        <v>0</v>
      </c>
      <c r="K51" s="53">
        <f t="shared" si="69"/>
        <v>0</v>
      </c>
      <c r="L51" s="54">
        <f t="shared" si="69"/>
        <v>0</v>
      </c>
      <c r="M51" s="52">
        <f t="shared" si="69"/>
        <v>0</v>
      </c>
      <c r="N51" s="54">
        <f t="shared" si="69"/>
        <v>0</v>
      </c>
      <c r="P51" s="52">
        <f>SUM(P52:P53)</f>
        <v>0</v>
      </c>
      <c r="Q51" s="54">
        <f>SUM(Q52:Q53)</f>
        <v>0</v>
      </c>
      <c r="R51" s="10"/>
      <c r="S51" s="156" t="s">
        <v>177</v>
      </c>
      <c r="T51" s="55" t="s">
        <v>439</v>
      </c>
      <c r="U51" s="487">
        <v>14856625</v>
      </c>
      <c r="V51" s="17">
        <f t="shared" si="61"/>
        <v>0</v>
      </c>
      <c r="W51" s="17">
        <f t="shared" si="61"/>
        <v>0</v>
      </c>
      <c r="X51" s="18">
        <f t="shared" si="62"/>
        <v>14856625</v>
      </c>
      <c r="Y51" s="21">
        <v>0</v>
      </c>
      <c r="Z51" s="457">
        <v>2071800</v>
      </c>
      <c r="AA51" s="18">
        <f t="shared" si="63"/>
        <v>2071800</v>
      </c>
      <c r="AB51" s="21">
        <v>0</v>
      </c>
      <c r="AC51" s="457">
        <v>2071800</v>
      </c>
      <c r="AD51" s="20">
        <f t="shared" si="64"/>
        <v>2071800</v>
      </c>
      <c r="AE51" s="21">
        <v>0</v>
      </c>
      <c r="AF51" s="457">
        <v>0</v>
      </c>
      <c r="AG51" s="18">
        <f t="shared" si="65"/>
        <v>0</v>
      </c>
      <c r="AH51" s="21">
        <f t="shared" si="66"/>
        <v>12784825</v>
      </c>
      <c r="AI51" s="17">
        <f t="shared" si="67"/>
        <v>12784825</v>
      </c>
      <c r="AJ51" s="18">
        <f t="shared" si="68"/>
        <v>14856625</v>
      </c>
      <c r="AK51" s="10"/>
      <c r="AL51" s="455">
        <v>0</v>
      </c>
      <c r="AM51" s="458">
        <v>0</v>
      </c>
      <c r="AN51" s="10"/>
      <c r="AO51" s="365"/>
      <c r="AP51" s="365"/>
      <c r="AQ51" s="365"/>
      <c r="AR51" s="365"/>
      <c r="AS51" s="365"/>
      <c r="AT51" s="365"/>
      <c r="AU51" s="365"/>
      <c r="AV51" s="365"/>
      <c r="AW51" s="365"/>
      <c r="AX51" s="365"/>
      <c r="AY51" s="365"/>
      <c r="AZ51" s="365"/>
      <c r="BB51" s="514"/>
      <c r="BC51" s="514"/>
      <c r="BD51" s="514"/>
      <c r="BE51" s="514"/>
    </row>
    <row r="52" spans="1:70" s="514" customFormat="1" ht="15" x14ac:dyDescent="0.2">
      <c r="A52" s="188" t="s">
        <v>180</v>
      </c>
      <c r="B52" s="189" t="str">
        <f>+CONCATENATE("Vigencia ",INSTRUCCIONES!$F$3)</f>
        <v>Vigencia 2014</v>
      </c>
      <c r="C52" s="455">
        <v>0</v>
      </c>
      <c r="D52" s="456">
        <f>P52</f>
        <v>0</v>
      </c>
      <c r="E52" s="456">
        <f>Q52</f>
        <v>0</v>
      </c>
      <c r="F52" s="170">
        <f>SUM(C52:E52)</f>
        <v>0</v>
      </c>
      <c r="G52" s="283">
        <v>0</v>
      </c>
      <c r="H52" s="457">
        <v>0</v>
      </c>
      <c r="I52" s="170">
        <f>SUM(G52:H52)</f>
        <v>0</v>
      </c>
      <c r="J52" s="283">
        <v>0</v>
      </c>
      <c r="K52" s="457">
        <v>0</v>
      </c>
      <c r="L52" s="170">
        <f>SUM(J52:K52)</f>
        <v>0</v>
      </c>
      <c r="M52" s="283">
        <f>F52-I52</f>
        <v>0</v>
      </c>
      <c r="N52" s="170">
        <f>F52-L52</f>
        <v>0</v>
      </c>
      <c r="O52" s="467"/>
      <c r="P52" s="455">
        <v>0</v>
      </c>
      <c r="Q52" s="458">
        <v>0</v>
      </c>
      <c r="R52" s="10"/>
      <c r="S52" s="156" t="s">
        <v>179</v>
      </c>
      <c r="T52" s="55" t="s">
        <v>440</v>
      </c>
      <c r="U52" s="487">
        <v>26296821</v>
      </c>
      <c r="V52" s="17">
        <f t="shared" si="61"/>
        <v>0</v>
      </c>
      <c r="W52" s="17">
        <f t="shared" si="61"/>
        <v>0</v>
      </c>
      <c r="X52" s="18">
        <f t="shared" si="62"/>
        <v>26296821</v>
      </c>
      <c r="Y52" s="21">
        <v>0</v>
      </c>
      <c r="Z52" s="457">
        <v>0</v>
      </c>
      <c r="AA52" s="18">
        <f t="shared" si="63"/>
        <v>0</v>
      </c>
      <c r="AB52" s="21">
        <v>0</v>
      </c>
      <c r="AC52" s="457">
        <v>0</v>
      </c>
      <c r="AD52" s="20">
        <f t="shared" si="64"/>
        <v>0</v>
      </c>
      <c r="AE52" s="21">
        <v>0</v>
      </c>
      <c r="AF52" s="457">
        <v>0</v>
      </c>
      <c r="AG52" s="18">
        <f t="shared" si="65"/>
        <v>0</v>
      </c>
      <c r="AH52" s="21">
        <f t="shared" si="66"/>
        <v>26296821</v>
      </c>
      <c r="AI52" s="17">
        <f t="shared" si="67"/>
        <v>26296821</v>
      </c>
      <c r="AJ52" s="18">
        <f t="shared" si="68"/>
        <v>26296821</v>
      </c>
      <c r="AK52" s="10"/>
      <c r="AL52" s="455">
        <v>0</v>
      </c>
      <c r="AM52" s="458">
        <v>0</v>
      </c>
      <c r="AN52" s="10"/>
      <c r="AO52" s="556"/>
      <c r="AP52" s="556"/>
      <c r="AQ52" s="556"/>
      <c r="AR52" s="365"/>
      <c r="AS52" s="555"/>
      <c r="AT52" s="555"/>
      <c r="AU52" s="555"/>
      <c r="AV52" s="555"/>
      <c r="AW52" s="555"/>
      <c r="AX52" s="555"/>
      <c r="AY52" s="555"/>
      <c r="AZ52" s="555"/>
      <c r="BA52" s="467"/>
      <c r="BB52" s="467"/>
      <c r="BC52" s="467"/>
      <c r="BD52" s="467"/>
      <c r="BE52" s="467"/>
      <c r="BF52" s="467"/>
      <c r="BG52" s="467"/>
      <c r="BH52" s="467"/>
      <c r="BI52" s="467"/>
      <c r="BJ52" s="467"/>
      <c r="BK52" s="467"/>
      <c r="BL52" s="467"/>
      <c r="BM52" s="467"/>
      <c r="BN52" s="467"/>
      <c r="BO52" s="467"/>
      <c r="BP52" s="467"/>
      <c r="BQ52" s="467"/>
      <c r="BR52" s="467"/>
    </row>
    <row r="53" spans="1:70" s="514" customFormat="1" ht="15" x14ac:dyDescent="0.2">
      <c r="A53" s="188" t="s">
        <v>182</v>
      </c>
      <c r="B53" s="189" t="s">
        <v>132</v>
      </c>
      <c r="C53" s="455">
        <v>0</v>
      </c>
      <c r="D53" s="456">
        <f>P53</f>
        <v>0</v>
      </c>
      <c r="E53" s="456">
        <f>Q53</f>
        <v>0</v>
      </c>
      <c r="F53" s="170">
        <f>SUM(C53:E53)</f>
        <v>0</v>
      </c>
      <c r="G53" s="283">
        <v>0</v>
      </c>
      <c r="H53" s="457">
        <v>0</v>
      </c>
      <c r="I53" s="170">
        <f>SUM(G53:H53)</f>
        <v>0</v>
      </c>
      <c r="J53" s="283">
        <v>0</v>
      </c>
      <c r="K53" s="457">
        <v>0</v>
      </c>
      <c r="L53" s="170">
        <f>SUM(J53:K53)</f>
        <v>0</v>
      </c>
      <c r="M53" s="283">
        <f>F53-I53</f>
        <v>0</v>
      </c>
      <c r="N53" s="170">
        <f>F53-L53</f>
        <v>0</v>
      </c>
      <c r="O53" s="467"/>
      <c r="P53" s="455">
        <v>0</v>
      </c>
      <c r="Q53" s="458">
        <v>0</v>
      </c>
      <c r="R53" s="10"/>
      <c r="S53" s="156" t="s">
        <v>181</v>
      </c>
      <c r="T53" s="55" t="s">
        <v>589</v>
      </c>
      <c r="U53" s="487">
        <v>1807452</v>
      </c>
      <c r="V53" s="17">
        <f t="shared" si="61"/>
        <v>0</v>
      </c>
      <c r="W53" s="17">
        <f t="shared" si="61"/>
        <v>0</v>
      </c>
      <c r="X53" s="18">
        <f t="shared" si="62"/>
        <v>1807452</v>
      </c>
      <c r="Y53" s="21">
        <v>0</v>
      </c>
      <c r="Z53" s="457">
        <v>265000</v>
      </c>
      <c r="AA53" s="18">
        <f t="shared" si="63"/>
        <v>265000</v>
      </c>
      <c r="AB53" s="21">
        <v>0</v>
      </c>
      <c r="AC53" s="457">
        <v>265000</v>
      </c>
      <c r="AD53" s="20">
        <f t="shared" si="64"/>
        <v>265000</v>
      </c>
      <c r="AE53" s="21">
        <v>0</v>
      </c>
      <c r="AF53" s="457">
        <v>0</v>
      </c>
      <c r="AG53" s="18">
        <f t="shared" si="65"/>
        <v>0</v>
      </c>
      <c r="AH53" s="21">
        <f t="shared" si="66"/>
        <v>1542452</v>
      </c>
      <c r="AI53" s="17">
        <f t="shared" si="67"/>
        <v>1542452</v>
      </c>
      <c r="AJ53" s="18">
        <f t="shared" si="68"/>
        <v>1807452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v>1130110</v>
      </c>
      <c r="B54" s="45" t="s">
        <v>184</v>
      </c>
      <c r="C54" s="52">
        <f t="shared" ref="C54:N54" si="70">SUM(C55:C56)</f>
        <v>0</v>
      </c>
      <c r="D54" s="53">
        <f t="shared" si="70"/>
        <v>0</v>
      </c>
      <c r="E54" s="53">
        <f t="shared" si="70"/>
        <v>0</v>
      </c>
      <c r="F54" s="54">
        <f t="shared" si="70"/>
        <v>0</v>
      </c>
      <c r="G54" s="52">
        <f t="shared" si="70"/>
        <v>0</v>
      </c>
      <c r="H54" s="53">
        <f t="shared" si="70"/>
        <v>0</v>
      </c>
      <c r="I54" s="54">
        <f t="shared" si="70"/>
        <v>0</v>
      </c>
      <c r="J54" s="52">
        <f t="shared" si="70"/>
        <v>0</v>
      </c>
      <c r="K54" s="53">
        <f t="shared" si="70"/>
        <v>0</v>
      </c>
      <c r="L54" s="54">
        <f t="shared" si="70"/>
        <v>0</v>
      </c>
      <c r="M54" s="52">
        <f t="shared" si="70"/>
        <v>0</v>
      </c>
      <c r="N54" s="54">
        <f t="shared" si="70"/>
        <v>0</v>
      </c>
      <c r="P54" s="52">
        <f>SUM(P55:P56)</f>
        <v>0</v>
      </c>
      <c r="Q54" s="54">
        <f>SUM(Q55:Q56)</f>
        <v>0</v>
      </c>
      <c r="R54" s="10"/>
      <c r="S54" s="156" t="s">
        <v>183</v>
      </c>
      <c r="T54" s="55" t="s">
        <v>441</v>
      </c>
      <c r="U54" s="487">
        <v>15565867</v>
      </c>
      <c r="V54" s="17">
        <f t="shared" si="61"/>
        <v>0</v>
      </c>
      <c r="W54" s="17">
        <f t="shared" si="61"/>
        <v>0</v>
      </c>
      <c r="X54" s="18">
        <f t="shared" si="62"/>
        <v>15565867</v>
      </c>
      <c r="Y54" s="21">
        <v>0</v>
      </c>
      <c r="Z54" s="457">
        <v>1107800</v>
      </c>
      <c r="AA54" s="18">
        <f t="shared" si="63"/>
        <v>1107800</v>
      </c>
      <c r="AB54" s="21">
        <v>0</v>
      </c>
      <c r="AC54" s="457">
        <v>1107800</v>
      </c>
      <c r="AD54" s="20">
        <f t="shared" si="64"/>
        <v>1107800</v>
      </c>
      <c r="AE54" s="21">
        <v>0</v>
      </c>
      <c r="AF54" s="457">
        <v>0</v>
      </c>
      <c r="AG54" s="18">
        <f t="shared" si="65"/>
        <v>0</v>
      </c>
      <c r="AH54" s="21">
        <f t="shared" si="66"/>
        <v>14458067</v>
      </c>
      <c r="AI54" s="17">
        <f t="shared" si="67"/>
        <v>14458067</v>
      </c>
      <c r="AJ54" s="18">
        <f t="shared" si="68"/>
        <v>15565867</v>
      </c>
      <c r="AK54" s="10"/>
      <c r="AL54" s="455">
        <v>0</v>
      </c>
      <c r="AM54" s="458">
        <v>0</v>
      </c>
      <c r="AN54" s="10"/>
      <c r="AO54" s="365"/>
      <c r="AP54" s="365"/>
      <c r="AQ54" s="365"/>
      <c r="AR54" s="365"/>
      <c r="AS54" s="365"/>
      <c r="AT54" s="365"/>
      <c r="AU54" s="365"/>
      <c r="AV54" s="365"/>
      <c r="AW54" s="365"/>
      <c r="AX54" s="365"/>
      <c r="AY54" s="365"/>
      <c r="AZ54" s="365"/>
      <c r="BB54" s="514"/>
      <c r="BC54" s="514"/>
      <c r="BD54" s="514"/>
      <c r="BE54" s="514"/>
    </row>
    <row r="55" spans="1:70" s="514" customFormat="1" ht="15" x14ac:dyDescent="0.2">
      <c r="A55" s="188" t="s">
        <v>185</v>
      </c>
      <c r="B55" s="189" t="str">
        <f>+CONCATENATE("Vigencia ",INSTRUCCIONES!$F$3)</f>
        <v>Vigencia 2014</v>
      </c>
      <c r="C55" s="455">
        <v>0</v>
      </c>
      <c r="D55" s="456">
        <f>P55</f>
        <v>0</v>
      </c>
      <c r="E55" s="456">
        <f>Q55</f>
        <v>0</v>
      </c>
      <c r="F55" s="170">
        <f>SUM(C55:E55)</f>
        <v>0</v>
      </c>
      <c r="G55" s="283">
        <v>0</v>
      </c>
      <c r="H55" s="457">
        <v>0</v>
      </c>
      <c r="I55" s="170">
        <f>SUM(G55:H55)</f>
        <v>0</v>
      </c>
      <c r="J55" s="283">
        <v>0</v>
      </c>
      <c r="K55" s="457">
        <v>0</v>
      </c>
      <c r="L55" s="170">
        <f>SUM(J55:K55)</f>
        <v>0</v>
      </c>
      <c r="M55" s="283">
        <f>F55-I55</f>
        <v>0</v>
      </c>
      <c r="N55" s="170">
        <f>F55-L55</f>
        <v>0</v>
      </c>
      <c r="O55" s="467"/>
      <c r="P55" s="455">
        <v>0</v>
      </c>
      <c r="Q55" s="458">
        <v>0</v>
      </c>
      <c r="R55" s="10"/>
      <c r="S55" s="155">
        <v>1010399</v>
      </c>
      <c r="T55" s="159" t="s">
        <v>132</v>
      </c>
      <c r="U55" s="487">
        <v>0</v>
      </c>
      <c r="V55" s="17">
        <f t="shared" si="61"/>
        <v>0</v>
      </c>
      <c r="W55" s="17">
        <f t="shared" si="61"/>
        <v>0</v>
      </c>
      <c r="X55" s="18">
        <f t="shared" si="62"/>
        <v>0</v>
      </c>
      <c r="Y55" s="21">
        <v>0</v>
      </c>
      <c r="Z55" s="457">
        <v>487148</v>
      </c>
      <c r="AA55" s="18">
        <f t="shared" si="63"/>
        <v>487148</v>
      </c>
      <c r="AB55" s="21">
        <v>0</v>
      </c>
      <c r="AC55" s="457">
        <v>487148</v>
      </c>
      <c r="AD55" s="20">
        <f t="shared" si="64"/>
        <v>487148</v>
      </c>
      <c r="AE55" s="21">
        <v>0</v>
      </c>
      <c r="AF55" s="457">
        <v>0</v>
      </c>
      <c r="AG55" s="18">
        <f t="shared" si="65"/>
        <v>0</v>
      </c>
      <c r="AH55" s="21">
        <f t="shared" si="66"/>
        <v>-487148</v>
      </c>
      <c r="AI55" s="17">
        <f t="shared" si="67"/>
        <v>-487148</v>
      </c>
      <c r="AJ55" s="18">
        <f t="shared" si="68"/>
        <v>0</v>
      </c>
      <c r="AK55" s="10"/>
      <c r="AL55" s="455">
        <v>0</v>
      </c>
      <c r="AM55" s="458">
        <v>0</v>
      </c>
      <c r="AN55" s="10"/>
      <c r="AO55" s="365"/>
      <c r="AP55" s="554"/>
      <c r="AQ55" s="365"/>
      <c r="AR55" s="365"/>
      <c r="AS55" s="365"/>
      <c r="AT55" s="365"/>
      <c r="AU55" s="365"/>
      <c r="AV55" s="365"/>
      <c r="AW55" s="365"/>
      <c r="AX55" s="365"/>
      <c r="AY55" s="365"/>
      <c r="AZ55" s="365"/>
      <c r="BA55" s="467"/>
      <c r="BB55" s="467"/>
      <c r="BC55" s="467"/>
      <c r="BD55" s="467"/>
      <c r="BE55" s="467"/>
      <c r="BF55" s="467"/>
      <c r="BG55" s="467"/>
      <c r="BH55" s="467"/>
      <c r="BI55" s="467"/>
      <c r="BJ55" s="467"/>
      <c r="BK55" s="467"/>
      <c r="BL55" s="467"/>
      <c r="BM55" s="467"/>
      <c r="BN55" s="467"/>
      <c r="BO55" s="467"/>
      <c r="BP55" s="467"/>
      <c r="BQ55" s="467"/>
      <c r="BR55" s="467"/>
    </row>
    <row r="56" spans="1:70" s="514" customFormat="1" ht="15.75" x14ac:dyDescent="0.2">
      <c r="A56" s="188" t="s">
        <v>186</v>
      </c>
      <c r="B56" s="189" t="s">
        <v>132</v>
      </c>
      <c r="C56" s="455">
        <v>0</v>
      </c>
      <c r="D56" s="456">
        <f>P56</f>
        <v>0</v>
      </c>
      <c r="E56" s="456">
        <f>Q56</f>
        <v>0</v>
      </c>
      <c r="F56" s="170">
        <f>SUM(C56:E56)</f>
        <v>0</v>
      </c>
      <c r="G56" s="283">
        <v>0</v>
      </c>
      <c r="H56" s="457">
        <v>0</v>
      </c>
      <c r="I56" s="170">
        <f>SUM(G56:H56)</f>
        <v>0</v>
      </c>
      <c r="J56" s="283">
        <v>0</v>
      </c>
      <c r="K56" s="457">
        <v>0</v>
      </c>
      <c r="L56" s="170">
        <f>SUM(J56:K56)</f>
        <v>0</v>
      </c>
      <c r="M56" s="283">
        <f>F56-I56</f>
        <v>0</v>
      </c>
      <c r="N56" s="170">
        <f>F56-L56</f>
        <v>0</v>
      </c>
      <c r="O56" s="467"/>
      <c r="P56" s="455">
        <v>0</v>
      </c>
      <c r="Q56" s="458">
        <v>0</v>
      </c>
      <c r="R56" s="10"/>
      <c r="S56" s="448"/>
      <c r="T56" s="449"/>
      <c r="U56" s="256"/>
      <c r="V56" s="193"/>
      <c r="W56" s="193"/>
      <c r="X56" s="207"/>
      <c r="Y56" s="450"/>
      <c r="Z56" s="193"/>
      <c r="AA56" s="207"/>
      <c r="AB56" s="450"/>
      <c r="AC56" s="193"/>
      <c r="AD56" s="193"/>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v>1130111</v>
      </c>
      <c r="B57" s="45" t="s">
        <v>188</v>
      </c>
      <c r="C57" s="52">
        <f t="shared" ref="C57:N57" si="71">SUM(C58:C59)</f>
        <v>0</v>
      </c>
      <c r="D57" s="53">
        <f t="shared" si="71"/>
        <v>0</v>
      </c>
      <c r="E57" s="53">
        <f t="shared" si="71"/>
        <v>0</v>
      </c>
      <c r="F57" s="54">
        <f t="shared" si="71"/>
        <v>0</v>
      </c>
      <c r="G57" s="52">
        <f t="shared" si="71"/>
        <v>0</v>
      </c>
      <c r="H57" s="53">
        <f t="shared" si="71"/>
        <v>0</v>
      </c>
      <c r="I57" s="54">
        <f t="shared" si="71"/>
        <v>0</v>
      </c>
      <c r="J57" s="52">
        <f t="shared" si="71"/>
        <v>0</v>
      </c>
      <c r="K57" s="53">
        <f t="shared" si="71"/>
        <v>0</v>
      </c>
      <c r="L57" s="54">
        <f t="shared" si="71"/>
        <v>0</v>
      </c>
      <c r="M57" s="52">
        <f t="shared" si="71"/>
        <v>0</v>
      </c>
      <c r="N57" s="54">
        <f t="shared" si="71"/>
        <v>0</v>
      </c>
      <c r="P57" s="52">
        <f>SUM(P58:P59)</f>
        <v>0</v>
      </c>
      <c r="Q57" s="54">
        <f>SUM(Q58:Q59)</f>
        <v>0</v>
      </c>
      <c r="R57" s="10"/>
      <c r="S57" s="34">
        <v>1010400</v>
      </c>
      <c r="T57" s="158" t="s">
        <v>187</v>
      </c>
      <c r="U57" s="157">
        <f t="shared" ref="U57:AJ57" si="72">U58+U61</f>
        <v>19457334</v>
      </c>
      <c r="V57" s="144">
        <f t="shared" si="72"/>
        <v>0</v>
      </c>
      <c r="W57" s="144">
        <f t="shared" si="72"/>
        <v>0</v>
      </c>
      <c r="X57" s="153">
        <f t="shared" si="72"/>
        <v>19457334</v>
      </c>
      <c r="Y57" s="151">
        <f t="shared" si="72"/>
        <v>0</v>
      </c>
      <c r="Z57" s="144">
        <f t="shared" si="72"/>
        <v>1624100</v>
      </c>
      <c r="AA57" s="153">
        <f t="shared" si="72"/>
        <v>1624100</v>
      </c>
      <c r="AB57" s="151">
        <f t="shared" si="72"/>
        <v>0</v>
      </c>
      <c r="AC57" s="144">
        <f t="shared" si="72"/>
        <v>1624100</v>
      </c>
      <c r="AD57" s="152">
        <f t="shared" si="72"/>
        <v>1624100</v>
      </c>
      <c r="AE57" s="151">
        <f t="shared" si="72"/>
        <v>0</v>
      </c>
      <c r="AF57" s="144">
        <f t="shared" si="72"/>
        <v>0</v>
      </c>
      <c r="AG57" s="153">
        <f t="shared" si="72"/>
        <v>0</v>
      </c>
      <c r="AH57" s="151">
        <f t="shared" si="72"/>
        <v>17833234</v>
      </c>
      <c r="AI57" s="144">
        <f t="shared" si="72"/>
        <v>17833234</v>
      </c>
      <c r="AJ57" s="153">
        <f t="shared" si="72"/>
        <v>19457334</v>
      </c>
      <c r="AK57" s="10"/>
      <c r="AL57" s="151">
        <f>AL58+AL61</f>
        <v>0</v>
      </c>
      <c r="AM57" s="153">
        <f>AM58+AM61</f>
        <v>0</v>
      </c>
      <c r="AN57" s="10"/>
      <c r="AO57" s="365"/>
      <c r="AP57" s="365"/>
      <c r="AQ57" s="365"/>
      <c r="AR57" s="365"/>
      <c r="AS57" s="365"/>
      <c r="AT57" s="365"/>
      <c r="AU57" s="365"/>
      <c r="AV57" s="365"/>
      <c r="AW57" s="365"/>
      <c r="AX57" s="365"/>
      <c r="AY57" s="365"/>
      <c r="AZ57" s="365"/>
      <c r="BB57" s="514"/>
      <c r="BC57" s="514"/>
      <c r="BD57" s="514"/>
      <c r="BE57" s="514"/>
    </row>
    <row r="58" spans="1:70" s="514" customFormat="1" ht="15" x14ac:dyDescent="0.2">
      <c r="A58" s="188" t="s">
        <v>189</v>
      </c>
      <c r="B58" s="189" t="str">
        <f>+CONCATENATE("Vigencia ",INSTRUCCIONES!$F$3)</f>
        <v>Vigencia 2014</v>
      </c>
      <c r="C58" s="455">
        <v>0</v>
      </c>
      <c r="D58" s="456">
        <f>P58</f>
        <v>0</v>
      </c>
      <c r="E58" s="456">
        <f>Q58</f>
        <v>0</v>
      </c>
      <c r="F58" s="170">
        <f>SUM(C58:E58)</f>
        <v>0</v>
      </c>
      <c r="G58" s="283">
        <v>0</v>
      </c>
      <c r="H58" s="457">
        <v>0</v>
      </c>
      <c r="I58" s="170">
        <f>SUM(G58:H58)</f>
        <v>0</v>
      </c>
      <c r="J58" s="283">
        <v>0</v>
      </c>
      <c r="K58" s="457">
        <v>0</v>
      </c>
      <c r="L58" s="170">
        <f>SUM(J58:K58)</f>
        <v>0</v>
      </c>
      <c r="M58" s="283">
        <f>F58-I58</f>
        <v>0</v>
      </c>
      <c r="N58" s="170">
        <f>F58-L58</f>
        <v>0</v>
      </c>
      <c r="O58" s="467"/>
      <c r="P58" s="455">
        <v>0</v>
      </c>
      <c r="Q58" s="458">
        <v>0</v>
      </c>
      <c r="R58" s="10"/>
      <c r="S58" s="155">
        <v>1010402</v>
      </c>
      <c r="T58" s="159" t="s">
        <v>175</v>
      </c>
      <c r="U58" s="19">
        <f t="shared" ref="U58:AJ58" si="73">SUM(U59:U60)</f>
        <v>19457334</v>
      </c>
      <c r="V58" s="17">
        <f t="shared" si="73"/>
        <v>0</v>
      </c>
      <c r="W58" s="17">
        <f t="shared" si="73"/>
        <v>0</v>
      </c>
      <c r="X58" s="18">
        <f t="shared" si="73"/>
        <v>19457334</v>
      </c>
      <c r="Y58" s="21">
        <f t="shared" si="73"/>
        <v>0</v>
      </c>
      <c r="Z58" s="169">
        <f t="shared" si="73"/>
        <v>1624100</v>
      </c>
      <c r="AA58" s="18">
        <f t="shared" si="73"/>
        <v>1624100</v>
      </c>
      <c r="AB58" s="21">
        <f t="shared" si="73"/>
        <v>0</v>
      </c>
      <c r="AC58" s="169">
        <f t="shared" si="73"/>
        <v>1624100</v>
      </c>
      <c r="AD58" s="20">
        <f t="shared" si="73"/>
        <v>1624100</v>
      </c>
      <c r="AE58" s="21">
        <f t="shared" si="73"/>
        <v>0</v>
      </c>
      <c r="AF58" s="169">
        <f t="shared" si="73"/>
        <v>0</v>
      </c>
      <c r="AG58" s="18">
        <f t="shared" si="73"/>
        <v>0</v>
      </c>
      <c r="AH58" s="21">
        <f t="shared" si="73"/>
        <v>17833234</v>
      </c>
      <c r="AI58" s="17">
        <f t="shared" si="73"/>
        <v>17833234</v>
      </c>
      <c r="AJ58" s="18">
        <f t="shared" si="73"/>
        <v>19457334</v>
      </c>
      <c r="AK58" s="10"/>
      <c r="AL58" s="31">
        <f>SUM(AL59:AL60)</f>
        <v>0</v>
      </c>
      <c r="AM58" s="28">
        <f>SUM(AM59:AM60)</f>
        <v>0</v>
      </c>
      <c r="AN58" s="10"/>
      <c r="AO58" s="555"/>
      <c r="AP58" s="554"/>
      <c r="AQ58" s="365"/>
      <c r="AR58" s="365"/>
      <c r="AS58" s="365"/>
      <c r="AT58" s="365"/>
      <c r="AU58" s="365"/>
      <c r="AV58" s="365"/>
      <c r="AW58" s="365"/>
      <c r="AX58" s="365"/>
      <c r="AY58" s="365"/>
      <c r="AZ58" s="365"/>
      <c r="BA58" s="467"/>
      <c r="BB58" s="467"/>
      <c r="BC58" s="467"/>
      <c r="BD58" s="467"/>
      <c r="BE58" s="467"/>
      <c r="BF58" s="467"/>
      <c r="BG58" s="467"/>
      <c r="BH58" s="467"/>
      <c r="BI58" s="467"/>
      <c r="BJ58" s="467"/>
      <c r="BK58" s="467"/>
      <c r="BL58" s="467"/>
      <c r="BM58" s="467"/>
      <c r="BN58" s="467"/>
      <c r="BO58" s="467"/>
      <c r="BP58" s="467"/>
      <c r="BQ58" s="467"/>
      <c r="BR58" s="467"/>
    </row>
    <row r="59" spans="1:70" s="514" customFormat="1" ht="15" x14ac:dyDescent="0.2">
      <c r="A59" s="188" t="s">
        <v>191</v>
      </c>
      <c r="B59" s="189" t="s">
        <v>132</v>
      </c>
      <c r="C59" s="455">
        <v>0</v>
      </c>
      <c r="D59" s="456">
        <f>P59</f>
        <v>0</v>
      </c>
      <c r="E59" s="456">
        <f>Q59</f>
        <v>0</v>
      </c>
      <c r="F59" s="170">
        <f>SUM(C59:E59)</f>
        <v>0</v>
      </c>
      <c r="G59" s="283">
        <v>0</v>
      </c>
      <c r="H59" s="457">
        <v>0</v>
      </c>
      <c r="I59" s="170">
        <f>SUM(G59:H59)</f>
        <v>0</v>
      </c>
      <c r="J59" s="283">
        <v>0</v>
      </c>
      <c r="K59" s="457">
        <v>0</v>
      </c>
      <c r="L59" s="170">
        <f>SUM(J59:K59)</f>
        <v>0</v>
      </c>
      <c r="M59" s="283">
        <f>F59-I59</f>
        <v>0</v>
      </c>
      <c r="N59" s="170">
        <f>F59-L59</f>
        <v>0</v>
      </c>
      <c r="O59" s="467"/>
      <c r="P59" s="455">
        <v>0</v>
      </c>
      <c r="Q59" s="458">
        <v>0</v>
      </c>
      <c r="R59" s="10"/>
      <c r="S59" s="156" t="s">
        <v>190</v>
      </c>
      <c r="T59" s="55" t="s">
        <v>442</v>
      </c>
      <c r="U59" s="487">
        <v>7782934</v>
      </c>
      <c r="V59" s="17">
        <f t="shared" ref="V59:W61" si="74">AL59</f>
        <v>0</v>
      </c>
      <c r="W59" s="17">
        <f t="shared" si="74"/>
        <v>0</v>
      </c>
      <c r="X59" s="18">
        <f>SUM(U59:W59)</f>
        <v>7782934</v>
      </c>
      <c r="Y59" s="21">
        <v>0</v>
      </c>
      <c r="Z59" s="457">
        <v>571000</v>
      </c>
      <c r="AA59" s="18">
        <f>SUM(Y59:Z59)</f>
        <v>571000</v>
      </c>
      <c r="AB59" s="21">
        <v>0</v>
      </c>
      <c r="AC59" s="457">
        <v>571000</v>
      </c>
      <c r="AD59" s="20">
        <f>SUM(AB59:AC59)</f>
        <v>571000</v>
      </c>
      <c r="AE59" s="21">
        <v>0</v>
      </c>
      <c r="AF59" s="457">
        <v>0</v>
      </c>
      <c r="AG59" s="18">
        <f>SUM(AE59:AF59)</f>
        <v>0</v>
      </c>
      <c r="AH59" s="21">
        <f>X59-AA59</f>
        <v>7211934</v>
      </c>
      <c r="AI59" s="17">
        <f>X59-AD59</f>
        <v>7211934</v>
      </c>
      <c r="AJ59" s="18">
        <f>X59-AG59</f>
        <v>7782934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v>1130112</v>
      </c>
      <c r="B60" s="45" t="s">
        <v>193</v>
      </c>
      <c r="C60" s="52">
        <f t="shared" ref="C60:N60" si="75">SUM(C61:C62)</f>
        <v>8883897</v>
      </c>
      <c r="D60" s="53">
        <f t="shared" si="75"/>
        <v>0</v>
      </c>
      <c r="E60" s="53">
        <f t="shared" si="75"/>
        <v>0</v>
      </c>
      <c r="F60" s="54">
        <f t="shared" si="75"/>
        <v>8883897</v>
      </c>
      <c r="G60" s="52">
        <f t="shared" si="75"/>
        <v>0</v>
      </c>
      <c r="H60" s="53">
        <f t="shared" si="75"/>
        <v>890848</v>
      </c>
      <c r="I60" s="54">
        <f t="shared" si="75"/>
        <v>890848</v>
      </c>
      <c r="J60" s="52">
        <f t="shared" si="75"/>
        <v>0</v>
      </c>
      <c r="K60" s="53">
        <f t="shared" si="75"/>
        <v>707266</v>
      </c>
      <c r="L60" s="54">
        <f t="shared" si="75"/>
        <v>707266</v>
      </c>
      <c r="M60" s="52">
        <f t="shared" si="75"/>
        <v>7993049</v>
      </c>
      <c r="N60" s="54">
        <f t="shared" si="75"/>
        <v>8176631</v>
      </c>
      <c r="P60" s="52">
        <f>SUM(P61:P62)</f>
        <v>0</v>
      </c>
      <c r="Q60" s="54">
        <f>SUM(Q61:Q62)</f>
        <v>0</v>
      </c>
      <c r="R60" s="10"/>
      <c r="S60" s="156" t="s">
        <v>192</v>
      </c>
      <c r="T60" s="55" t="s">
        <v>443</v>
      </c>
      <c r="U60" s="487">
        <v>11674400</v>
      </c>
      <c r="V60" s="17">
        <f t="shared" si="74"/>
        <v>0</v>
      </c>
      <c r="W60" s="17">
        <f t="shared" si="74"/>
        <v>0</v>
      </c>
      <c r="X60" s="18">
        <f>SUM(U60:W60)</f>
        <v>11674400</v>
      </c>
      <c r="Y60" s="21">
        <v>0</v>
      </c>
      <c r="Z60" s="457">
        <v>1053100</v>
      </c>
      <c r="AA60" s="18">
        <f>SUM(Y60:Z60)</f>
        <v>1053100</v>
      </c>
      <c r="AB60" s="21">
        <v>0</v>
      </c>
      <c r="AC60" s="457">
        <v>1053100</v>
      </c>
      <c r="AD60" s="20">
        <f>SUM(AB60:AC60)</f>
        <v>1053100</v>
      </c>
      <c r="AE60" s="21">
        <v>0</v>
      </c>
      <c r="AF60" s="457">
        <v>0</v>
      </c>
      <c r="AG60" s="18">
        <f>SUM(AE60:AF60)</f>
        <v>0</v>
      </c>
      <c r="AH60" s="21">
        <f>X60-AA60</f>
        <v>10621300</v>
      </c>
      <c r="AI60" s="17">
        <f>X60-AD60</f>
        <v>10621300</v>
      </c>
      <c r="AJ60" s="18">
        <f>X60-AG60</f>
        <v>11674400</v>
      </c>
      <c r="AK60" s="10"/>
      <c r="AL60" s="455">
        <v>0</v>
      </c>
      <c r="AM60" s="458">
        <v>0</v>
      </c>
      <c r="AN60" s="10"/>
      <c r="AO60" s="365"/>
      <c r="AP60" s="365"/>
      <c r="AQ60" s="365"/>
      <c r="AR60" s="365"/>
      <c r="AS60" s="365"/>
      <c r="AT60" s="365"/>
      <c r="AU60" s="365"/>
      <c r="AV60" s="365"/>
      <c r="AW60" s="365"/>
      <c r="AX60" s="365"/>
      <c r="AY60" s="365"/>
      <c r="AZ60" s="365"/>
      <c r="BB60" s="514"/>
      <c r="BC60" s="514"/>
      <c r="BD60" s="514"/>
      <c r="BE60" s="514"/>
    </row>
    <row r="61" spans="1:70" s="514" customFormat="1" ht="15" x14ac:dyDescent="0.2">
      <c r="A61" s="188" t="s">
        <v>194</v>
      </c>
      <c r="B61" s="189" t="str">
        <f>+CONCATENATE("Vigencia ",INSTRUCCIONES!$F$3)</f>
        <v>Vigencia 2014</v>
      </c>
      <c r="C61" s="455">
        <v>5883897</v>
      </c>
      <c r="D61" s="456">
        <f>P61</f>
        <v>0</v>
      </c>
      <c r="E61" s="456">
        <f>Q61</f>
        <v>0</v>
      </c>
      <c r="F61" s="170">
        <f>SUM(C61:E61)</f>
        <v>5883897</v>
      </c>
      <c r="G61" s="283">
        <v>0</v>
      </c>
      <c r="H61" s="457">
        <v>183582</v>
      </c>
      <c r="I61" s="170">
        <f>SUM(G61:H61)</f>
        <v>183582</v>
      </c>
      <c r="J61" s="283">
        <v>0</v>
      </c>
      <c r="K61" s="457">
        <v>0</v>
      </c>
      <c r="L61" s="170">
        <f>SUM(J61:K61)</f>
        <v>0</v>
      </c>
      <c r="M61" s="283">
        <f>F61-I61</f>
        <v>5700315</v>
      </c>
      <c r="N61" s="170">
        <f>F61-L61</f>
        <v>5883897</v>
      </c>
      <c r="O61" s="467"/>
      <c r="P61" s="455">
        <v>0</v>
      </c>
      <c r="Q61" s="458">
        <v>0</v>
      </c>
      <c r="R61" s="10"/>
      <c r="S61" s="155">
        <v>1010499</v>
      </c>
      <c r="T61" s="159" t="s">
        <v>132</v>
      </c>
      <c r="U61" s="487">
        <v>0</v>
      </c>
      <c r="V61" s="17">
        <f t="shared" si="74"/>
        <v>0</v>
      </c>
      <c r="W61" s="17">
        <f t="shared" si="74"/>
        <v>0</v>
      </c>
      <c r="X61" s="18">
        <f>SUM(U61:W61)</f>
        <v>0</v>
      </c>
      <c r="Y61" s="21">
        <v>0</v>
      </c>
      <c r="Z61" s="457">
        <v>0</v>
      </c>
      <c r="AA61" s="18">
        <f>SUM(Y61:Z61)</f>
        <v>0</v>
      </c>
      <c r="AB61" s="21">
        <v>0</v>
      </c>
      <c r="AC61" s="457">
        <v>0</v>
      </c>
      <c r="AD61" s="20">
        <f>SUM(AB61:AC61)</f>
        <v>0</v>
      </c>
      <c r="AE61" s="21">
        <v>0</v>
      </c>
      <c r="AF61" s="457">
        <v>0</v>
      </c>
      <c r="AG61" s="18">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B61" s="467"/>
      <c r="BC61" s="467"/>
      <c r="BD61" s="467"/>
      <c r="BE61" s="467"/>
      <c r="BF61" s="467"/>
      <c r="BG61" s="467"/>
      <c r="BH61" s="467"/>
      <c r="BI61" s="467"/>
      <c r="BJ61" s="467"/>
      <c r="BK61" s="467"/>
      <c r="BL61" s="467"/>
      <c r="BM61" s="467"/>
      <c r="BN61" s="467"/>
      <c r="BO61" s="467"/>
      <c r="BP61" s="467"/>
      <c r="BQ61" s="467"/>
      <c r="BR61" s="467"/>
    </row>
    <row r="62" spans="1:70" s="514" customFormat="1" ht="15.75" x14ac:dyDescent="0.2">
      <c r="A62" s="188" t="s">
        <v>195</v>
      </c>
      <c r="B62" s="189" t="s">
        <v>132</v>
      </c>
      <c r="C62" s="455">
        <v>3000000</v>
      </c>
      <c r="D62" s="456">
        <f>P62</f>
        <v>0</v>
      </c>
      <c r="E62" s="456">
        <f>Q62</f>
        <v>0</v>
      </c>
      <c r="F62" s="170">
        <f>SUM(C62:E62)</f>
        <v>3000000</v>
      </c>
      <c r="G62" s="283">
        <v>0</v>
      </c>
      <c r="H62" s="457">
        <v>707266</v>
      </c>
      <c r="I62" s="170">
        <f>SUM(G62:H62)</f>
        <v>707266</v>
      </c>
      <c r="J62" s="283">
        <v>0</v>
      </c>
      <c r="K62" s="457">
        <v>707266</v>
      </c>
      <c r="L62" s="170">
        <f>SUM(J62:K62)</f>
        <v>707266</v>
      </c>
      <c r="M62" s="283">
        <f>F62-I62</f>
        <v>2292734</v>
      </c>
      <c r="N62" s="170">
        <f>F62-L62</f>
        <v>2292734</v>
      </c>
      <c r="O62" s="467"/>
      <c r="P62" s="455">
        <v>0</v>
      </c>
      <c r="Q62" s="458">
        <v>0</v>
      </c>
      <c r="R62" s="10"/>
      <c r="S62" s="448"/>
      <c r="T62" s="449"/>
      <c r="U62" s="193"/>
      <c r="V62" s="193"/>
      <c r="W62" s="193"/>
      <c r="X62" s="207"/>
      <c r="Y62" s="450"/>
      <c r="Z62" s="193"/>
      <c r="AA62" s="207"/>
      <c r="AB62" s="450"/>
      <c r="AC62" s="193"/>
      <c r="AD62" s="193"/>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v>1130113</v>
      </c>
      <c r="B63" s="45" t="s">
        <v>197</v>
      </c>
      <c r="C63" s="52">
        <f t="shared" ref="C63:N63" si="76">SUM(C64:C65)</f>
        <v>52973202</v>
      </c>
      <c r="D63" s="53">
        <f t="shared" si="76"/>
        <v>0</v>
      </c>
      <c r="E63" s="53">
        <f t="shared" si="76"/>
        <v>0</v>
      </c>
      <c r="F63" s="54">
        <f t="shared" si="76"/>
        <v>52973202</v>
      </c>
      <c r="G63" s="52">
        <f t="shared" si="76"/>
        <v>0</v>
      </c>
      <c r="H63" s="53">
        <f t="shared" si="76"/>
        <v>7253365</v>
      </c>
      <c r="I63" s="54">
        <f t="shared" si="76"/>
        <v>7253365</v>
      </c>
      <c r="J63" s="52">
        <f t="shared" si="76"/>
        <v>0</v>
      </c>
      <c r="K63" s="53">
        <f t="shared" si="76"/>
        <v>5329312</v>
      </c>
      <c r="L63" s="54">
        <f t="shared" si="76"/>
        <v>5329312</v>
      </c>
      <c r="M63" s="52">
        <f t="shared" si="76"/>
        <v>45719837</v>
      </c>
      <c r="N63" s="54">
        <f t="shared" si="76"/>
        <v>47643890</v>
      </c>
      <c r="P63" s="52">
        <f>SUM(P64:P65)</f>
        <v>0</v>
      </c>
      <c r="Q63" s="54">
        <f>SUM(Q64:Q65)</f>
        <v>0</v>
      </c>
      <c r="R63" s="10"/>
      <c r="S63" s="469">
        <v>1020010</v>
      </c>
      <c r="T63" s="470" t="s">
        <v>196</v>
      </c>
      <c r="U63" s="157">
        <f t="shared" ref="U63:AJ63" si="77">U65+U83+U90+U104</f>
        <v>1656122409</v>
      </c>
      <c r="V63" s="144">
        <f t="shared" si="77"/>
        <v>0</v>
      </c>
      <c r="W63" s="144">
        <f t="shared" si="77"/>
        <v>0</v>
      </c>
      <c r="X63" s="153">
        <f t="shared" si="77"/>
        <v>1656122409</v>
      </c>
      <c r="Y63" s="151">
        <f t="shared" si="77"/>
        <v>0</v>
      </c>
      <c r="Z63" s="144">
        <f t="shared" si="77"/>
        <v>145990955</v>
      </c>
      <c r="AA63" s="153">
        <f t="shared" si="77"/>
        <v>145990955</v>
      </c>
      <c r="AB63" s="151">
        <f t="shared" si="77"/>
        <v>0</v>
      </c>
      <c r="AC63" s="144">
        <f t="shared" si="77"/>
        <v>145990255</v>
      </c>
      <c r="AD63" s="152">
        <f t="shared" si="77"/>
        <v>145990255</v>
      </c>
      <c r="AE63" s="151">
        <f t="shared" si="77"/>
        <v>0</v>
      </c>
      <c r="AF63" s="144">
        <f t="shared" si="77"/>
        <v>101509599</v>
      </c>
      <c r="AG63" s="153">
        <f t="shared" si="77"/>
        <v>101509599</v>
      </c>
      <c r="AH63" s="151">
        <f t="shared" si="77"/>
        <v>1510131454</v>
      </c>
      <c r="AI63" s="144">
        <f t="shared" si="77"/>
        <v>1510132154</v>
      </c>
      <c r="AJ63" s="153">
        <f t="shared" si="77"/>
        <v>1554612810</v>
      </c>
      <c r="AK63" s="10"/>
      <c r="AL63" s="151">
        <f>AL65+AL83+AL90+AL104</f>
        <v>0</v>
      </c>
      <c r="AM63" s="153">
        <f>AM65+AM83+AM90+AM104</f>
        <v>0</v>
      </c>
      <c r="AN63" s="10"/>
      <c r="AO63" s="365"/>
      <c r="AP63" s="365"/>
      <c r="AQ63" s="365"/>
      <c r="AR63" s="365"/>
      <c r="AS63" s="365"/>
      <c r="AT63" s="365"/>
      <c r="AU63" s="365"/>
      <c r="AV63" s="365"/>
      <c r="AW63" s="365"/>
      <c r="AX63" s="365"/>
      <c r="AY63" s="365"/>
      <c r="AZ63" s="365"/>
      <c r="BB63" s="514"/>
      <c r="BC63" s="514"/>
      <c r="BD63" s="514"/>
      <c r="BE63" s="514"/>
    </row>
    <row r="64" spans="1:70" s="514" customFormat="1" ht="15.75" x14ac:dyDescent="0.2">
      <c r="A64" s="188" t="s">
        <v>198</v>
      </c>
      <c r="B64" s="189" t="str">
        <f>+CONCATENATE("Vigencia ",INSTRUCCIONES!$F$3)</f>
        <v>Vigencia 2014</v>
      </c>
      <c r="C64" s="455">
        <v>40103182</v>
      </c>
      <c r="D64" s="456">
        <f>P64</f>
        <v>0</v>
      </c>
      <c r="E64" s="456">
        <f>Q64</f>
        <v>0</v>
      </c>
      <c r="F64" s="170">
        <f>SUM(C64:E64)</f>
        <v>40103182</v>
      </c>
      <c r="G64" s="283">
        <v>0</v>
      </c>
      <c r="H64" s="457">
        <v>1924053</v>
      </c>
      <c r="I64" s="170">
        <f>SUM(G64:H64)</f>
        <v>1924053</v>
      </c>
      <c r="J64" s="283">
        <v>0</v>
      </c>
      <c r="K64" s="457">
        <v>0</v>
      </c>
      <c r="L64" s="170">
        <f>SUM(J64:K64)</f>
        <v>0</v>
      </c>
      <c r="M64" s="283">
        <f>F64-I64</f>
        <v>38179129</v>
      </c>
      <c r="N64" s="170">
        <f>F64-L64</f>
        <v>40103182</v>
      </c>
      <c r="O64" s="467"/>
      <c r="P64" s="455">
        <v>0</v>
      </c>
      <c r="Q64" s="458">
        <v>0</v>
      </c>
      <c r="R64" s="10"/>
      <c r="S64" s="448"/>
      <c r="T64" s="449"/>
      <c r="U64" s="193"/>
      <c r="V64" s="193"/>
      <c r="W64" s="193"/>
      <c r="X64" s="207"/>
      <c r="Y64" s="450"/>
      <c r="Z64" s="193"/>
      <c r="AA64" s="207"/>
      <c r="AB64" s="450"/>
      <c r="AC64" s="193"/>
      <c r="AD64" s="193"/>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
        <v>199</v>
      </c>
      <c r="B65" s="189" t="s">
        <v>132</v>
      </c>
      <c r="C65" s="455">
        <v>12870020</v>
      </c>
      <c r="D65" s="456">
        <f>P65</f>
        <v>0</v>
      </c>
      <c r="E65" s="456">
        <f>Q65</f>
        <v>0</v>
      </c>
      <c r="F65" s="170">
        <f>SUM(C65:E65)</f>
        <v>12870020</v>
      </c>
      <c r="G65" s="283">
        <v>0</v>
      </c>
      <c r="H65" s="457">
        <v>5329312</v>
      </c>
      <c r="I65" s="170">
        <f>SUM(G65:H65)</f>
        <v>5329312</v>
      </c>
      <c r="J65" s="283">
        <v>0</v>
      </c>
      <c r="K65" s="457">
        <v>5329312</v>
      </c>
      <c r="L65" s="170">
        <f>SUM(J65:K65)</f>
        <v>5329312</v>
      </c>
      <c r="M65" s="283">
        <f>F65-I65</f>
        <v>7540708</v>
      </c>
      <c r="N65" s="170">
        <f>F65-L65</f>
        <v>7540708</v>
      </c>
      <c r="O65" s="467"/>
      <c r="P65" s="455">
        <v>0</v>
      </c>
      <c r="Q65" s="458">
        <v>0</v>
      </c>
      <c r="R65" s="10"/>
      <c r="S65" s="34">
        <v>1020100</v>
      </c>
      <c r="T65" s="158" t="s">
        <v>70</v>
      </c>
      <c r="U65" s="157">
        <f t="shared" ref="U65:AJ65" si="78">SUM(U66:U69)+U81</f>
        <v>1157487731</v>
      </c>
      <c r="V65" s="144">
        <f t="shared" si="78"/>
        <v>0</v>
      </c>
      <c r="W65" s="144">
        <f t="shared" si="78"/>
        <v>0</v>
      </c>
      <c r="X65" s="153">
        <f t="shared" si="78"/>
        <v>1157487731</v>
      </c>
      <c r="Y65" s="151">
        <f t="shared" si="78"/>
        <v>0</v>
      </c>
      <c r="Z65" s="144">
        <f t="shared" si="78"/>
        <v>104631480</v>
      </c>
      <c r="AA65" s="153">
        <f t="shared" si="78"/>
        <v>104631480</v>
      </c>
      <c r="AB65" s="151">
        <f t="shared" si="78"/>
        <v>0</v>
      </c>
      <c r="AC65" s="144">
        <f t="shared" si="78"/>
        <v>104631480</v>
      </c>
      <c r="AD65" s="152">
        <f t="shared" si="78"/>
        <v>104631480</v>
      </c>
      <c r="AE65" s="151">
        <f t="shared" si="78"/>
        <v>0</v>
      </c>
      <c r="AF65" s="144">
        <f t="shared" si="78"/>
        <v>79986912</v>
      </c>
      <c r="AG65" s="153">
        <f t="shared" si="78"/>
        <v>79986912</v>
      </c>
      <c r="AH65" s="151">
        <f t="shared" si="78"/>
        <v>1052856251</v>
      </c>
      <c r="AI65" s="144">
        <f t="shared" si="78"/>
        <v>1052856251</v>
      </c>
      <c r="AJ65" s="153">
        <f t="shared" si="78"/>
        <v>1077500819</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v>1130114</v>
      </c>
      <c r="B66" s="45" t="s">
        <v>200</v>
      </c>
      <c r="C66" s="52">
        <f t="shared" ref="C66:N66" si="79">SUM(C67:C68)</f>
        <v>0</v>
      </c>
      <c r="D66" s="53">
        <f t="shared" si="79"/>
        <v>0</v>
      </c>
      <c r="E66" s="53">
        <f t="shared" si="79"/>
        <v>0</v>
      </c>
      <c r="F66" s="54">
        <f t="shared" si="79"/>
        <v>0</v>
      </c>
      <c r="G66" s="52">
        <f t="shared" si="79"/>
        <v>0</v>
      </c>
      <c r="H66" s="53">
        <f t="shared" si="79"/>
        <v>0</v>
      </c>
      <c r="I66" s="54">
        <f t="shared" si="79"/>
        <v>0</v>
      </c>
      <c r="J66" s="52">
        <f t="shared" si="79"/>
        <v>0</v>
      </c>
      <c r="K66" s="53">
        <f t="shared" si="79"/>
        <v>0</v>
      </c>
      <c r="L66" s="54">
        <f t="shared" si="79"/>
        <v>0</v>
      </c>
      <c r="M66" s="52">
        <f t="shared" si="79"/>
        <v>0</v>
      </c>
      <c r="N66" s="54">
        <f t="shared" si="79"/>
        <v>0</v>
      </c>
      <c r="P66" s="52">
        <f>SUM(P67:P68)</f>
        <v>0</v>
      </c>
      <c r="Q66" s="54">
        <f>SUM(Q67:Q68)</f>
        <v>0</v>
      </c>
      <c r="R66" s="10"/>
      <c r="S66" s="155">
        <v>1020101</v>
      </c>
      <c r="T66" s="159" t="s">
        <v>71</v>
      </c>
      <c r="U66" s="487">
        <v>901111176</v>
      </c>
      <c r="V66" s="17">
        <f t="shared" ref="V66:W68" si="80">AL66</f>
        <v>0</v>
      </c>
      <c r="W66" s="17">
        <f t="shared" si="80"/>
        <v>0</v>
      </c>
      <c r="X66" s="18">
        <f>SUM(U66:W66)</f>
        <v>901111176</v>
      </c>
      <c r="Y66" s="21">
        <v>0</v>
      </c>
      <c r="Z66" s="457">
        <v>71186481</v>
      </c>
      <c r="AA66" s="18">
        <f>SUM(Y66:Z66)</f>
        <v>71186481</v>
      </c>
      <c r="AB66" s="21">
        <v>0</v>
      </c>
      <c r="AC66" s="457">
        <v>71186481</v>
      </c>
      <c r="AD66" s="20">
        <f>SUM(AB66:AC66)</f>
        <v>71186481</v>
      </c>
      <c r="AE66" s="21">
        <v>0</v>
      </c>
      <c r="AF66" s="457">
        <v>56741752</v>
      </c>
      <c r="AG66" s="18">
        <f>SUM(AE66:AF66)</f>
        <v>56741752</v>
      </c>
      <c r="AH66" s="21">
        <f>X66-AA66</f>
        <v>829924695</v>
      </c>
      <c r="AI66" s="17">
        <f>X66-AD66</f>
        <v>829924695</v>
      </c>
      <c r="AJ66" s="18">
        <f>X66-AG66</f>
        <v>844369424</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
        <v>201</v>
      </c>
      <c r="B67" s="189" t="str">
        <f>+CONCATENATE("Vigencia ",INSTRUCCIONES!$F$3)</f>
        <v>Vigencia 2014</v>
      </c>
      <c r="C67" s="455">
        <v>0</v>
      </c>
      <c r="D67" s="456">
        <f>P67</f>
        <v>0</v>
      </c>
      <c r="E67" s="456">
        <f>Q67</f>
        <v>0</v>
      </c>
      <c r="F67" s="170">
        <f>SUM(C67:E67)</f>
        <v>0</v>
      </c>
      <c r="G67" s="283">
        <v>0</v>
      </c>
      <c r="H67" s="457">
        <v>0</v>
      </c>
      <c r="I67" s="170">
        <f>SUM(G67:H67)</f>
        <v>0</v>
      </c>
      <c r="J67" s="283">
        <v>0</v>
      </c>
      <c r="K67" s="457">
        <v>0</v>
      </c>
      <c r="L67" s="170">
        <f>SUM(J67:K67)</f>
        <v>0</v>
      </c>
      <c r="M67" s="283">
        <f>F67-I67</f>
        <v>0</v>
      </c>
      <c r="N67" s="170">
        <f>F67-L67</f>
        <v>0</v>
      </c>
      <c r="O67" s="467"/>
      <c r="P67" s="455">
        <v>0</v>
      </c>
      <c r="Q67" s="458">
        <v>0</v>
      </c>
      <c r="R67" s="10"/>
      <c r="S67" s="155">
        <v>1020102</v>
      </c>
      <c r="T67" s="159" t="s">
        <v>74</v>
      </c>
      <c r="U67" s="487">
        <v>116857377</v>
      </c>
      <c r="V67" s="17">
        <f t="shared" si="80"/>
        <v>0</v>
      </c>
      <c r="W67" s="17">
        <f t="shared" si="80"/>
        <v>0</v>
      </c>
      <c r="X67" s="18">
        <f>SUM(U67:W67)</f>
        <v>116857377</v>
      </c>
      <c r="Y67" s="21">
        <v>0</v>
      </c>
      <c r="Z67" s="457">
        <v>7792833</v>
      </c>
      <c r="AA67" s="18">
        <f>SUM(Y67:Z67)</f>
        <v>7792833</v>
      </c>
      <c r="AB67" s="21">
        <v>0</v>
      </c>
      <c r="AC67" s="457">
        <v>7792833</v>
      </c>
      <c r="AD67" s="20">
        <f>SUM(AB67:AC67)</f>
        <v>7792833</v>
      </c>
      <c r="AE67" s="21">
        <v>0</v>
      </c>
      <c r="AF67" s="457">
        <v>7792833</v>
      </c>
      <c r="AG67" s="18">
        <f>SUM(AE67:AF67)</f>
        <v>7792833</v>
      </c>
      <c r="AH67" s="21">
        <f>X67-AA67</f>
        <v>109064544</v>
      </c>
      <c r="AI67" s="17">
        <f>X67-AD67</f>
        <v>109064544</v>
      </c>
      <c r="AJ67" s="18">
        <f>X67-AG67</f>
        <v>109064544</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
        <v>202</v>
      </c>
      <c r="B68" s="189" t="s">
        <v>132</v>
      </c>
      <c r="C68" s="455">
        <v>0</v>
      </c>
      <c r="D68" s="456">
        <f>P68</f>
        <v>0</v>
      </c>
      <c r="E68" s="456">
        <f>Q68</f>
        <v>0</v>
      </c>
      <c r="F68" s="170">
        <f>SUM(C68:E68)</f>
        <v>0</v>
      </c>
      <c r="G68" s="283">
        <v>0</v>
      </c>
      <c r="H68" s="457">
        <v>0</v>
      </c>
      <c r="I68" s="170">
        <f>SUM(G68:H68)</f>
        <v>0</v>
      </c>
      <c r="J68" s="283">
        <v>0</v>
      </c>
      <c r="K68" s="457">
        <v>0</v>
      </c>
      <c r="L68" s="170">
        <f>SUM(J68:K68)</f>
        <v>0</v>
      </c>
      <c r="M68" s="283">
        <f>F68-I68</f>
        <v>0</v>
      </c>
      <c r="N68" s="170">
        <f>F68-L68</f>
        <v>0</v>
      </c>
      <c r="O68" s="467"/>
      <c r="P68" s="455">
        <v>0</v>
      </c>
      <c r="Q68" s="458">
        <v>0</v>
      </c>
      <c r="R68" s="10"/>
      <c r="S68" s="155">
        <v>1020103</v>
      </c>
      <c r="T68" s="159" t="s">
        <v>77</v>
      </c>
      <c r="U68" s="487">
        <v>0</v>
      </c>
      <c r="V68" s="17">
        <f t="shared" si="80"/>
        <v>0</v>
      </c>
      <c r="W68" s="17">
        <f t="shared" si="80"/>
        <v>0</v>
      </c>
      <c r="X68" s="18">
        <f>SUM(U68:W68)</f>
        <v>0</v>
      </c>
      <c r="Y68" s="21">
        <v>0</v>
      </c>
      <c r="Z68" s="457">
        <v>0</v>
      </c>
      <c r="AA68" s="18">
        <f>SUM(Y68:Z68)</f>
        <v>0</v>
      </c>
      <c r="AB68" s="21">
        <v>0</v>
      </c>
      <c r="AC68" s="457">
        <v>0</v>
      </c>
      <c r="AD68" s="20">
        <f>SUM(AB68:AC68)</f>
        <v>0</v>
      </c>
      <c r="AE68" s="21">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v>1130115</v>
      </c>
      <c r="B69" s="45" t="s">
        <v>203</v>
      </c>
      <c r="C69" s="52">
        <f t="shared" ref="C69:N69" si="81">SUM(C70:C71)</f>
        <v>111446544</v>
      </c>
      <c r="D69" s="53">
        <f t="shared" si="81"/>
        <v>0</v>
      </c>
      <c r="E69" s="53">
        <f t="shared" si="81"/>
        <v>0</v>
      </c>
      <c r="F69" s="54">
        <f t="shared" si="81"/>
        <v>111446544</v>
      </c>
      <c r="G69" s="52">
        <f t="shared" si="81"/>
        <v>0</v>
      </c>
      <c r="H69" s="53">
        <f t="shared" si="81"/>
        <v>1040705</v>
      </c>
      <c r="I69" s="54">
        <f t="shared" si="81"/>
        <v>1040705</v>
      </c>
      <c r="J69" s="52">
        <f t="shared" si="81"/>
        <v>0</v>
      </c>
      <c r="K69" s="53">
        <f t="shared" si="81"/>
        <v>0</v>
      </c>
      <c r="L69" s="54">
        <f t="shared" si="81"/>
        <v>0</v>
      </c>
      <c r="M69" s="52">
        <f t="shared" si="81"/>
        <v>110405839</v>
      </c>
      <c r="N69" s="54">
        <f t="shared" si="81"/>
        <v>111446544</v>
      </c>
      <c r="P69" s="52">
        <f>SUM(P70:P71)</f>
        <v>0</v>
      </c>
      <c r="Q69" s="54">
        <f>SUM(Q70:Q71)</f>
        <v>0</v>
      </c>
      <c r="R69" s="10"/>
      <c r="S69" s="155">
        <v>1020104</v>
      </c>
      <c r="T69" s="159" t="s">
        <v>82</v>
      </c>
      <c r="U69" s="19">
        <f t="shared" ref="U69:AJ69" si="82">SUM(U70:U80)</f>
        <v>130781064</v>
      </c>
      <c r="V69" s="17">
        <f t="shared" si="82"/>
        <v>0</v>
      </c>
      <c r="W69" s="17">
        <f t="shared" si="82"/>
        <v>0</v>
      </c>
      <c r="X69" s="18">
        <f t="shared" si="82"/>
        <v>130781064</v>
      </c>
      <c r="Y69" s="21">
        <f t="shared" si="82"/>
        <v>0</v>
      </c>
      <c r="Z69" s="169">
        <f t="shared" si="82"/>
        <v>2972137</v>
      </c>
      <c r="AA69" s="18">
        <f t="shared" si="82"/>
        <v>2972137</v>
      </c>
      <c r="AB69" s="21">
        <f t="shared" si="82"/>
        <v>0</v>
      </c>
      <c r="AC69" s="169">
        <f t="shared" si="82"/>
        <v>2972137</v>
      </c>
      <c r="AD69" s="20">
        <f t="shared" si="82"/>
        <v>2972137</v>
      </c>
      <c r="AE69" s="21">
        <f t="shared" si="82"/>
        <v>0</v>
      </c>
      <c r="AF69" s="169">
        <f t="shared" si="82"/>
        <v>2972137</v>
      </c>
      <c r="AG69" s="18">
        <f t="shared" si="82"/>
        <v>2972137</v>
      </c>
      <c r="AH69" s="21">
        <f t="shared" si="82"/>
        <v>127808927</v>
      </c>
      <c r="AI69" s="17">
        <f t="shared" si="82"/>
        <v>127808927</v>
      </c>
      <c r="AJ69" s="18">
        <f t="shared" si="82"/>
        <v>127808927</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
        <v>205</v>
      </c>
      <c r="B70" s="189" t="str">
        <f>+CONCATENATE("Vigencia ",INSTRUCCIONES!$F$3)</f>
        <v>Vigencia 2014</v>
      </c>
      <c r="C70" s="455">
        <v>75639118</v>
      </c>
      <c r="D70" s="456">
        <f>P70</f>
        <v>0</v>
      </c>
      <c r="E70" s="456">
        <f>Q70</f>
        <v>0</v>
      </c>
      <c r="F70" s="170">
        <f>SUM(C70:E70)</f>
        <v>75639118</v>
      </c>
      <c r="G70" s="283">
        <v>0</v>
      </c>
      <c r="H70" s="457">
        <v>1040705</v>
      </c>
      <c r="I70" s="170">
        <f>SUM(G70:H70)</f>
        <v>1040705</v>
      </c>
      <c r="J70" s="283">
        <v>0</v>
      </c>
      <c r="K70" s="457">
        <v>0</v>
      </c>
      <c r="L70" s="170">
        <f>SUM(J70:K70)</f>
        <v>0</v>
      </c>
      <c r="M70" s="283">
        <f>F70-I70</f>
        <v>74598413</v>
      </c>
      <c r="N70" s="170">
        <f>F70-L70</f>
        <v>75639118</v>
      </c>
      <c r="O70" s="467"/>
      <c r="P70" s="455">
        <v>0</v>
      </c>
      <c r="Q70" s="458">
        <v>0</v>
      </c>
      <c r="R70" s="10"/>
      <c r="S70" s="156" t="s">
        <v>204</v>
      </c>
      <c r="T70" s="55" t="s">
        <v>425</v>
      </c>
      <c r="U70" s="487">
        <v>78694383</v>
      </c>
      <c r="V70" s="17">
        <f t="shared" ref="V70:V81" si="83">AL70</f>
        <v>0</v>
      </c>
      <c r="W70" s="17">
        <f t="shared" ref="W70:W81" si="84">AM70</f>
        <v>0</v>
      </c>
      <c r="X70" s="18">
        <f t="shared" ref="X70:X81" si="85">SUM(U70:W70)</f>
        <v>78694383</v>
      </c>
      <c r="Y70" s="21">
        <v>0</v>
      </c>
      <c r="Z70" s="457">
        <v>0</v>
      </c>
      <c r="AA70" s="18">
        <f t="shared" ref="AA70:AA81" si="86">SUM(Y70:Z70)</f>
        <v>0</v>
      </c>
      <c r="AB70" s="21">
        <v>0</v>
      </c>
      <c r="AC70" s="457">
        <v>0</v>
      </c>
      <c r="AD70" s="20">
        <f t="shared" ref="AD70:AD81" si="87">SUM(AB70:AC70)</f>
        <v>0</v>
      </c>
      <c r="AE70" s="21">
        <v>0</v>
      </c>
      <c r="AF70" s="457">
        <v>0</v>
      </c>
      <c r="AG70" s="18">
        <f t="shared" ref="AG70:AG81" si="88">SUM(AE70:AF70)</f>
        <v>0</v>
      </c>
      <c r="AH70" s="21">
        <f t="shared" ref="AH70:AH81" si="89">X70-AA70</f>
        <v>78694383</v>
      </c>
      <c r="AI70" s="17">
        <f t="shared" ref="AI70:AI81" si="90">X70-AD70</f>
        <v>78694383</v>
      </c>
      <c r="AJ70" s="18">
        <f t="shared" ref="AJ70:AJ81" si="91">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
        <v>207</v>
      </c>
      <c r="B71" s="189" t="s">
        <v>132</v>
      </c>
      <c r="C71" s="455">
        <v>35807426</v>
      </c>
      <c r="D71" s="456">
        <f>P71</f>
        <v>0</v>
      </c>
      <c r="E71" s="456">
        <f>Q71</f>
        <v>0</v>
      </c>
      <c r="F71" s="170">
        <f>SUM(C71:E71)</f>
        <v>35807426</v>
      </c>
      <c r="G71" s="283">
        <v>0</v>
      </c>
      <c r="H71" s="457">
        <v>0</v>
      </c>
      <c r="I71" s="170">
        <f>SUM(G71:H71)</f>
        <v>0</v>
      </c>
      <c r="J71" s="283">
        <v>0</v>
      </c>
      <c r="K71" s="457">
        <v>0</v>
      </c>
      <c r="L71" s="170">
        <f>SUM(J71:K71)</f>
        <v>0</v>
      </c>
      <c r="M71" s="283">
        <f>F71-I71</f>
        <v>35807426</v>
      </c>
      <c r="N71" s="170">
        <f>F71-L71</f>
        <v>35807426</v>
      </c>
      <c r="O71" s="467"/>
      <c r="P71" s="455">
        <v>0</v>
      </c>
      <c r="Q71" s="458">
        <v>0</v>
      </c>
      <c r="R71" s="10"/>
      <c r="S71" s="156" t="s">
        <v>206</v>
      </c>
      <c r="T71" s="55" t="s">
        <v>426</v>
      </c>
      <c r="U71" s="487">
        <v>0</v>
      </c>
      <c r="V71" s="17">
        <f t="shared" si="83"/>
        <v>0</v>
      </c>
      <c r="W71" s="17">
        <f t="shared" si="84"/>
        <v>0</v>
      </c>
      <c r="X71" s="18">
        <f t="shared" si="85"/>
        <v>0</v>
      </c>
      <c r="Y71" s="21">
        <v>0</v>
      </c>
      <c r="Z71" s="457">
        <v>0</v>
      </c>
      <c r="AA71" s="18">
        <f t="shared" si="86"/>
        <v>0</v>
      </c>
      <c r="AB71" s="21">
        <v>0</v>
      </c>
      <c r="AC71" s="457">
        <v>0</v>
      </c>
      <c r="AD71" s="20">
        <f t="shared" si="87"/>
        <v>0</v>
      </c>
      <c r="AE71" s="21">
        <v>0</v>
      </c>
      <c r="AF71" s="457">
        <v>0</v>
      </c>
      <c r="AG71" s="18">
        <f t="shared" si="88"/>
        <v>0</v>
      </c>
      <c r="AH71" s="21">
        <f t="shared" si="89"/>
        <v>0</v>
      </c>
      <c r="AI71" s="17">
        <f t="shared" si="90"/>
        <v>0</v>
      </c>
      <c r="AJ71" s="18">
        <f t="shared" si="91"/>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v>1130116</v>
      </c>
      <c r="B72" s="45" t="s">
        <v>209</v>
      </c>
      <c r="C72" s="52">
        <f t="shared" ref="C72:N72" si="92">SUM(C73:C74)</f>
        <v>17675457</v>
      </c>
      <c r="D72" s="53">
        <f t="shared" si="92"/>
        <v>0</v>
      </c>
      <c r="E72" s="53">
        <f t="shared" si="92"/>
        <v>0</v>
      </c>
      <c r="F72" s="54">
        <f t="shared" si="92"/>
        <v>17675457</v>
      </c>
      <c r="G72" s="52">
        <f t="shared" si="92"/>
        <v>0</v>
      </c>
      <c r="H72" s="53">
        <f t="shared" si="92"/>
        <v>2032668</v>
      </c>
      <c r="I72" s="54">
        <f t="shared" si="92"/>
        <v>2032668</v>
      </c>
      <c r="J72" s="52">
        <f t="shared" si="92"/>
        <v>0</v>
      </c>
      <c r="K72" s="53">
        <f t="shared" si="92"/>
        <v>946882</v>
      </c>
      <c r="L72" s="54">
        <f t="shared" si="92"/>
        <v>946882</v>
      </c>
      <c r="M72" s="52">
        <f t="shared" si="92"/>
        <v>15642789</v>
      </c>
      <c r="N72" s="54">
        <f t="shared" si="92"/>
        <v>16728575</v>
      </c>
      <c r="P72" s="52">
        <f>SUM(P73:P74)</f>
        <v>0</v>
      </c>
      <c r="Q72" s="54">
        <f>SUM(Q73:Q74)</f>
        <v>0</v>
      </c>
      <c r="R72" s="10"/>
      <c r="S72" s="156" t="s">
        <v>208</v>
      </c>
      <c r="T72" s="55" t="s">
        <v>427</v>
      </c>
      <c r="U72" s="487">
        <v>37546299</v>
      </c>
      <c r="V72" s="17">
        <f t="shared" si="83"/>
        <v>0</v>
      </c>
      <c r="W72" s="17">
        <f t="shared" si="84"/>
        <v>0</v>
      </c>
      <c r="X72" s="18">
        <f t="shared" si="85"/>
        <v>37546299</v>
      </c>
      <c r="Y72" s="21">
        <v>0</v>
      </c>
      <c r="Z72" s="457">
        <v>2343963</v>
      </c>
      <c r="AA72" s="18">
        <f t="shared" si="86"/>
        <v>2343963</v>
      </c>
      <c r="AB72" s="21">
        <v>0</v>
      </c>
      <c r="AC72" s="457">
        <v>2343963</v>
      </c>
      <c r="AD72" s="20">
        <f t="shared" si="87"/>
        <v>2343963</v>
      </c>
      <c r="AE72" s="21">
        <v>0</v>
      </c>
      <c r="AF72" s="457">
        <v>2343963</v>
      </c>
      <c r="AG72" s="18">
        <f t="shared" si="88"/>
        <v>2343963</v>
      </c>
      <c r="AH72" s="21">
        <f t="shared" si="89"/>
        <v>35202336</v>
      </c>
      <c r="AI72" s="17">
        <f t="shared" si="90"/>
        <v>35202336</v>
      </c>
      <c r="AJ72" s="18">
        <f t="shared" si="91"/>
        <v>35202336</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
        <v>211</v>
      </c>
      <c r="B73" s="189" t="str">
        <f>+CONCATENATE("Vigencia ",INSTRUCCIONES!$F$3)</f>
        <v>Vigencia 2014</v>
      </c>
      <c r="C73" s="455">
        <v>13187137</v>
      </c>
      <c r="D73" s="456">
        <f>P73</f>
        <v>0</v>
      </c>
      <c r="E73" s="456">
        <f>Q73</f>
        <v>0</v>
      </c>
      <c r="F73" s="170">
        <f>SUM(C73:E73)</f>
        <v>13187137</v>
      </c>
      <c r="G73" s="283">
        <v>0</v>
      </c>
      <c r="H73" s="457">
        <v>1085786</v>
      </c>
      <c r="I73" s="170">
        <f>SUM(G73:H73)</f>
        <v>1085786</v>
      </c>
      <c r="J73" s="283">
        <v>0</v>
      </c>
      <c r="K73" s="457">
        <v>0</v>
      </c>
      <c r="L73" s="170">
        <f>SUM(J73:K73)</f>
        <v>0</v>
      </c>
      <c r="M73" s="283">
        <f>F73-I73</f>
        <v>12101351</v>
      </c>
      <c r="N73" s="170">
        <f>F73-L73</f>
        <v>13187137</v>
      </c>
      <c r="O73" s="467"/>
      <c r="P73" s="455">
        <v>0</v>
      </c>
      <c r="Q73" s="458">
        <v>0</v>
      </c>
      <c r="R73" s="10"/>
      <c r="S73" s="156" t="s">
        <v>210</v>
      </c>
      <c r="T73" s="55" t="s">
        <v>428</v>
      </c>
      <c r="U73" s="487">
        <v>0</v>
      </c>
      <c r="V73" s="17">
        <f t="shared" si="83"/>
        <v>0</v>
      </c>
      <c r="W73" s="17">
        <f t="shared" si="84"/>
        <v>0</v>
      </c>
      <c r="X73" s="18">
        <f t="shared" si="85"/>
        <v>0</v>
      </c>
      <c r="Y73" s="21">
        <v>0</v>
      </c>
      <c r="Z73" s="457">
        <v>0</v>
      </c>
      <c r="AA73" s="18">
        <f t="shared" si="86"/>
        <v>0</v>
      </c>
      <c r="AB73" s="21">
        <v>0</v>
      </c>
      <c r="AC73" s="457">
        <v>0</v>
      </c>
      <c r="AD73" s="20">
        <f t="shared" si="87"/>
        <v>0</v>
      </c>
      <c r="AE73" s="21">
        <v>0</v>
      </c>
      <c r="AF73" s="457">
        <v>0</v>
      </c>
      <c r="AG73" s="18">
        <f t="shared" si="88"/>
        <v>0</v>
      </c>
      <c r="AH73" s="21">
        <f t="shared" si="89"/>
        <v>0</v>
      </c>
      <c r="AI73" s="17">
        <f t="shared" si="90"/>
        <v>0</v>
      </c>
      <c r="AJ73" s="18">
        <f t="shared" si="91"/>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
        <v>213</v>
      </c>
      <c r="B74" s="189" t="s">
        <v>132</v>
      </c>
      <c r="C74" s="455">
        <v>4488320</v>
      </c>
      <c r="D74" s="456">
        <f>P74</f>
        <v>0</v>
      </c>
      <c r="E74" s="456">
        <f>Q74</f>
        <v>0</v>
      </c>
      <c r="F74" s="170">
        <f>SUM(C74:E74)</f>
        <v>4488320</v>
      </c>
      <c r="G74" s="283">
        <v>0</v>
      </c>
      <c r="H74" s="457">
        <v>946882</v>
      </c>
      <c r="I74" s="170">
        <f>SUM(G74:H74)</f>
        <v>946882</v>
      </c>
      <c r="J74" s="283">
        <v>0</v>
      </c>
      <c r="K74" s="457">
        <v>946882</v>
      </c>
      <c r="L74" s="170">
        <f>SUM(J74:K74)</f>
        <v>946882</v>
      </c>
      <c r="M74" s="283">
        <f>F74-I74</f>
        <v>3541438</v>
      </c>
      <c r="N74" s="170">
        <f>F74-L74</f>
        <v>3541438</v>
      </c>
      <c r="O74" s="467"/>
      <c r="P74" s="455">
        <v>0</v>
      </c>
      <c r="Q74" s="458">
        <v>0</v>
      </c>
      <c r="R74" s="10"/>
      <c r="S74" s="156" t="s">
        <v>212</v>
      </c>
      <c r="T74" s="55" t="s">
        <v>429</v>
      </c>
      <c r="U74" s="487">
        <v>5675116</v>
      </c>
      <c r="V74" s="17">
        <f t="shared" si="83"/>
        <v>0</v>
      </c>
      <c r="W74" s="17">
        <f t="shared" si="84"/>
        <v>0</v>
      </c>
      <c r="X74" s="18">
        <f t="shared" si="85"/>
        <v>5675116</v>
      </c>
      <c r="Y74" s="21">
        <v>0</v>
      </c>
      <c r="Z74" s="457">
        <v>0</v>
      </c>
      <c r="AA74" s="18">
        <f t="shared" si="86"/>
        <v>0</v>
      </c>
      <c r="AB74" s="21">
        <v>0</v>
      </c>
      <c r="AC74" s="457">
        <v>0</v>
      </c>
      <c r="AD74" s="20">
        <f t="shared" si="87"/>
        <v>0</v>
      </c>
      <c r="AE74" s="21">
        <v>0</v>
      </c>
      <c r="AF74" s="457">
        <v>0</v>
      </c>
      <c r="AG74" s="18">
        <f t="shared" si="88"/>
        <v>0</v>
      </c>
      <c r="AH74" s="21">
        <f t="shared" si="89"/>
        <v>5675116</v>
      </c>
      <c r="AI74" s="17">
        <f t="shared" si="90"/>
        <v>5675116</v>
      </c>
      <c r="AJ74" s="18">
        <f t="shared" si="91"/>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v>1130117</v>
      </c>
      <c r="B75" s="45" t="s">
        <v>215</v>
      </c>
      <c r="C75" s="52">
        <f t="shared" ref="C75:N75" si="93">SUM(C76:C77)</f>
        <v>1100000</v>
      </c>
      <c r="D75" s="53">
        <f t="shared" si="93"/>
        <v>0</v>
      </c>
      <c r="E75" s="53">
        <f t="shared" si="93"/>
        <v>0</v>
      </c>
      <c r="F75" s="54">
        <f t="shared" si="93"/>
        <v>1100000</v>
      </c>
      <c r="G75" s="52">
        <f t="shared" si="93"/>
        <v>0</v>
      </c>
      <c r="H75" s="53">
        <f t="shared" si="93"/>
        <v>6662612</v>
      </c>
      <c r="I75" s="54">
        <f t="shared" si="93"/>
        <v>6662612</v>
      </c>
      <c r="J75" s="52">
        <f t="shared" si="93"/>
        <v>0</v>
      </c>
      <c r="K75" s="53">
        <f t="shared" si="93"/>
        <v>6662612</v>
      </c>
      <c r="L75" s="54">
        <f t="shared" si="93"/>
        <v>6662612</v>
      </c>
      <c r="M75" s="52">
        <f t="shared" si="93"/>
        <v>-5562612</v>
      </c>
      <c r="N75" s="54">
        <f t="shared" si="93"/>
        <v>-5562612</v>
      </c>
      <c r="P75" s="52">
        <f>SUM(P76:P77)</f>
        <v>0</v>
      </c>
      <c r="Q75" s="54">
        <f>SUM(Q76:Q77)</f>
        <v>0</v>
      </c>
      <c r="R75" s="10"/>
      <c r="S75" s="156" t="s">
        <v>214</v>
      </c>
      <c r="T75" s="55" t="s">
        <v>430</v>
      </c>
      <c r="U75" s="487">
        <v>0</v>
      </c>
      <c r="V75" s="17">
        <f t="shared" si="83"/>
        <v>0</v>
      </c>
      <c r="W75" s="17">
        <f t="shared" si="84"/>
        <v>0</v>
      </c>
      <c r="X75" s="18">
        <f t="shared" si="85"/>
        <v>0</v>
      </c>
      <c r="Y75" s="21">
        <v>0</v>
      </c>
      <c r="Z75" s="457">
        <v>0</v>
      </c>
      <c r="AA75" s="18">
        <f t="shared" si="86"/>
        <v>0</v>
      </c>
      <c r="AB75" s="21">
        <v>0</v>
      </c>
      <c r="AC75" s="457">
        <v>0</v>
      </c>
      <c r="AD75" s="20">
        <f t="shared" si="87"/>
        <v>0</v>
      </c>
      <c r="AE75" s="21">
        <v>0</v>
      </c>
      <c r="AF75" s="457">
        <v>0</v>
      </c>
      <c r="AG75" s="18">
        <f t="shared" si="88"/>
        <v>0</v>
      </c>
      <c r="AH75" s="21">
        <f t="shared" si="89"/>
        <v>0</v>
      </c>
      <c r="AI75" s="17">
        <f t="shared" si="90"/>
        <v>0</v>
      </c>
      <c r="AJ75" s="18">
        <f t="shared" si="91"/>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
        <v>217</v>
      </c>
      <c r="B76" s="189" t="str">
        <f>+CONCATENATE("Vigencia ",INSTRUCCIONES!$F$3)</f>
        <v>Vigencia 2014</v>
      </c>
      <c r="C76" s="455">
        <v>1100000</v>
      </c>
      <c r="D76" s="456">
        <f>P76</f>
        <v>0</v>
      </c>
      <c r="E76" s="456">
        <f>Q76</f>
        <v>0</v>
      </c>
      <c r="F76" s="170">
        <f t="shared" ref="F76:F83" si="94">SUM(C76:E76)</f>
        <v>1100000</v>
      </c>
      <c r="G76" s="283">
        <v>0</v>
      </c>
      <c r="H76" s="457">
        <v>6662612</v>
      </c>
      <c r="I76" s="170">
        <f t="shared" ref="I76:I83" si="95">SUM(G76:H76)</f>
        <v>6662612</v>
      </c>
      <c r="J76" s="283">
        <v>0</v>
      </c>
      <c r="K76" s="457">
        <v>6662612</v>
      </c>
      <c r="L76" s="170">
        <f t="shared" ref="L76:L83" si="96">SUM(J76:K76)</f>
        <v>6662612</v>
      </c>
      <c r="M76" s="283">
        <f t="shared" ref="M76:M83" si="97">F76-I76</f>
        <v>-5562612</v>
      </c>
      <c r="N76" s="170">
        <f t="shared" ref="N76:N83" si="98">F76-L76</f>
        <v>-5562612</v>
      </c>
      <c r="O76" s="467"/>
      <c r="P76" s="455">
        <v>0</v>
      </c>
      <c r="Q76" s="458">
        <v>0</v>
      </c>
      <c r="R76" s="10"/>
      <c r="S76" s="156" t="s">
        <v>216</v>
      </c>
      <c r="T76" s="55" t="s">
        <v>431</v>
      </c>
      <c r="U76" s="487">
        <v>0</v>
      </c>
      <c r="V76" s="17">
        <f t="shared" si="83"/>
        <v>0</v>
      </c>
      <c r="W76" s="17">
        <f t="shared" si="84"/>
        <v>0</v>
      </c>
      <c r="X76" s="18">
        <f t="shared" si="85"/>
        <v>0</v>
      </c>
      <c r="Y76" s="21">
        <v>0</v>
      </c>
      <c r="Z76" s="457">
        <v>0</v>
      </c>
      <c r="AA76" s="18">
        <f t="shared" si="86"/>
        <v>0</v>
      </c>
      <c r="AB76" s="21">
        <v>0</v>
      </c>
      <c r="AC76" s="457">
        <v>0</v>
      </c>
      <c r="AD76" s="20">
        <f t="shared" si="87"/>
        <v>0</v>
      </c>
      <c r="AE76" s="21">
        <v>0</v>
      </c>
      <c r="AF76" s="457">
        <v>0</v>
      </c>
      <c r="AG76" s="18">
        <f t="shared" si="88"/>
        <v>0</v>
      </c>
      <c r="AH76" s="21">
        <f t="shared" si="89"/>
        <v>0</v>
      </c>
      <c r="AI76" s="17">
        <f t="shared" si="90"/>
        <v>0</v>
      </c>
      <c r="AJ76" s="18">
        <f t="shared" si="91"/>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
        <v>219</v>
      </c>
      <c r="B77" s="189" t="s">
        <v>132</v>
      </c>
      <c r="C77" s="455">
        <v>0</v>
      </c>
      <c r="D77" s="456">
        <f>P77</f>
        <v>0</v>
      </c>
      <c r="E77" s="456">
        <f>Q77</f>
        <v>0</v>
      </c>
      <c r="F77" s="170">
        <f t="shared" si="94"/>
        <v>0</v>
      </c>
      <c r="G77" s="283">
        <v>0</v>
      </c>
      <c r="H77" s="457">
        <v>0</v>
      </c>
      <c r="I77" s="170">
        <f t="shared" si="95"/>
        <v>0</v>
      </c>
      <c r="J77" s="283">
        <v>0</v>
      </c>
      <c r="K77" s="457">
        <v>0</v>
      </c>
      <c r="L77" s="170">
        <f t="shared" si="96"/>
        <v>0</v>
      </c>
      <c r="M77" s="283">
        <f t="shared" si="97"/>
        <v>0</v>
      </c>
      <c r="N77" s="170">
        <f t="shared" si="98"/>
        <v>0</v>
      </c>
      <c r="O77" s="467"/>
      <c r="P77" s="455">
        <v>0</v>
      </c>
      <c r="Q77" s="458">
        <v>0</v>
      </c>
      <c r="R77" s="10"/>
      <c r="S77" s="156" t="s">
        <v>218</v>
      </c>
      <c r="T77" s="55" t="s">
        <v>432</v>
      </c>
      <c r="U77" s="487">
        <v>3859093</v>
      </c>
      <c r="V77" s="17">
        <f t="shared" si="83"/>
        <v>0</v>
      </c>
      <c r="W77" s="17">
        <f t="shared" si="84"/>
        <v>0</v>
      </c>
      <c r="X77" s="18">
        <f t="shared" si="85"/>
        <v>3859093</v>
      </c>
      <c r="Y77" s="21">
        <v>0</v>
      </c>
      <c r="Z77" s="457">
        <v>292550</v>
      </c>
      <c r="AA77" s="18">
        <f t="shared" si="86"/>
        <v>292550</v>
      </c>
      <c r="AB77" s="21">
        <v>0</v>
      </c>
      <c r="AC77" s="457">
        <v>292550</v>
      </c>
      <c r="AD77" s="20">
        <f t="shared" si="87"/>
        <v>292550</v>
      </c>
      <c r="AE77" s="21">
        <v>0</v>
      </c>
      <c r="AF77" s="457">
        <v>292550</v>
      </c>
      <c r="AG77" s="18">
        <f t="shared" si="88"/>
        <v>292550</v>
      </c>
      <c r="AH77" s="21">
        <f t="shared" si="89"/>
        <v>3566543</v>
      </c>
      <c r="AI77" s="17">
        <f t="shared" si="90"/>
        <v>3566543</v>
      </c>
      <c r="AJ77" s="18">
        <f t="shared" si="91"/>
        <v>3566543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v>1130118</v>
      </c>
      <c r="B78" s="45" t="s">
        <v>221</v>
      </c>
      <c r="C78" s="52">
        <f>SUM(C79:C80)</f>
        <v>81679743</v>
      </c>
      <c r="D78" s="53">
        <f>SUM(D79:D80)</f>
        <v>0</v>
      </c>
      <c r="E78" s="53">
        <f>SUM(E79:E80)</f>
        <v>0</v>
      </c>
      <c r="F78" s="54">
        <f t="shared" si="94"/>
        <v>81679743</v>
      </c>
      <c r="G78" s="52">
        <f>SUM(G79:G80)</f>
        <v>0</v>
      </c>
      <c r="H78" s="53">
        <f>SUM(H79:H80)</f>
        <v>2393187</v>
      </c>
      <c r="I78" s="54">
        <f t="shared" si="95"/>
        <v>2393187</v>
      </c>
      <c r="J78" s="52">
        <f>SUM(J79:J80)</f>
        <v>0</v>
      </c>
      <c r="K78" s="53">
        <f>SUM(K79:K80)</f>
        <v>2065009</v>
      </c>
      <c r="L78" s="54">
        <f t="shared" si="96"/>
        <v>2065009</v>
      </c>
      <c r="M78" s="52">
        <f t="shared" si="97"/>
        <v>79286556</v>
      </c>
      <c r="N78" s="54">
        <f t="shared" si="98"/>
        <v>79614734</v>
      </c>
      <c r="O78" s="467"/>
      <c r="P78" s="52">
        <f>SUM(P79:P80)</f>
        <v>0</v>
      </c>
      <c r="Q78" s="54">
        <f>SUM(Q79:Q80)</f>
        <v>0</v>
      </c>
      <c r="R78" s="10"/>
      <c r="S78" s="156" t="s">
        <v>220</v>
      </c>
      <c r="T78" s="55" t="s">
        <v>444</v>
      </c>
      <c r="U78" s="487">
        <v>0</v>
      </c>
      <c r="V78" s="17">
        <f t="shared" si="83"/>
        <v>0</v>
      </c>
      <c r="W78" s="17">
        <f t="shared" si="84"/>
        <v>0</v>
      </c>
      <c r="X78" s="18">
        <f t="shared" si="85"/>
        <v>0</v>
      </c>
      <c r="Y78" s="21">
        <v>0</v>
      </c>
      <c r="Z78" s="457">
        <v>0</v>
      </c>
      <c r="AA78" s="18">
        <f t="shared" si="86"/>
        <v>0</v>
      </c>
      <c r="AB78" s="21">
        <v>0</v>
      </c>
      <c r="AC78" s="457">
        <v>0</v>
      </c>
      <c r="AD78" s="20">
        <f t="shared" si="87"/>
        <v>0</v>
      </c>
      <c r="AE78" s="21">
        <v>0</v>
      </c>
      <c r="AF78" s="457">
        <v>0</v>
      </c>
      <c r="AG78" s="18">
        <f t="shared" si="88"/>
        <v>0</v>
      </c>
      <c r="AH78" s="21">
        <f t="shared" si="89"/>
        <v>0</v>
      </c>
      <c r="AI78" s="17">
        <f t="shared" si="90"/>
        <v>0</v>
      </c>
      <c r="AJ78" s="18">
        <f t="shared" si="91"/>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
        <v>223</v>
      </c>
      <c r="B79" s="189" t="str">
        <f>+CONCATENATE("Vigencia ",INSTRUCCIONES!$F$3)</f>
        <v>Vigencia 2014</v>
      </c>
      <c r="C79" s="455">
        <v>81679743</v>
      </c>
      <c r="D79" s="456">
        <f t="shared" ref="D79:E83" si="99">P79</f>
        <v>0</v>
      </c>
      <c r="E79" s="456">
        <f t="shared" si="99"/>
        <v>0</v>
      </c>
      <c r="F79" s="170">
        <f t="shared" si="94"/>
        <v>81679743</v>
      </c>
      <c r="G79" s="283">
        <v>0</v>
      </c>
      <c r="H79" s="457">
        <v>2393187</v>
      </c>
      <c r="I79" s="170">
        <f t="shared" si="95"/>
        <v>2393187</v>
      </c>
      <c r="J79" s="283">
        <v>0</v>
      </c>
      <c r="K79" s="457">
        <v>2065009</v>
      </c>
      <c r="L79" s="170">
        <f t="shared" si="96"/>
        <v>2065009</v>
      </c>
      <c r="M79" s="283">
        <f t="shared" si="97"/>
        <v>79286556</v>
      </c>
      <c r="N79" s="170">
        <f t="shared" si="98"/>
        <v>79614734</v>
      </c>
      <c r="P79" s="455">
        <v>0</v>
      </c>
      <c r="Q79" s="458">
        <v>0</v>
      </c>
      <c r="R79" s="10"/>
      <c r="S79" s="156" t="s">
        <v>222</v>
      </c>
      <c r="T79" s="55" t="s">
        <v>125</v>
      </c>
      <c r="U79" s="487">
        <v>5006173</v>
      </c>
      <c r="V79" s="17">
        <f t="shared" si="83"/>
        <v>0</v>
      </c>
      <c r="W79" s="17">
        <f t="shared" si="84"/>
        <v>0</v>
      </c>
      <c r="X79" s="18">
        <f t="shared" si="85"/>
        <v>5006173</v>
      </c>
      <c r="Y79" s="21">
        <v>0</v>
      </c>
      <c r="Z79" s="457">
        <v>335624</v>
      </c>
      <c r="AA79" s="18">
        <f t="shared" si="86"/>
        <v>335624</v>
      </c>
      <c r="AB79" s="21">
        <v>0</v>
      </c>
      <c r="AC79" s="457">
        <v>335624</v>
      </c>
      <c r="AD79" s="20">
        <f t="shared" si="87"/>
        <v>335624</v>
      </c>
      <c r="AE79" s="21">
        <v>0</v>
      </c>
      <c r="AF79" s="457">
        <v>335624</v>
      </c>
      <c r="AG79" s="18">
        <f t="shared" si="88"/>
        <v>335624</v>
      </c>
      <c r="AH79" s="21">
        <f t="shared" si="89"/>
        <v>4670549</v>
      </c>
      <c r="AI79" s="17">
        <f t="shared" si="90"/>
        <v>4670549</v>
      </c>
      <c r="AJ79" s="18">
        <f t="shared" si="91"/>
        <v>4670549</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
        <v>225</v>
      </c>
      <c r="B80" s="189" t="s">
        <v>132</v>
      </c>
      <c r="C80" s="455">
        <v>0</v>
      </c>
      <c r="D80" s="456">
        <f t="shared" si="99"/>
        <v>0</v>
      </c>
      <c r="E80" s="456">
        <f t="shared" si="99"/>
        <v>0</v>
      </c>
      <c r="F80" s="170">
        <f t="shared" si="94"/>
        <v>0</v>
      </c>
      <c r="G80" s="283">
        <v>0</v>
      </c>
      <c r="H80" s="457">
        <v>0</v>
      </c>
      <c r="I80" s="170">
        <f t="shared" si="95"/>
        <v>0</v>
      </c>
      <c r="J80" s="283">
        <v>0</v>
      </c>
      <c r="K80" s="457">
        <v>0</v>
      </c>
      <c r="L80" s="170">
        <f t="shared" si="96"/>
        <v>0</v>
      </c>
      <c r="M80" s="283">
        <f t="shared" si="97"/>
        <v>0</v>
      </c>
      <c r="N80" s="170">
        <f t="shared" si="98"/>
        <v>0</v>
      </c>
      <c r="O80" s="467"/>
      <c r="P80" s="455">
        <v>0</v>
      </c>
      <c r="Q80" s="458">
        <v>0</v>
      </c>
      <c r="S80" s="156" t="s">
        <v>224</v>
      </c>
      <c r="T80" s="205"/>
      <c r="U80" s="487">
        <v>0</v>
      </c>
      <c r="V80" s="17">
        <f t="shared" si="83"/>
        <v>0</v>
      </c>
      <c r="W80" s="17">
        <f t="shared" si="84"/>
        <v>0</v>
      </c>
      <c r="X80" s="18">
        <f t="shared" si="85"/>
        <v>0</v>
      </c>
      <c r="Y80" s="21">
        <v>0</v>
      </c>
      <c r="Z80" s="457">
        <v>0</v>
      </c>
      <c r="AA80" s="18">
        <f t="shared" si="86"/>
        <v>0</v>
      </c>
      <c r="AB80" s="21">
        <v>0</v>
      </c>
      <c r="AC80" s="457">
        <v>0</v>
      </c>
      <c r="AD80" s="20">
        <f t="shared" si="87"/>
        <v>0</v>
      </c>
      <c r="AE80" s="21">
        <v>0</v>
      </c>
      <c r="AF80" s="457">
        <v>0</v>
      </c>
      <c r="AG80" s="18">
        <f t="shared" si="88"/>
        <v>0</v>
      </c>
      <c r="AH80" s="21">
        <f t="shared" si="89"/>
        <v>0</v>
      </c>
      <c r="AI80" s="17">
        <f t="shared" si="90"/>
        <v>0</v>
      </c>
      <c r="AJ80" s="18">
        <f t="shared" si="91"/>
        <v>0</v>
      </c>
      <c r="AL80" s="455">
        <v>0</v>
      </c>
      <c r="AM80" s="458">
        <v>0</v>
      </c>
      <c r="AO80" s="365"/>
      <c r="AP80" s="365"/>
      <c r="AQ80" s="365"/>
      <c r="AR80" s="365"/>
      <c r="AS80" s="365"/>
      <c r="AT80" s="365"/>
      <c r="AU80" s="365"/>
      <c r="AV80" s="365"/>
      <c r="AW80" s="365"/>
      <c r="AX80" s="365"/>
      <c r="AY80" s="365"/>
      <c r="AZ80" s="365"/>
      <c r="BA80" s="467"/>
      <c r="BB80" s="467"/>
      <c r="BC80" s="467"/>
      <c r="BD80" s="467"/>
      <c r="BE80" s="467"/>
      <c r="BL80" s="467"/>
      <c r="BM80" s="467"/>
      <c r="BN80" s="467"/>
      <c r="BO80" s="467"/>
      <c r="BP80" s="467"/>
      <c r="BQ80" s="467"/>
      <c r="BR80" s="467"/>
    </row>
    <row r="81" spans="1:70" s="467" customFormat="1" x14ac:dyDescent="0.2">
      <c r="A81" s="57">
        <v>1130119</v>
      </c>
      <c r="B81" s="175" t="s">
        <v>226</v>
      </c>
      <c r="C81" s="52">
        <f>SUM(C82:C83)</f>
        <v>0</v>
      </c>
      <c r="D81" s="53">
        <f t="shared" ref="D81:Q81" si="100">SUM(D82:D83)</f>
        <v>0</v>
      </c>
      <c r="E81" s="53">
        <f t="shared" si="100"/>
        <v>0</v>
      </c>
      <c r="F81" s="54">
        <f t="shared" si="100"/>
        <v>0</v>
      </c>
      <c r="G81" s="52">
        <f t="shared" si="100"/>
        <v>0</v>
      </c>
      <c r="H81" s="53">
        <f t="shared" si="100"/>
        <v>0</v>
      </c>
      <c r="I81" s="54">
        <f t="shared" si="100"/>
        <v>0</v>
      </c>
      <c r="J81" s="52">
        <f t="shared" si="100"/>
        <v>0</v>
      </c>
      <c r="K81" s="53">
        <f t="shared" si="100"/>
        <v>0</v>
      </c>
      <c r="L81" s="54">
        <f t="shared" si="100"/>
        <v>0</v>
      </c>
      <c r="M81" s="52">
        <f t="shared" si="100"/>
        <v>0</v>
      </c>
      <c r="N81" s="54">
        <f t="shared" si="100"/>
        <v>0</v>
      </c>
      <c r="P81" s="52">
        <f t="shared" si="100"/>
        <v>0</v>
      </c>
      <c r="Q81" s="54">
        <f t="shared" si="100"/>
        <v>0</v>
      </c>
      <c r="R81" s="10"/>
      <c r="S81" s="155">
        <v>1020199</v>
      </c>
      <c r="T81" s="159" t="s">
        <v>132</v>
      </c>
      <c r="U81" s="487">
        <v>8738114</v>
      </c>
      <c r="V81" s="17">
        <f t="shared" si="83"/>
        <v>0</v>
      </c>
      <c r="W81" s="17">
        <f t="shared" si="84"/>
        <v>0</v>
      </c>
      <c r="X81" s="18">
        <f t="shared" si="85"/>
        <v>8738114</v>
      </c>
      <c r="Y81" s="21">
        <v>0</v>
      </c>
      <c r="Z81" s="457">
        <v>22680029</v>
      </c>
      <c r="AA81" s="18">
        <f t="shared" si="86"/>
        <v>22680029</v>
      </c>
      <c r="AB81" s="21">
        <v>0</v>
      </c>
      <c r="AC81" s="457">
        <v>22680029</v>
      </c>
      <c r="AD81" s="20">
        <f t="shared" si="87"/>
        <v>22680029</v>
      </c>
      <c r="AE81" s="21">
        <v>0</v>
      </c>
      <c r="AF81" s="457">
        <v>12480190</v>
      </c>
      <c r="AG81" s="18">
        <f t="shared" si="88"/>
        <v>12480190</v>
      </c>
      <c r="AH81" s="21">
        <f t="shared" si="89"/>
        <v>-13941915</v>
      </c>
      <c r="AI81" s="17">
        <f t="shared" si="90"/>
        <v>-13941915</v>
      </c>
      <c r="AJ81" s="18">
        <f t="shared" si="91"/>
        <v>-3742076</v>
      </c>
      <c r="AK81" s="10"/>
      <c r="AL81" s="455">
        <v>0</v>
      </c>
      <c r="AM81" s="458">
        <v>0</v>
      </c>
      <c r="AN81" s="10"/>
      <c r="AO81" s="365"/>
      <c r="AP81" s="365"/>
      <c r="AQ81" s="365"/>
      <c r="AR81" s="365"/>
      <c r="AS81" s="365"/>
      <c r="AT81" s="365"/>
      <c r="AU81" s="365"/>
      <c r="AV81" s="365"/>
      <c r="AW81" s="365"/>
      <c r="AX81" s="365"/>
      <c r="AY81" s="365"/>
      <c r="AZ81" s="365"/>
      <c r="BA81" s="10"/>
      <c r="BB81" s="10"/>
    </row>
    <row r="82" spans="1:70" s="467" customFormat="1" ht="15.75" x14ac:dyDescent="0.2">
      <c r="A82" s="188" t="s">
        <v>421</v>
      </c>
      <c r="B82" s="189" t="str">
        <f>+CONCATENATE("Vigencia ",INSTRUCCIONES!$F$3)</f>
        <v>Vigencia 2014</v>
      </c>
      <c r="C82" s="455">
        <v>0</v>
      </c>
      <c r="D82" s="456">
        <f t="shared" si="99"/>
        <v>0</v>
      </c>
      <c r="E82" s="456">
        <f t="shared" si="99"/>
        <v>0</v>
      </c>
      <c r="F82" s="170">
        <f t="shared" si="94"/>
        <v>0</v>
      </c>
      <c r="G82" s="283">
        <v>0</v>
      </c>
      <c r="H82" s="457">
        <v>0</v>
      </c>
      <c r="I82" s="170">
        <f t="shared" si="95"/>
        <v>0</v>
      </c>
      <c r="J82" s="283">
        <v>0</v>
      </c>
      <c r="K82" s="457">
        <v>0</v>
      </c>
      <c r="L82" s="170">
        <f t="shared" si="96"/>
        <v>0</v>
      </c>
      <c r="M82" s="283">
        <f t="shared" si="97"/>
        <v>0</v>
      </c>
      <c r="N82" s="170">
        <f t="shared" si="98"/>
        <v>0</v>
      </c>
      <c r="P82" s="455">
        <v>0</v>
      </c>
      <c r="Q82" s="458">
        <v>0</v>
      </c>
      <c r="R82" s="10"/>
      <c r="S82" s="448"/>
      <c r="T82" s="449"/>
      <c r="U82" s="193"/>
      <c r="V82" s="193"/>
      <c r="W82" s="193"/>
      <c r="X82" s="207"/>
      <c r="Y82" s="450"/>
      <c r="Z82" s="193"/>
      <c r="AA82" s="207"/>
      <c r="AB82" s="450"/>
      <c r="AC82" s="193"/>
      <c r="AD82" s="193"/>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C82" s="10"/>
      <c r="BD82" s="10"/>
      <c r="BE82" s="10"/>
      <c r="BN82" s="10"/>
      <c r="BO82" s="10"/>
      <c r="BP82" s="10"/>
      <c r="BQ82" s="10"/>
      <c r="BR82" s="10"/>
    </row>
    <row r="83" spans="1:70" s="467" customFormat="1" ht="15" x14ac:dyDescent="0.2">
      <c r="A83" s="188" t="s">
        <v>422</v>
      </c>
      <c r="B83" s="189" t="s">
        <v>132</v>
      </c>
      <c r="C83" s="455">
        <v>0</v>
      </c>
      <c r="D83" s="456">
        <f t="shared" si="99"/>
        <v>0</v>
      </c>
      <c r="E83" s="456">
        <f t="shared" si="99"/>
        <v>0</v>
      </c>
      <c r="F83" s="170">
        <f t="shared" si="94"/>
        <v>0</v>
      </c>
      <c r="G83" s="283">
        <v>0</v>
      </c>
      <c r="H83" s="457">
        <v>0</v>
      </c>
      <c r="I83" s="170">
        <f t="shared" si="95"/>
        <v>0</v>
      </c>
      <c r="J83" s="283">
        <v>0</v>
      </c>
      <c r="K83" s="457">
        <v>0</v>
      </c>
      <c r="L83" s="170">
        <f t="shared" si="96"/>
        <v>0</v>
      </c>
      <c r="M83" s="283">
        <f t="shared" si="97"/>
        <v>0</v>
      </c>
      <c r="N83" s="170">
        <f t="shared" si="98"/>
        <v>0</v>
      </c>
      <c r="P83" s="455">
        <v>0</v>
      </c>
      <c r="Q83" s="458">
        <v>0</v>
      </c>
      <c r="R83" s="10"/>
      <c r="S83" s="34">
        <v>1020200</v>
      </c>
      <c r="T83" s="158" t="s">
        <v>115</v>
      </c>
      <c r="U83" s="157">
        <f t="shared" ref="U83:AJ83" si="101">SUM(U84:U88)</f>
        <v>71000000</v>
      </c>
      <c r="V83" s="144">
        <f t="shared" si="101"/>
        <v>0</v>
      </c>
      <c r="W83" s="144">
        <f t="shared" si="101"/>
        <v>0</v>
      </c>
      <c r="X83" s="153">
        <f t="shared" si="101"/>
        <v>71000000</v>
      </c>
      <c r="Y83" s="151">
        <f t="shared" si="101"/>
        <v>0</v>
      </c>
      <c r="Z83" s="144">
        <f t="shared" si="101"/>
        <v>10510988</v>
      </c>
      <c r="AA83" s="153">
        <f t="shared" si="101"/>
        <v>10510988</v>
      </c>
      <c r="AB83" s="151">
        <f t="shared" si="101"/>
        <v>0</v>
      </c>
      <c r="AC83" s="144">
        <f t="shared" si="101"/>
        <v>10510288</v>
      </c>
      <c r="AD83" s="152">
        <f t="shared" si="101"/>
        <v>10510288</v>
      </c>
      <c r="AE83" s="151">
        <f t="shared" si="101"/>
        <v>0</v>
      </c>
      <c r="AF83" s="144">
        <f t="shared" si="101"/>
        <v>7331156</v>
      </c>
      <c r="AG83" s="153">
        <f t="shared" si="101"/>
        <v>7331156</v>
      </c>
      <c r="AH83" s="151">
        <f t="shared" si="101"/>
        <v>60489012</v>
      </c>
      <c r="AI83" s="144">
        <f t="shared" si="101"/>
        <v>60489712</v>
      </c>
      <c r="AJ83" s="153">
        <f t="shared" si="101"/>
        <v>63668844</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c r="B84" s="557"/>
      <c r="C84" s="495"/>
      <c r="D84" s="495"/>
      <c r="E84" s="495"/>
      <c r="F84" s="495"/>
      <c r="G84" s="495"/>
      <c r="H84" s="495"/>
      <c r="I84" s="495"/>
      <c r="J84" s="495"/>
      <c r="K84" s="495"/>
      <c r="L84" s="495"/>
      <c r="M84" s="495"/>
      <c r="N84" s="496"/>
      <c r="P84" s="497"/>
      <c r="Q84" s="496"/>
      <c r="R84" s="10"/>
      <c r="S84" s="155" t="s">
        <v>227</v>
      </c>
      <c r="T84" s="159" t="s">
        <v>481</v>
      </c>
      <c r="U84" s="487">
        <v>20000000</v>
      </c>
      <c r="V84" s="17">
        <f t="shared" ref="V84:W88" si="102">AL84</f>
        <v>0</v>
      </c>
      <c r="W84" s="17">
        <f t="shared" si="102"/>
        <v>0</v>
      </c>
      <c r="X84" s="18">
        <f>SUM(U84:W84)</f>
        <v>20000000</v>
      </c>
      <c r="Y84" s="21">
        <v>0</v>
      </c>
      <c r="Z84" s="457">
        <v>1310477</v>
      </c>
      <c r="AA84" s="18">
        <f>SUM(Y84:Z84)</f>
        <v>1310477</v>
      </c>
      <c r="AB84" s="21">
        <v>0</v>
      </c>
      <c r="AC84" s="457">
        <v>1310477</v>
      </c>
      <c r="AD84" s="20">
        <f>SUM(AB84:AC84)</f>
        <v>1310477</v>
      </c>
      <c r="AE84" s="21">
        <v>0</v>
      </c>
      <c r="AF84" s="457">
        <v>0</v>
      </c>
      <c r="AG84" s="18">
        <f>SUM(AE84:AF84)</f>
        <v>0</v>
      </c>
      <c r="AH84" s="21">
        <f>X84-AA84</f>
        <v>18689523</v>
      </c>
      <c r="AI84" s="17">
        <f>X84-AD84</f>
        <v>18689523</v>
      </c>
      <c r="AJ84" s="18">
        <f>X84-AG84</f>
        <v>20000000</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v>11302</v>
      </c>
      <c r="B85" s="460" t="s">
        <v>229</v>
      </c>
      <c r="C85" s="558">
        <f t="shared" ref="C85:N85" si="103">SUM(C86:C93)</f>
        <v>115179029</v>
      </c>
      <c r="D85" s="559">
        <f t="shared" si="103"/>
        <v>0</v>
      </c>
      <c r="E85" s="559">
        <f t="shared" si="103"/>
        <v>0</v>
      </c>
      <c r="F85" s="560">
        <f t="shared" si="103"/>
        <v>115179029</v>
      </c>
      <c r="G85" s="558">
        <f t="shared" si="103"/>
        <v>0</v>
      </c>
      <c r="H85" s="559">
        <f t="shared" si="103"/>
        <v>1099705</v>
      </c>
      <c r="I85" s="560">
        <f t="shared" si="103"/>
        <v>1099705</v>
      </c>
      <c r="J85" s="558">
        <f t="shared" si="103"/>
        <v>0</v>
      </c>
      <c r="K85" s="559">
        <f t="shared" si="103"/>
        <v>1099705</v>
      </c>
      <c r="L85" s="560">
        <f t="shared" si="103"/>
        <v>1099705</v>
      </c>
      <c r="M85" s="558">
        <f t="shared" si="103"/>
        <v>114079324</v>
      </c>
      <c r="N85" s="560">
        <f t="shared" si="103"/>
        <v>114079324</v>
      </c>
      <c r="P85" s="52">
        <f>SUM(P86:P93)</f>
        <v>0</v>
      </c>
      <c r="Q85" s="54">
        <f>SUM(Q86:Q93)</f>
        <v>0</v>
      </c>
      <c r="R85" s="10"/>
      <c r="S85" s="155" t="s">
        <v>228</v>
      </c>
      <c r="T85" s="159" t="s">
        <v>147</v>
      </c>
      <c r="U85" s="487">
        <v>22000000</v>
      </c>
      <c r="V85" s="17">
        <f t="shared" si="102"/>
        <v>0</v>
      </c>
      <c r="W85" s="17">
        <f t="shared" si="102"/>
        <v>0</v>
      </c>
      <c r="X85" s="18">
        <f>SUM(U85:W85)</f>
        <v>22000000</v>
      </c>
      <c r="Y85" s="21">
        <v>0</v>
      </c>
      <c r="Z85" s="457">
        <v>0</v>
      </c>
      <c r="AA85" s="18">
        <f>SUM(Y85:Z85)</f>
        <v>0</v>
      </c>
      <c r="AB85" s="21">
        <v>0</v>
      </c>
      <c r="AC85" s="457">
        <v>0</v>
      </c>
      <c r="AD85" s="20">
        <f>SUM(AB85:AC85)</f>
        <v>0</v>
      </c>
      <c r="AE85" s="21">
        <v>0</v>
      </c>
      <c r="AF85" s="457">
        <v>0</v>
      </c>
      <c r="AG85" s="18">
        <f>SUM(AE85:AF85)</f>
        <v>0</v>
      </c>
      <c r="AH85" s="21">
        <f>X85-AA85</f>
        <v>22000000</v>
      </c>
      <c r="AI85" s="17">
        <f>X85-AD85</f>
        <v>22000000</v>
      </c>
      <c r="AJ85" s="18">
        <f>X85-AG85</f>
        <v>22000000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v>1130201</v>
      </c>
      <c r="B86" s="55" t="s">
        <v>231</v>
      </c>
      <c r="C86" s="455">
        <v>3552425</v>
      </c>
      <c r="D86" s="456">
        <f t="shared" ref="D86:E92" si="104">P86</f>
        <v>0</v>
      </c>
      <c r="E86" s="456">
        <f t="shared" si="104"/>
        <v>0</v>
      </c>
      <c r="F86" s="170">
        <f t="shared" ref="F86:F92" si="105">SUM(C86:E86)</f>
        <v>3552425</v>
      </c>
      <c r="G86" s="283">
        <v>0</v>
      </c>
      <c r="H86" s="457">
        <v>106947</v>
      </c>
      <c r="I86" s="170">
        <f t="shared" ref="I86:I92" si="106">SUM(G86:H86)</f>
        <v>106947</v>
      </c>
      <c r="J86" s="283">
        <v>0</v>
      </c>
      <c r="K86" s="457">
        <v>106947</v>
      </c>
      <c r="L86" s="170">
        <f t="shared" ref="L86:L92" si="107">SUM(J86:K86)</f>
        <v>106947</v>
      </c>
      <c r="M86" s="283">
        <f t="shared" ref="M86:M92" si="108">F86-I86</f>
        <v>3445478</v>
      </c>
      <c r="N86" s="170">
        <f t="shared" ref="N86:N92" si="109">F86-L86</f>
        <v>3445478</v>
      </c>
      <c r="O86" s="467"/>
      <c r="P86" s="455">
        <v>0</v>
      </c>
      <c r="Q86" s="458">
        <v>0</v>
      </c>
      <c r="S86" s="155" t="s">
        <v>230</v>
      </c>
      <c r="T86" s="159" t="s">
        <v>157</v>
      </c>
      <c r="U86" s="487">
        <v>25000000</v>
      </c>
      <c r="V86" s="17">
        <f t="shared" si="102"/>
        <v>0</v>
      </c>
      <c r="W86" s="17">
        <f t="shared" si="102"/>
        <v>0</v>
      </c>
      <c r="X86" s="18">
        <f>SUM(U86:W86)</f>
        <v>25000000</v>
      </c>
      <c r="Y86" s="21">
        <v>0</v>
      </c>
      <c r="Z86" s="457">
        <v>513200</v>
      </c>
      <c r="AA86" s="18">
        <f>SUM(Y86:Z86)</f>
        <v>513200</v>
      </c>
      <c r="AB86" s="21">
        <v>0</v>
      </c>
      <c r="AC86" s="457">
        <v>512500</v>
      </c>
      <c r="AD86" s="20">
        <f>SUM(AB86:AC86)</f>
        <v>512500</v>
      </c>
      <c r="AE86" s="21">
        <v>0</v>
      </c>
      <c r="AF86" s="457">
        <v>0</v>
      </c>
      <c r="AG86" s="18">
        <f>SUM(AE86:AF86)</f>
        <v>0</v>
      </c>
      <c r="AH86" s="21">
        <f>X86-AA86</f>
        <v>24486800</v>
      </c>
      <c r="AI86" s="17">
        <f>X86-AD86</f>
        <v>24487500</v>
      </c>
      <c r="AJ86" s="18">
        <f>X86-AG86</f>
        <v>25000000</v>
      </c>
      <c r="AL86" s="455">
        <v>0</v>
      </c>
      <c r="AM86" s="458">
        <v>0</v>
      </c>
      <c r="AO86" s="365"/>
      <c r="AP86" s="365"/>
      <c r="AQ86" s="365"/>
      <c r="AR86" s="365"/>
      <c r="AS86" s="365"/>
      <c r="AT86" s="365"/>
      <c r="AU86" s="365"/>
      <c r="AV86" s="365"/>
      <c r="AW86" s="365"/>
      <c r="AX86" s="365"/>
      <c r="AY86" s="365"/>
      <c r="AZ86" s="365"/>
      <c r="BA86" s="467"/>
      <c r="BB86" s="467"/>
      <c r="BC86" s="467"/>
      <c r="BD86" s="467"/>
      <c r="BE86" s="467"/>
      <c r="BL86" s="467"/>
      <c r="BM86" s="467"/>
      <c r="BN86" s="467"/>
      <c r="BO86" s="467"/>
      <c r="BP86" s="467"/>
      <c r="BQ86" s="467"/>
      <c r="BR86" s="467"/>
    </row>
    <row r="87" spans="1:70" s="467" customFormat="1" x14ac:dyDescent="0.2">
      <c r="A87" s="46">
        <v>1130202</v>
      </c>
      <c r="B87" s="55" t="s">
        <v>232</v>
      </c>
      <c r="C87" s="455">
        <v>0</v>
      </c>
      <c r="D87" s="456">
        <f t="shared" si="104"/>
        <v>0</v>
      </c>
      <c r="E87" s="456">
        <f t="shared" si="104"/>
        <v>0</v>
      </c>
      <c r="F87" s="170">
        <f t="shared" si="105"/>
        <v>0</v>
      </c>
      <c r="G87" s="283">
        <v>0</v>
      </c>
      <c r="H87" s="457">
        <v>0</v>
      </c>
      <c r="I87" s="170">
        <f t="shared" si="106"/>
        <v>0</v>
      </c>
      <c r="J87" s="283">
        <v>0</v>
      </c>
      <c r="K87" s="457">
        <v>0</v>
      </c>
      <c r="L87" s="170">
        <f t="shared" si="107"/>
        <v>0</v>
      </c>
      <c r="M87" s="283">
        <f t="shared" si="108"/>
        <v>0</v>
      </c>
      <c r="N87" s="170">
        <f t="shared" si="109"/>
        <v>0</v>
      </c>
      <c r="P87" s="455">
        <v>0</v>
      </c>
      <c r="Q87" s="458">
        <v>0</v>
      </c>
      <c r="R87" s="10"/>
      <c r="S87" s="228"/>
      <c r="T87" s="174"/>
      <c r="U87" s="487">
        <v>0</v>
      </c>
      <c r="V87" s="17">
        <f>AL87</f>
        <v>0</v>
      </c>
      <c r="W87" s="17">
        <f>AM87</f>
        <v>0</v>
      </c>
      <c r="X87" s="18">
        <f>SUM(U87:W87)</f>
        <v>0</v>
      </c>
      <c r="Y87" s="21">
        <v>0</v>
      </c>
      <c r="Z87" s="457">
        <v>0</v>
      </c>
      <c r="AA87" s="18">
        <f>SUM(Y87:Z87)</f>
        <v>0</v>
      </c>
      <c r="AB87" s="21">
        <v>0</v>
      </c>
      <c r="AC87" s="457">
        <v>0</v>
      </c>
      <c r="AD87" s="20">
        <f>SUM(AB87:AC87)</f>
        <v>0</v>
      </c>
      <c r="AE87" s="21">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B87" s="10"/>
    </row>
    <row r="88" spans="1:70" s="467" customFormat="1" x14ac:dyDescent="0.2">
      <c r="A88" s="46">
        <v>1130203</v>
      </c>
      <c r="B88" s="55" t="s">
        <v>233</v>
      </c>
      <c r="C88" s="455">
        <v>0</v>
      </c>
      <c r="D88" s="456">
        <f t="shared" si="104"/>
        <v>0</v>
      </c>
      <c r="E88" s="456">
        <f t="shared" si="104"/>
        <v>0</v>
      </c>
      <c r="F88" s="170">
        <f t="shared" si="105"/>
        <v>0</v>
      </c>
      <c r="G88" s="283">
        <v>0</v>
      </c>
      <c r="H88" s="457">
        <v>0</v>
      </c>
      <c r="I88" s="170">
        <f t="shared" si="106"/>
        <v>0</v>
      </c>
      <c r="J88" s="283">
        <v>0</v>
      </c>
      <c r="K88" s="457">
        <v>0</v>
      </c>
      <c r="L88" s="170">
        <f t="shared" si="107"/>
        <v>0</v>
      </c>
      <c r="M88" s="283">
        <f t="shared" si="108"/>
        <v>0</v>
      </c>
      <c r="N88" s="170">
        <f t="shared" si="109"/>
        <v>0</v>
      </c>
      <c r="P88" s="455">
        <v>0</v>
      </c>
      <c r="Q88" s="458">
        <v>0</v>
      </c>
      <c r="R88" s="10"/>
      <c r="S88" s="155">
        <v>1020299</v>
      </c>
      <c r="T88" s="159" t="s">
        <v>132</v>
      </c>
      <c r="U88" s="487">
        <v>4000000</v>
      </c>
      <c r="V88" s="17">
        <f t="shared" si="102"/>
        <v>0</v>
      </c>
      <c r="W88" s="17">
        <f t="shared" si="102"/>
        <v>0</v>
      </c>
      <c r="X88" s="18">
        <f>SUM(U88:W88)</f>
        <v>4000000</v>
      </c>
      <c r="Y88" s="21">
        <v>0</v>
      </c>
      <c r="Z88" s="457">
        <v>8687311</v>
      </c>
      <c r="AA88" s="18">
        <f>SUM(Y88:Z88)</f>
        <v>8687311</v>
      </c>
      <c r="AB88" s="21">
        <v>0</v>
      </c>
      <c r="AC88" s="457">
        <v>8687311</v>
      </c>
      <c r="AD88" s="20">
        <f>SUM(AB88:AC88)</f>
        <v>8687311</v>
      </c>
      <c r="AE88" s="21">
        <v>0</v>
      </c>
      <c r="AF88" s="457">
        <v>7331156</v>
      </c>
      <c r="AG88" s="18">
        <f>SUM(AE88:AF88)</f>
        <v>7331156</v>
      </c>
      <c r="AH88" s="21">
        <f>X88-AA88</f>
        <v>-4687311</v>
      </c>
      <c r="AI88" s="17">
        <f>X88-AD88</f>
        <v>-4687311</v>
      </c>
      <c r="AJ88" s="18">
        <f>X88-AG88</f>
        <v>-3331156</v>
      </c>
      <c r="AK88" s="10"/>
      <c r="AL88" s="455">
        <v>0</v>
      </c>
      <c r="AM88" s="458">
        <v>0</v>
      </c>
      <c r="AN88" s="10"/>
      <c r="AO88" s="365"/>
      <c r="AP88" s="365"/>
      <c r="AQ88" s="365"/>
      <c r="AR88" s="365"/>
      <c r="AS88" s="365"/>
      <c r="AT88" s="365"/>
      <c r="AU88" s="365"/>
      <c r="AV88" s="365"/>
      <c r="AW88" s="365"/>
      <c r="AX88" s="365"/>
      <c r="AY88" s="365"/>
      <c r="AZ88" s="365"/>
      <c r="BC88" s="10"/>
      <c r="BD88" s="10"/>
      <c r="BE88" s="10"/>
      <c r="BN88" s="10"/>
      <c r="BO88" s="10"/>
      <c r="BP88" s="10"/>
      <c r="BQ88" s="10"/>
      <c r="BR88" s="10"/>
    </row>
    <row r="89" spans="1:70" s="467" customFormat="1" ht="15.75" x14ac:dyDescent="0.2">
      <c r="A89" s="46">
        <v>1130204</v>
      </c>
      <c r="B89" s="55" t="s">
        <v>234</v>
      </c>
      <c r="C89" s="455">
        <v>0</v>
      </c>
      <c r="D89" s="456">
        <f t="shared" si="104"/>
        <v>0</v>
      </c>
      <c r="E89" s="456">
        <f t="shared" si="104"/>
        <v>0</v>
      </c>
      <c r="F89" s="170">
        <f t="shared" si="105"/>
        <v>0</v>
      </c>
      <c r="G89" s="283">
        <v>0</v>
      </c>
      <c r="H89" s="457">
        <v>0</v>
      </c>
      <c r="I89" s="170">
        <f t="shared" si="106"/>
        <v>0</v>
      </c>
      <c r="J89" s="283">
        <v>0</v>
      </c>
      <c r="K89" s="457">
        <v>0</v>
      </c>
      <c r="L89" s="170">
        <f t="shared" si="107"/>
        <v>0</v>
      </c>
      <c r="M89" s="283">
        <f t="shared" si="108"/>
        <v>0</v>
      </c>
      <c r="N89" s="170">
        <f t="shared" si="109"/>
        <v>0</v>
      </c>
      <c r="P89" s="455">
        <v>0</v>
      </c>
      <c r="Q89" s="458">
        <v>0</v>
      </c>
      <c r="R89" s="10"/>
      <c r="S89" s="448"/>
      <c r="T89" s="449"/>
      <c r="U89" s="193"/>
      <c r="V89" s="193"/>
      <c r="W89" s="193"/>
      <c r="X89" s="207"/>
      <c r="Y89" s="450"/>
      <c r="Z89" s="193"/>
      <c r="AA89" s="207"/>
      <c r="AB89" s="450"/>
      <c r="AC89" s="193"/>
      <c r="AD89" s="193"/>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v>1130205</v>
      </c>
      <c r="B90" s="55" t="s">
        <v>235</v>
      </c>
      <c r="C90" s="455">
        <v>0</v>
      </c>
      <c r="D90" s="456">
        <f t="shared" si="104"/>
        <v>0</v>
      </c>
      <c r="E90" s="456">
        <f t="shared" si="104"/>
        <v>0</v>
      </c>
      <c r="F90" s="170">
        <f t="shared" si="105"/>
        <v>0</v>
      </c>
      <c r="G90" s="283">
        <v>0</v>
      </c>
      <c r="H90" s="457">
        <v>0</v>
      </c>
      <c r="I90" s="170">
        <f t="shared" si="106"/>
        <v>0</v>
      </c>
      <c r="J90" s="283">
        <v>0</v>
      </c>
      <c r="K90" s="457">
        <v>0</v>
      </c>
      <c r="L90" s="170">
        <f t="shared" si="107"/>
        <v>0</v>
      </c>
      <c r="M90" s="283">
        <f t="shared" si="108"/>
        <v>0</v>
      </c>
      <c r="N90" s="170">
        <f t="shared" si="109"/>
        <v>0</v>
      </c>
      <c r="O90" s="467"/>
      <c r="P90" s="455">
        <v>0</v>
      </c>
      <c r="Q90" s="458">
        <v>0</v>
      </c>
      <c r="R90" s="32"/>
      <c r="S90" s="34">
        <v>1020300</v>
      </c>
      <c r="T90" s="158" t="s">
        <v>163</v>
      </c>
      <c r="U90" s="157">
        <f t="shared" ref="U90:AJ90" si="110">U91+U96+U102</f>
        <v>371241003</v>
      </c>
      <c r="V90" s="144">
        <f t="shared" si="110"/>
        <v>0</v>
      </c>
      <c r="W90" s="144">
        <f t="shared" si="110"/>
        <v>0</v>
      </c>
      <c r="X90" s="153">
        <f t="shared" si="110"/>
        <v>371241003</v>
      </c>
      <c r="Y90" s="151">
        <f t="shared" si="110"/>
        <v>0</v>
      </c>
      <c r="Z90" s="144">
        <f t="shared" si="110"/>
        <v>27078187</v>
      </c>
      <c r="AA90" s="153">
        <f t="shared" si="110"/>
        <v>27078187</v>
      </c>
      <c r="AB90" s="151">
        <f t="shared" si="110"/>
        <v>0</v>
      </c>
      <c r="AC90" s="144">
        <f t="shared" si="110"/>
        <v>27078187</v>
      </c>
      <c r="AD90" s="152">
        <f t="shared" si="110"/>
        <v>27078187</v>
      </c>
      <c r="AE90" s="151">
        <f t="shared" si="110"/>
        <v>0</v>
      </c>
      <c r="AF90" s="144">
        <f t="shared" si="110"/>
        <v>14191531</v>
      </c>
      <c r="AG90" s="153">
        <f t="shared" si="110"/>
        <v>14191531</v>
      </c>
      <c r="AH90" s="151">
        <f t="shared" si="110"/>
        <v>344162816</v>
      </c>
      <c r="AI90" s="144">
        <f t="shared" si="110"/>
        <v>344162816</v>
      </c>
      <c r="AJ90" s="153">
        <f t="shared" si="110"/>
        <v>357049472</v>
      </c>
      <c r="AK90" s="10"/>
      <c r="AL90" s="151">
        <f>AL91+AL96+AL102</f>
        <v>0</v>
      </c>
      <c r="AM90" s="153">
        <f>AM91+AM96+AM102</f>
        <v>0</v>
      </c>
      <c r="AN90" s="32"/>
      <c r="AO90" s="561"/>
      <c r="AP90" s="561"/>
      <c r="AQ90" s="561"/>
      <c r="AR90" s="561"/>
      <c r="AS90" s="561"/>
      <c r="AT90" s="561"/>
      <c r="AU90" s="561"/>
      <c r="AV90" s="561"/>
      <c r="AW90" s="561"/>
      <c r="AX90" s="561"/>
      <c r="AY90" s="561"/>
      <c r="AZ90" s="561"/>
      <c r="BB90" s="467"/>
      <c r="BC90" s="467"/>
      <c r="BD90" s="467"/>
      <c r="BE90" s="467"/>
      <c r="BM90" s="467"/>
      <c r="BN90" s="467"/>
      <c r="BO90" s="467"/>
      <c r="BP90" s="467"/>
      <c r="BQ90" s="467"/>
      <c r="BR90" s="467"/>
    </row>
    <row r="91" spans="1:70" s="562" customFormat="1" x14ac:dyDescent="0.2">
      <c r="A91" s="46">
        <v>1130206</v>
      </c>
      <c r="B91" s="55" t="s">
        <v>237</v>
      </c>
      <c r="C91" s="455">
        <v>0</v>
      </c>
      <c r="D91" s="456">
        <f t="shared" si="104"/>
        <v>0</v>
      </c>
      <c r="E91" s="456">
        <f t="shared" si="104"/>
        <v>0</v>
      </c>
      <c r="F91" s="170">
        <f t="shared" si="105"/>
        <v>0</v>
      </c>
      <c r="G91" s="283">
        <v>0</v>
      </c>
      <c r="H91" s="457">
        <v>0</v>
      </c>
      <c r="I91" s="170">
        <f t="shared" si="106"/>
        <v>0</v>
      </c>
      <c r="J91" s="283">
        <v>0</v>
      </c>
      <c r="K91" s="457">
        <v>0</v>
      </c>
      <c r="L91" s="170">
        <f t="shared" si="107"/>
        <v>0</v>
      </c>
      <c r="M91" s="283">
        <f t="shared" si="108"/>
        <v>0</v>
      </c>
      <c r="N91" s="170">
        <f t="shared" si="109"/>
        <v>0</v>
      </c>
      <c r="O91" s="467"/>
      <c r="P91" s="455">
        <v>0</v>
      </c>
      <c r="Q91" s="458">
        <v>0</v>
      </c>
      <c r="R91" s="32"/>
      <c r="S91" s="155">
        <v>1020301</v>
      </c>
      <c r="T91" s="159" t="s">
        <v>165</v>
      </c>
      <c r="U91" s="29">
        <f t="shared" ref="U91:AJ91" si="111">SUM(U92:U95)</f>
        <v>165265755</v>
      </c>
      <c r="V91" s="27">
        <f t="shared" si="111"/>
        <v>0</v>
      </c>
      <c r="W91" s="27">
        <f t="shared" si="111"/>
        <v>0</v>
      </c>
      <c r="X91" s="28">
        <f t="shared" si="111"/>
        <v>165265755</v>
      </c>
      <c r="Y91" s="31">
        <f t="shared" si="111"/>
        <v>0</v>
      </c>
      <c r="Z91" s="27">
        <f t="shared" si="111"/>
        <v>11621400</v>
      </c>
      <c r="AA91" s="28">
        <f t="shared" si="111"/>
        <v>11621400</v>
      </c>
      <c r="AB91" s="31">
        <f t="shared" si="111"/>
        <v>0</v>
      </c>
      <c r="AC91" s="27">
        <f t="shared" si="111"/>
        <v>11621400</v>
      </c>
      <c r="AD91" s="30">
        <f t="shared" si="111"/>
        <v>11621400</v>
      </c>
      <c r="AE91" s="31">
        <f t="shared" si="111"/>
        <v>0</v>
      </c>
      <c r="AF91" s="27">
        <f t="shared" si="111"/>
        <v>11621400</v>
      </c>
      <c r="AG91" s="28">
        <f t="shared" si="111"/>
        <v>11621400</v>
      </c>
      <c r="AH91" s="21">
        <f t="shared" si="111"/>
        <v>153644355</v>
      </c>
      <c r="AI91" s="17">
        <f t="shared" si="111"/>
        <v>153644355</v>
      </c>
      <c r="AJ91" s="18">
        <f t="shared" si="111"/>
        <v>153644355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v>1130207</v>
      </c>
      <c r="B92" s="563" t="s">
        <v>482</v>
      </c>
      <c r="C92" s="455">
        <v>0</v>
      </c>
      <c r="D92" s="456">
        <f t="shared" si="104"/>
        <v>0</v>
      </c>
      <c r="E92" s="456">
        <f t="shared" si="104"/>
        <v>0</v>
      </c>
      <c r="F92" s="170">
        <f t="shared" si="105"/>
        <v>0</v>
      </c>
      <c r="G92" s="283">
        <v>0</v>
      </c>
      <c r="H92" s="457">
        <v>0</v>
      </c>
      <c r="I92" s="170">
        <f t="shared" si="106"/>
        <v>0</v>
      </c>
      <c r="J92" s="283">
        <v>0</v>
      </c>
      <c r="K92" s="457">
        <v>0</v>
      </c>
      <c r="L92" s="170">
        <f t="shared" si="107"/>
        <v>0</v>
      </c>
      <c r="M92" s="283">
        <f t="shared" si="108"/>
        <v>0</v>
      </c>
      <c r="N92" s="170">
        <f t="shared" si="109"/>
        <v>0</v>
      </c>
      <c r="O92" s="467"/>
      <c r="P92" s="455">
        <v>0</v>
      </c>
      <c r="Q92" s="458">
        <v>0</v>
      </c>
      <c r="R92" s="32"/>
      <c r="S92" s="156" t="s">
        <v>236</v>
      </c>
      <c r="T92" s="55" t="s">
        <v>435</v>
      </c>
      <c r="U92" s="487">
        <v>72234575</v>
      </c>
      <c r="V92" s="17">
        <f t="shared" ref="V92:W95" si="112">AL92</f>
        <v>0</v>
      </c>
      <c r="W92" s="17">
        <f t="shared" si="112"/>
        <v>0</v>
      </c>
      <c r="X92" s="18">
        <f>SUM(U92:W92)</f>
        <v>72234575</v>
      </c>
      <c r="Y92" s="21">
        <v>0</v>
      </c>
      <c r="Z92" s="457">
        <v>4818500</v>
      </c>
      <c r="AA92" s="18">
        <f>SUM(Y92:Z92)</f>
        <v>4818500</v>
      </c>
      <c r="AB92" s="21">
        <v>0</v>
      </c>
      <c r="AC92" s="457">
        <v>4818500</v>
      </c>
      <c r="AD92" s="20">
        <f>SUM(AB92:AC92)</f>
        <v>4818500</v>
      </c>
      <c r="AE92" s="21">
        <v>0</v>
      </c>
      <c r="AF92" s="457">
        <v>4818500</v>
      </c>
      <c r="AG92" s="18">
        <f>SUM(AE92:AF92)</f>
        <v>4818500</v>
      </c>
      <c r="AH92" s="21">
        <f>X92-AA92</f>
        <v>67416075</v>
      </c>
      <c r="AI92" s="17">
        <f>X92-AD92</f>
        <v>67416075</v>
      </c>
      <c r="AJ92" s="18">
        <f>X92-AG92</f>
        <v>67416075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v>1130209</v>
      </c>
      <c r="B93" s="170" t="s">
        <v>240</v>
      </c>
      <c r="C93" s="171">
        <f t="shared" ref="C93:N93" si="113">SUM(C94:C97)</f>
        <v>111626604</v>
      </c>
      <c r="D93" s="172">
        <f t="shared" si="113"/>
        <v>0</v>
      </c>
      <c r="E93" s="172">
        <f t="shared" si="113"/>
        <v>0</v>
      </c>
      <c r="F93" s="173">
        <f t="shared" si="113"/>
        <v>111626604</v>
      </c>
      <c r="G93" s="171">
        <f t="shared" si="113"/>
        <v>0</v>
      </c>
      <c r="H93" s="172">
        <f t="shared" si="113"/>
        <v>992758</v>
      </c>
      <c r="I93" s="173">
        <f t="shared" si="113"/>
        <v>992758</v>
      </c>
      <c r="J93" s="171">
        <f t="shared" si="113"/>
        <v>0</v>
      </c>
      <c r="K93" s="172">
        <f t="shared" si="113"/>
        <v>992758</v>
      </c>
      <c r="L93" s="173">
        <f t="shared" si="113"/>
        <v>992758</v>
      </c>
      <c r="M93" s="171">
        <f t="shared" si="113"/>
        <v>110633846</v>
      </c>
      <c r="N93" s="173">
        <f t="shared" si="113"/>
        <v>110633846</v>
      </c>
      <c r="O93" s="467"/>
      <c r="P93" s="171">
        <f>SUM(P94:P97)</f>
        <v>0</v>
      </c>
      <c r="Q93" s="173">
        <f>SUM(Q94:Q97)</f>
        <v>0</v>
      </c>
      <c r="R93" s="32"/>
      <c r="S93" s="156" t="s">
        <v>238</v>
      </c>
      <c r="T93" s="55" t="s">
        <v>436</v>
      </c>
      <c r="U93" s="487">
        <v>78026691</v>
      </c>
      <c r="V93" s="17">
        <f t="shared" si="112"/>
        <v>0</v>
      </c>
      <c r="W93" s="17">
        <f t="shared" si="112"/>
        <v>0</v>
      </c>
      <c r="X93" s="18">
        <f>SUM(U93:W93)</f>
        <v>78026691</v>
      </c>
      <c r="Y93" s="21">
        <v>0</v>
      </c>
      <c r="Z93" s="457">
        <v>6802900</v>
      </c>
      <c r="AA93" s="18">
        <f>SUM(Y93:Z93)</f>
        <v>6802900</v>
      </c>
      <c r="AB93" s="21">
        <v>0</v>
      </c>
      <c r="AC93" s="457">
        <v>6802900</v>
      </c>
      <c r="AD93" s="20">
        <f>SUM(AB93:AC93)</f>
        <v>6802900</v>
      </c>
      <c r="AE93" s="21">
        <v>0</v>
      </c>
      <c r="AF93" s="457">
        <v>6802900</v>
      </c>
      <c r="AG93" s="18">
        <f>SUM(AE93:AF93)</f>
        <v>6802900</v>
      </c>
      <c r="AH93" s="21">
        <f>X93-AA93</f>
        <v>71223791</v>
      </c>
      <c r="AI93" s="17">
        <f>X93-AD93</f>
        <v>71223791</v>
      </c>
      <c r="AJ93" s="18">
        <f>X93-AG93</f>
        <v>71223791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
        <v>242</v>
      </c>
      <c r="B94" s="58" t="s">
        <v>290</v>
      </c>
      <c r="C94" s="455">
        <v>6347410</v>
      </c>
      <c r="D94" s="456">
        <f t="shared" ref="D94:E97" si="114">P94</f>
        <v>0</v>
      </c>
      <c r="E94" s="456">
        <f t="shared" si="114"/>
        <v>0</v>
      </c>
      <c r="F94" s="170">
        <f>SUM(C94:E94)</f>
        <v>6347410</v>
      </c>
      <c r="G94" s="283">
        <v>0</v>
      </c>
      <c r="H94" s="457">
        <v>0</v>
      </c>
      <c r="I94" s="170">
        <f>SUM(G94:H94)</f>
        <v>0</v>
      </c>
      <c r="J94" s="283">
        <v>0</v>
      </c>
      <c r="K94" s="457">
        <v>0</v>
      </c>
      <c r="L94" s="170">
        <f>SUM(J94:K94)</f>
        <v>0</v>
      </c>
      <c r="M94" s="283">
        <f>F94-I94</f>
        <v>6347410</v>
      </c>
      <c r="N94" s="170">
        <f>F94-L94</f>
        <v>6347410</v>
      </c>
      <c r="O94" s="467"/>
      <c r="P94" s="455">
        <v>0</v>
      </c>
      <c r="Q94" s="458">
        <v>0</v>
      </c>
      <c r="R94" s="32"/>
      <c r="S94" s="156" t="s">
        <v>239</v>
      </c>
      <c r="T94" s="55" t="s">
        <v>437</v>
      </c>
      <c r="U94" s="487">
        <v>15004488</v>
      </c>
      <c r="V94" s="17">
        <f t="shared" si="112"/>
        <v>0</v>
      </c>
      <c r="W94" s="17">
        <f t="shared" si="112"/>
        <v>0</v>
      </c>
      <c r="X94" s="18">
        <f>SUM(U94:W94)</f>
        <v>15004488</v>
      </c>
      <c r="Y94" s="21">
        <v>0</v>
      </c>
      <c r="Z94" s="457">
        <v>0</v>
      </c>
      <c r="AA94" s="18">
        <f>SUM(Y94:Z94)</f>
        <v>0</v>
      </c>
      <c r="AB94" s="21">
        <v>0</v>
      </c>
      <c r="AC94" s="457">
        <v>0</v>
      </c>
      <c r="AD94" s="20">
        <f>SUM(AB94:AC94)</f>
        <v>0</v>
      </c>
      <c r="AE94" s="21">
        <v>0</v>
      </c>
      <c r="AF94" s="457">
        <v>0</v>
      </c>
      <c r="AG94" s="18">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
        <v>243</v>
      </c>
      <c r="B95" s="58" t="s">
        <v>375</v>
      </c>
      <c r="C95" s="455">
        <v>0</v>
      </c>
      <c r="D95" s="456">
        <f t="shared" si="114"/>
        <v>0</v>
      </c>
      <c r="E95" s="456">
        <f t="shared" si="114"/>
        <v>0</v>
      </c>
      <c r="F95" s="170">
        <f>SUM(C95:E95)</f>
        <v>0</v>
      </c>
      <c r="G95" s="283">
        <v>0</v>
      </c>
      <c r="H95" s="457">
        <v>0</v>
      </c>
      <c r="I95" s="170">
        <f>SUM(G95:H95)</f>
        <v>0</v>
      </c>
      <c r="J95" s="283">
        <v>0</v>
      </c>
      <c r="K95" s="457">
        <v>0</v>
      </c>
      <c r="L95" s="170">
        <f>SUM(J95:K95)</f>
        <v>0</v>
      </c>
      <c r="M95" s="283">
        <f>F95-I95</f>
        <v>0</v>
      </c>
      <c r="N95" s="170">
        <f>F95-L95</f>
        <v>0</v>
      </c>
      <c r="O95" s="467"/>
      <c r="P95" s="455">
        <v>0</v>
      </c>
      <c r="Q95" s="458">
        <v>0</v>
      </c>
      <c r="R95" s="32"/>
      <c r="S95" s="156" t="s">
        <v>241</v>
      </c>
      <c r="T95" s="55" t="s">
        <v>590</v>
      </c>
      <c r="U95" s="487">
        <v>1</v>
      </c>
      <c r="V95" s="17">
        <f t="shared" si="112"/>
        <v>0</v>
      </c>
      <c r="W95" s="17">
        <f t="shared" si="112"/>
        <v>0</v>
      </c>
      <c r="X95" s="18">
        <f>SUM(U95:W95)</f>
        <v>1</v>
      </c>
      <c r="Y95" s="21">
        <v>0</v>
      </c>
      <c r="Z95" s="457">
        <v>0</v>
      </c>
      <c r="AA95" s="18">
        <f>SUM(Y95:Z95)</f>
        <v>0</v>
      </c>
      <c r="AB95" s="21">
        <v>0</v>
      </c>
      <c r="AC95" s="457">
        <v>0</v>
      </c>
      <c r="AD95" s="20">
        <f>SUM(AB95:AC95)</f>
        <v>0</v>
      </c>
      <c r="AE95" s="21">
        <v>0</v>
      </c>
      <c r="AF95" s="457">
        <v>0</v>
      </c>
      <c r="AG95" s="18">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
        <v>245</v>
      </c>
      <c r="B96" s="58" t="s">
        <v>413</v>
      </c>
      <c r="C96" s="455">
        <v>105279194</v>
      </c>
      <c r="D96" s="456">
        <f t="shared" si="114"/>
        <v>0</v>
      </c>
      <c r="E96" s="456">
        <f t="shared" si="114"/>
        <v>0</v>
      </c>
      <c r="F96" s="170">
        <f>SUM(C96:E96)</f>
        <v>105279194</v>
      </c>
      <c r="G96" s="283">
        <v>0</v>
      </c>
      <c r="H96" s="457">
        <v>992758</v>
      </c>
      <c r="I96" s="170">
        <f>SUM(G96:H96)</f>
        <v>992758</v>
      </c>
      <c r="J96" s="283">
        <v>0</v>
      </c>
      <c r="K96" s="457">
        <v>992758</v>
      </c>
      <c r="L96" s="170">
        <f>SUM(J96:K96)</f>
        <v>992758</v>
      </c>
      <c r="M96" s="283">
        <f>F96-I96</f>
        <v>104286436</v>
      </c>
      <c r="N96" s="170">
        <f>F96-L96</f>
        <v>104286436</v>
      </c>
      <c r="O96" s="467"/>
      <c r="P96" s="455">
        <v>0</v>
      </c>
      <c r="Q96" s="458">
        <v>0</v>
      </c>
      <c r="S96" s="155">
        <v>1020302</v>
      </c>
      <c r="T96" s="159" t="s">
        <v>175</v>
      </c>
      <c r="U96" s="19">
        <f t="shared" ref="U96:AJ96" si="115">SUM(U97:U101)</f>
        <v>205975248</v>
      </c>
      <c r="V96" s="17">
        <f t="shared" si="115"/>
        <v>0</v>
      </c>
      <c r="W96" s="17">
        <f t="shared" si="115"/>
        <v>0</v>
      </c>
      <c r="X96" s="18">
        <f t="shared" si="115"/>
        <v>205975248</v>
      </c>
      <c r="Y96" s="21">
        <f t="shared" si="115"/>
        <v>0</v>
      </c>
      <c r="Z96" s="169">
        <f t="shared" si="115"/>
        <v>10104200</v>
      </c>
      <c r="AA96" s="18">
        <f t="shared" si="115"/>
        <v>10104200</v>
      </c>
      <c r="AB96" s="21">
        <f t="shared" si="115"/>
        <v>0</v>
      </c>
      <c r="AC96" s="169">
        <f t="shared" si="115"/>
        <v>10104200</v>
      </c>
      <c r="AD96" s="20">
        <f t="shared" si="115"/>
        <v>10104200</v>
      </c>
      <c r="AE96" s="21">
        <f t="shared" si="115"/>
        <v>0</v>
      </c>
      <c r="AF96" s="169">
        <f t="shared" si="115"/>
        <v>0</v>
      </c>
      <c r="AG96" s="18">
        <f t="shared" si="115"/>
        <v>0</v>
      </c>
      <c r="AH96" s="21">
        <f t="shared" si="115"/>
        <v>195871048</v>
      </c>
      <c r="AI96" s="17">
        <f t="shared" si="115"/>
        <v>195871048</v>
      </c>
      <c r="AJ96" s="18">
        <f t="shared" si="115"/>
        <v>205975248</v>
      </c>
      <c r="AL96" s="36">
        <f>SUM(AL97:AL101)</f>
        <v>0</v>
      </c>
      <c r="AM96" s="37">
        <f>SUM(AM97:AM101)</f>
        <v>0</v>
      </c>
      <c r="AO96" s="561"/>
      <c r="AP96" s="561"/>
      <c r="AQ96" s="561"/>
      <c r="AR96" s="561"/>
      <c r="AS96" s="561"/>
      <c r="AT96" s="561"/>
      <c r="AU96" s="561"/>
      <c r="AV96" s="561"/>
      <c r="AW96" s="561"/>
      <c r="AX96" s="561"/>
      <c r="AY96" s="561"/>
      <c r="AZ96" s="561"/>
      <c r="BA96" s="562"/>
      <c r="BB96" s="562"/>
      <c r="BC96" s="562"/>
      <c r="BD96" s="562"/>
      <c r="BE96" s="562"/>
      <c r="BL96" s="562"/>
      <c r="BM96" s="562"/>
      <c r="BN96" s="562"/>
      <c r="BO96" s="562"/>
      <c r="BP96" s="562"/>
      <c r="BQ96" s="562"/>
      <c r="BR96" s="562"/>
    </row>
    <row r="97" spans="1:70" s="562" customFormat="1" ht="13.5" thickBot="1" x14ac:dyDescent="0.25">
      <c r="A97" s="218" t="s">
        <v>247</v>
      </c>
      <c r="B97" s="219" t="s">
        <v>82</v>
      </c>
      <c r="C97" s="471">
        <v>0</v>
      </c>
      <c r="D97" s="564">
        <f t="shared" si="114"/>
        <v>0</v>
      </c>
      <c r="E97" s="564">
        <f t="shared" si="114"/>
        <v>0</v>
      </c>
      <c r="F97" s="565">
        <f>SUM(C97:E97)</f>
        <v>0</v>
      </c>
      <c r="G97" s="566">
        <v>0</v>
      </c>
      <c r="H97" s="475">
        <v>0</v>
      </c>
      <c r="I97" s="565">
        <f>SUM(G97:H97)</f>
        <v>0</v>
      </c>
      <c r="J97" s="566">
        <v>0</v>
      </c>
      <c r="K97" s="475">
        <v>0</v>
      </c>
      <c r="L97" s="565">
        <f>SUM(J97:K97)</f>
        <v>0</v>
      </c>
      <c r="M97" s="566">
        <f>F97-I97</f>
        <v>0</v>
      </c>
      <c r="N97" s="565">
        <f>F97-L97</f>
        <v>0</v>
      </c>
      <c r="O97" s="467"/>
      <c r="P97" s="471">
        <v>0</v>
      </c>
      <c r="Q97" s="476">
        <v>0</v>
      </c>
      <c r="R97" s="32"/>
      <c r="S97" s="156" t="s">
        <v>244</v>
      </c>
      <c r="T97" s="55" t="s">
        <v>438</v>
      </c>
      <c r="U97" s="487">
        <v>13794433</v>
      </c>
      <c r="V97" s="17">
        <f t="shared" ref="V97:W102" si="116">AL97</f>
        <v>0</v>
      </c>
      <c r="W97" s="17">
        <f t="shared" si="116"/>
        <v>0</v>
      </c>
      <c r="X97" s="18">
        <f t="shared" ref="X97:X102" si="117">SUM(U97:W97)</f>
        <v>13794433</v>
      </c>
      <c r="Y97" s="21">
        <v>0</v>
      </c>
      <c r="Z97" s="457">
        <v>2068300</v>
      </c>
      <c r="AA97" s="18">
        <f t="shared" ref="AA97:AA102" si="118">SUM(Y97:Z97)</f>
        <v>2068300</v>
      </c>
      <c r="AB97" s="21">
        <v>0</v>
      </c>
      <c r="AC97" s="457">
        <v>2068300</v>
      </c>
      <c r="AD97" s="20">
        <f t="shared" ref="AD97:AD102" si="119">SUM(AB97:AC97)</f>
        <v>2068300</v>
      </c>
      <c r="AE97" s="21">
        <v>0</v>
      </c>
      <c r="AF97" s="457">
        <v>0</v>
      </c>
      <c r="AG97" s="18">
        <f t="shared" ref="AG97:AG102" si="120">SUM(AE97:AF97)</f>
        <v>0</v>
      </c>
      <c r="AH97" s="21">
        <f t="shared" ref="AH97:AH102" si="121">X97-AA97</f>
        <v>11726133</v>
      </c>
      <c r="AI97" s="17">
        <f t="shared" ref="AI97:AI102" si="122">X97-AD97</f>
        <v>11726133</v>
      </c>
      <c r="AJ97" s="18">
        <f t="shared" ref="AJ97:AJ102" si="123">X97-AG97</f>
        <v>13794433</v>
      </c>
      <c r="AK97" s="32"/>
      <c r="AL97" s="455">
        <v>0</v>
      </c>
      <c r="AM97" s="458">
        <v>0</v>
      </c>
      <c r="AN97" s="32"/>
      <c r="AO97" s="561"/>
      <c r="AP97" s="561"/>
      <c r="AQ97" s="561"/>
      <c r="AR97" s="561"/>
      <c r="AS97" s="561"/>
      <c r="AT97" s="561"/>
      <c r="AU97" s="561"/>
      <c r="AV97" s="561"/>
      <c r="AW97" s="561"/>
      <c r="AX97" s="561"/>
      <c r="AY97" s="561"/>
      <c r="AZ97" s="561"/>
      <c r="BB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
        <v>246</v>
      </c>
      <c r="T98" s="55" t="s">
        <v>439</v>
      </c>
      <c r="U98" s="487">
        <v>43426005</v>
      </c>
      <c r="V98" s="17">
        <f t="shared" si="116"/>
        <v>0</v>
      </c>
      <c r="W98" s="17">
        <f t="shared" si="116"/>
        <v>0</v>
      </c>
      <c r="X98" s="18">
        <f t="shared" si="117"/>
        <v>43426005</v>
      </c>
      <c r="Y98" s="21">
        <v>0</v>
      </c>
      <c r="Z98" s="457">
        <v>3068100</v>
      </c>
      <c r="AA98" s="18">
        <f t="shared" si="118"/>
        <v>3068100</v>
      </c>
      <c r="AB98" s="21">
        <v>0</v>
      </c>
      <c r="AC98" s="457">
        <v>3068100</v>
      </c>
      <c r="AD98" s="20">
        <f t="shared" si="119"/>
        <v>3068100</v>
      </c>
      <c r="AE98" s="21">
        <v>0</v>
      </c>
      <c r="AF98" s="457">
        <v>0</v>
      </c>
      <c r="AG98" s="18">
        <f t="shared" si="120"/>
        <v>0</v>
      </c>
      <c r="AH98" s="21">
        <f t="shared" si="121"/>
        <v>40357905</v>
      </c>
      <c r="AI98" s="17">
        <f t="shared" si="122"/>
        <v>40357905</v>
      </c>
      <c r="AJ98" s="18">
        <f t="shared" si="123"/>
        <v>43426005</v>
      </c>
      <c r="AK98" s="32"/>
      <c r="AL98" s="455">
        <v>0</v>
      </c>
      <c r="AM98" s="458">
        <v>0</v>
      </c>
      <c r="AN98" s="32"/>
      <c r="AO98" s="561"/>
      <c r="AP98" s="561"/>
      <c r="AQ98" s="561"/>
      <c r="AR98" s="561"/>
      <c r="AS98" s="561"/>
      <c r="AT98" s="561"/>
      <c r="AU98" s="561"/>
      <c r="AV98" s="561"/>
      <c r="AW98" s="561"/>
      <c r="AX98" s="561"/>
      <c r="AY98" s="561"/>
      <c r="AZ98" s="561"/>
      <c r="BC98" s="32"/>
      <c r="BD98" s="32"/>
      <c r="BE98" s="32"/>
      <c r="BN98" s="32"/>
      <c r="BO98" s="32"/>
      <c r="BP98" s="32"/>
      <c r="BQ98" s="32"/>
      <c r="BR98" s="32"/>
    </row>
    <row r="99" spans="1:70" s="562" customFormat="1" ht="15.75" x14ac:dyDescent="0.2">
      <c r="A99" s="569">
        <v>11303</v>
      </c>
      <c r="B99" s="570" t="s">
        <v>414</v>
      </c>
      <c r="C99" s="571">
        <f t="shared" ref="C99:N99" si="124">SUM(C100:C106)</f>
        <v>0</v>
      </c>
      <c r="D99" s="572">
        <f t="shared" si="124"/>
        <v>0</v>
      </c>
      <c r="E99" s="572">
        <f t="shared" si="124"/>
        <v>0</v>
      </c>
      <c r="F99" s="573">
        <f t="shared" si="124"/>
        <v>0</v>
      </c>
      <c r="G99" s="571">
        <f t="shared" si="124"/>
        <v>0</v>
      </c>
      <c r="H99" s="572">
        <f t="shared" si="124"/>
        <v>0</v>
      </c>
      <c r="I99" s="573">
        <f t="shared" si="124"/>
        <v>0</v>
      </c>
      <c r="J99" s="571">
        <f t="shared" si="124"/>
        <v>0</v>
      </c>
      <c r="K99" s="572">
        <f t="shared" si="124"/>
        <v>0</v>
      </c>
      <c r="L99" s="573">
        <f t="shared" si="124"/>
        <v>0</v>
      </c>
      <c r="M99" s="571">
        <f t="shared" si="124"/>
        <v>0</v>
      </c>
      <c r="N99" s="573">
        <f t="shared" si="124"/>
        <v>0</v>
      </c>
      <c r="P99" s="215">
        <f>SUM(P100:P106)</f>
        <v>0</v>
      </c>
      <c r="Q99" s="216">
        <f>SUM(Q100:Q106)</f>
        <v>0</v>
      </c>
      <c r="R99" s="32"/>
      <c r="S99" s="156" t="s">
        <v>248</v>
      </c>
      <c r="T99" s="55" t="s">
        <v>440</v>
      </c>
      <c r="U99" s="487">
        <v>78984976</v>
      </c>
      <c r="V99" s="17">
        <f t="shared" si="116"/>
        <v>0</v>
      </c>
      <c r="W99" s="17">
        <f t="shared" si="116"/>
        <v>0</v>
      </c>
      <c r="X99" s="18">
        <f t="shared" si="117"/>
        <v>78984976</v>
      </c>
      <c r="Y99" s="21">
        <v>0</v>
      </c>
      <c r="Z99" s="457">
        <v>0</v>
      </c>
      <c r="AA99" s="18">
        <f t="shared" si="118"/>
        <v>0</v>
      </c>
      <c r="AB99" s="21">
        <v>0</v>
      </c>
      <c r="AC99" s="457">
        <v>0</v>
      </c>
      <c r="AD99" s="20">
        <f t="shared" si="119"/>
        <v>0</v>
      </c>
      <c r="AE99" s="21">
        <v>0</v>
      </c>
      <c r="AF99" s="457">
        <v>0</v>
      </c>
      <c r="AG99" s="18">
        <f t="shared" si="120"/>
        <v>0</v>
      </c>
      <c r="AH99" s="21">
        <f t="shared" si="121"/>
        <v>78984976</v>
      </c>
      <c r="AI99" s="17">
        <f t="shared" si="122"/>
        <v>78984976</v>
      </c>
      <c r="AJ99" s="18">
        <f t="shared" si="123"/>
        <v>78984976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
        <v>250</v>
      </c>
      <c r="B100" s="59" t="s">
        <v>496</v>
      </c>
      <c r="C100" s="455">
        <v>0</v>
      </c>
      <c r="D100" s="574">
        <f t="shared" ref="D100:E106" si="125">P100</f>
        <v>0</v>
      </c>
      <c r="E100" s="574">
        <f t="shared" si="125"/>
        <v>0</v>
      </c>
      <c r="F100" s="575">
        <f t="shared" ref="F100:F106" si="126">SUM(C100:E100)</f>
        <v>0</v>
      </c>
      <c r="G100" s="576">
        <v>0</v>
      </c>
      <c r="H100" s="457">
        <v>0</v>
      </c>
      <c r="I100" s="575">
        <f t="shared" ref="I100:I106" si="127">SUM(G100:H100)</f>
        <v>0</v>
      </c>
      <c r="J100" s="576">
        <v>0</v>
      </c>
      <c r="K100" s="457">
        <v>0</v>
      </c>
      <c r="L100" s="575">
        <f t="shared" ref="L100:L106" si="128">SUM(J100:K100)</f>
        <v>0</v>
      </c>
      <c r="M100" s="576">
        <f t="shared" ref="M100:M106" si="129">F100-I100</f>
        <v>0</v>
      </c>
      <c r="N100" s="575">
        <f t="shared" ref="N100:N106" si="130">F100-L100</f>
        <v>0</v>
      </c>
      <c r="O100" s="562"/>
      <c r="P100" s="455">
        <v>0</v>
      </c>
      <c r="Q100" s="458">
        <v>0</v>
      </c>
      <c r="R100" s="10"/>
      <c r="S100" s="156" t="s">
        <v>249</v>
      </c>
      <c r="T100" s="55" t="s">
        <v>589</v>
      </c>
      <c r="U100" s="487">
        <v>24654894</v>
      </c>
      <c r="V100" s="17">
        <f t="shared" si="116"/>
        <v>0</v>
      </c>
      <c r="W100" s="17">
        <f t="shared" si="116"/>
        <v>0</v>
      </c>
      <c r="X100" s="18">
        <f t="shared" si="117"/>
        <v>24654894</v>
      </c>
      <c r="Y100" s="21">
        <v>0</v>
      </c>
      <c r="Z100" s="457">
        <v>1759700</v>
      </c>
      <c r="AA100" s="18">
        <f t="shared" si="118"/>
        <v>1759700</v>
      </c>
      <c r="AB100" s="21">
        <v>0</v>
      </c>
      <c r="AC100" s="457">
        <v>1759700</v>
      </c>
      <c r="AD100" s="20">
        <f t="shared" si="119"/>
        <v>1759700</v>
      </c>
      <c r="AE100" s="21">
        <v>0</v>
      </c>
      <c r="AF100" s="457">
        <v>0</v>
      </c>
      <c r="AG100" s="18">
        <f t="shared" si="120"/>
        <v>0</v>
      </c>
      <c r="AH100" s="21">
        <f t="shared" si="121"/>
        <v>22895194</v>
      </c>
      <c r="AI100" s="17">
        <f t="shared" si="122"/>
        <v>22895194</v>
      </c>
      <c r="AJ100" s="18">
        <f t="shared" si="123"/>
        <v>24654894</v>
      </c>
      <c r="AK100" s="32"/>
      <c r="AL100" s="455">
        <v>0</v>
      </c>
      <c r="AM100" s="458">
        <v>0</v>
      </c>
      <c r="AN100" s="10"/>
      <c r="AO100" s="365"/>
      <c r="AP100" s="365"/>
      <c r="AQ100" s="365"/>
      <c r="AR100" s="365"/>
      <c r="AS100" s="365"/>
      <c r="AT100" s="365"/>
      <c r="AU100" s="365"/>
      <c r="AV100" s="365"/>
      <c r="AW100" s="365"/>
      <c r="AX100" s="365"/>
      <c r="AY100" s="365"/>
      <c r="AZ100" s="365"/>
      <c r="BB100" s="562"/>
      <c r="BC100" s="562"/>
      <c r="BD100" s="562"/>
      <c r="BE100" s="562"/>
      <c r="BM100" s="562"/>
      <c r="BN100" s="562"/>
      <c r="BO100" s="562"/>
      <c r="BP100" s="562"/>
      <c r="BQ100" s="562"/>
      <c r="BR100" s="562"/>
    </row>
    <row r="101" spans="1:70" s="467" customFormat="1" x14ac:dyDescent="0.2">
      <c r="A101" s="33" t="s">
        <v>252</v>
      </c>
      <c r="B101" s="59" t="s">
        <v>497</v>
      </c>
      <c r="C101" s="455">
        <v>0</v>
      </c>
      <c r="D101" s="574">
        <f t="shared" si="125"/>
        <v>0</v>
      </c>
      <c r="E101" s="574">
        <f t="shared" si="125"/>
        <v>0</v>
      </c>
      <c r="F101" s="575">
        <f t="shared" si="126"/>
        <v>0</v>
      </c>
      <c r="G101" s="576">
        <v>0</v>
      </c>
      <c r="H101" s="457">
        <v>0</v>
      </c>
      <c r="I101" s="575">
        <f t="shared" si="127"/>
        <v>0</v>
      </c>
      <c r="J101" s="576">
        <v>0</v>
      </c>
      <c r="K101" s="457">
        <v>0</v>
      </c>
      <c r="L101" s="575">
        <f t="shared" si="128"/>
        <v>0</v>
      </c>
      <c r="M101" s="576">
        <f t="shared" si="129"/>
        <v>0</v>
      </c>
      <c r="N101" s="575">
        <f t="shared" si="130"/>
        <v>0</v>
      </c>
      <c r="O101" s="562"/>
      <c r="P101" s="455">
        <v>0</v>
      </c>
      <c r="Q101" s="458">
        <v>0</v>
      </c>
      <c r="R101" s="10"/>
      <c r="S101" s="156" t="s">
        <v>251</v>
      </c>
      <c r="T101" s="55" t="s">
        <v>441</v>
      </c>
      <c r="U101" s="487">
        <v>45114940</v>
      </c>
      <c r="V101" s="17">
        <f t="shared" si="116"/>
        <v>0</v>
      </c>
      <c r="W101" s="17">
        <f t="shared" si="116"/>
        <v>0</v>
      </c>
      <c r="X101" s="18">
        <f t="shared" si="117"/>
        <v>45114940</v>
      </c>
      <c r="Y101" s="21">
        <v>0</v>
      </c>
      <c r="Z101" s="457">
        <v>3208100</v>
      </c>
      <c r="AA101" s="18">
        <f t="shared" si="118"/>
        <v>3208100</v>
      </c>
      <c r="AB101" s="21">
        <v>0</v>
      </c>
      <c r="AC101" s="457">
        <v>3208100</v>
      </c>
      <c r="AD101" s="20">
        <f t="shared" si="119"/>
        <v>3208100</v>
      </c>
      <c r="AE101" s="21">
        <v>0</v>
      </c>
      <c r="AF101" s="457">
        <v>0</v>
      </c>
      <c r="AG101" s="18">
        <f t="shared" si="120"/>
        <v>0</v>
      </c>
      <c r="AH101" s="21">
        <f t="shared" si="121"/>
        <v>41906840</v>
      </c>
      <c r="AI101" s="17">
        <f t="shared" si="122"/>
        <v>41906840</v>
      </c>
      <c r="AJ101" s="18">
        <f t="shared" si="123"/>
        <v>45114940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
        <v>253</v>
      </c>
      <c r="B102" s="59" t="s">
        <v>12</v>
      </c>
      <c r="C102" s="455">
        <v>0</v>
      </c>
      <c r="D102" s="574">
        <f t="shared" si="125"/>
        <v>0</v>
      </c>
      <c r="E102" s="574">
        <f t="shared" si="125"/>
        <v>0</v>
      </c>
      <c r="F102" s="575">
        <f t="shared" si="126"/>
        <v>0</v>
      </c>
      <c r="G102" s="576">
        <v>0</v>
      </c>
      <c r="H102" s="457">
        <v>0</v>
      </c>
      <c r="I102" s="575">
        <f t="shared" si="127"/>
        <v>0</v>
      </c>
      <c r="J102" s="576">
        <v>0</v>
      </c>
      <c r="K102" s="457">
        <v>0</v>
      </c>
      <c r="L102" s="575">
        <f t="shared" si="128"/>
        <v>0</v>
      </c>
      <c r="M102" s="576">
        <f t="shared" si="129"/>
        <v>0</v>
      </c>
      <c r="N102" s="575">
        <f t="shared" si="130"/>
        <v>0</v>
      </c>
      <c r="O102" s="562"/>
      <c r="P102" s="455">
        <v>0</v>
      </c>
      <c r="Q102" s="458">
        <v>0</v>
      </c>
      <c r="R102" s="10"/>
      <c r="S102" s="155">
        <v>1020399</v>
      </c>
      <c r="T102" s="159" t="s">
        <v>132</v>
      </c>
      <c r="U102" s="487">
        <v>0</v>
      </c>
      <c r="V102" s="17">
        <f t="shared" si="116"/>
        <v>0</v>
      </c>
      <c r="W102" s="17">
        <f t="shared" si="116"/>
        <v>0</v>
      </c>
      <c r="X102" s="18">
        <f t="shared" si="117"/>
        <v>0</v>
      </c>
      <c r="Y102" s="21">
        <v>0</v>
      </c>
      <c r="Z102" s="457">
        <v>5352587</v>
      </c>
      <c r="AA102" s="18">
        <f t="shared" si="118"/>
        <v>5352587</v>
      </c>
      <c r="AB102" s="21">
        <v>0</v>
      </c>
      <c r="AC102" s="457">
        <v>5352587</v>
      </c>
      <c r="AD102" s="20">
        <f t="shared" si="119"/>
        <v>5352587</v>
      </c>
      <c r="AE102" s="21">
        <v>0</v>
      </c>
      <c r="AF102" s="457">
        <v>2570131</v>
      </c>
      <c r="AG102" s="18">
        <f t="shared" si="120"/>
        <v>2570131</v>
      </c>
      <c r="AH102" s="21">
        <f t="shared" si="121"/>
        <v>-5352587</v>
      </c>
      <c r="AI102" s="17">
        <f t="shared" si="122"/>
        <v>-5352587</v>
      </c>
      <c r="AJ102" s="18">
        <f t="shared" si="123"/>
        <v>-2570131</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
        <v>254</v>
      </c>
      <c r="B103" s="59" t="s">
        <v>498</v>
      </c>
      <c r="C103" s="455">
        <v>0</v>
      </c>
      <c r="D103" s="574">
        <f t="shared" si="125"/>
        <v>0</v>
      </c>
      <c r="E103" s="574">
        <f t="shared" si="125"/>
        <v>0</v>
      </c>
      <c r="F103" s="575">
        <f t="shared" si="126"/>
        <v>0</v>
      </c>
      <c r="G103" s="576">
        <v>0</v>
      </c>
      <c r="H103" s="457">
        <v>0</v>
      </c>
      <c r="I103" s="575">
        <f t="shared" si="127"/>
        <v>0</v>
      </c>
      <c r="J103" s="576">
        <v>0</v>
      </c>
      <c r="K103" s="457">
        <v>0</v>
      </c>
      <c r="L103" s="575">
        <f t="shared" si="128"/>
        <v>0</v>
      </c>
      <c r="M103" s="576">
        <f t="shared" si="129"/>
        <v>0</v>
      </c>
      <c r="N103" s="575">
        <f t="shared" si="130"/>
        <v>0</v>
      </c>
      <c r="O103" s="562"/>
      <c r="P103" s="455">
        <v>0</v>
      </c>
      <c r="Q103" s="458">
        <v>0</v>
      </c>
      <c r="R103" s="10"/>
      <c r="S103" s="448"/>
      <c r="T103" s="449"/>
      <c r="U103" s="193"/>
      <c r="V103" s="193"/>
      <c r="W103" s="193"/>
      <c r="X103" s="207"/>
      <c r="Y103" s="450"/>
      <c r="Z103" s="193"/>
      <c r="AA103" s="207"/>
      <c r="AB103" s="450"/>
      <c r="AC103" s="193"/>
      <c r="AD103" s="193"/>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220" t="s">
        <v>255</v>
      </c>
      <c r="B104" s="221" t="s">
        <v>499</v>
      </c>
      <c r="C104" s="455">
        <v>0</v>
      </c>
      <c r="D104" s="574">
        <f t="shared" si="125"/>
        <v>0</v>
      </c>
      <c r="E104" s="574">
        <f t="shared" si="125"/>
        <v>0</v>
      </c>
      <c r="F104" s="575">
        <f t="shared" si="126"/>
        <v>0</v>
      </c>
      <c r="G104" s="576">
        <v>0</v>
      </c>
      <c r="H104" s="457">
        <v>0</v>
      </c>
      <c r="I104" s="575">
        <f t="shared" si="127"/>
        <v>0</v>
      </c>
      <c r="J104" s="576">
        <v>0</v>
      </c>
      <c r="K104" s="457">
        <v>0</v>
      </c>
      <c r="L104" s="575">
        <f t="shared" si="128"/>
        <v>0</v>
      </c>
      <c r="M104" s="576">
        <f t="shared" si="129"/>
        <v>0</v>
      </c>
      <c r="N104" s="575">
        <f t="shared" si="130"/>
        <v>0</v>
      </c>
      <c r="O104" s="562"/>
      <c r="P104" s="455">
        <v>0</v>
      </c>
      <c r="Q104" s="458">
        <v>0</v>
      </c>
      <c r="R104" s="10"/>
      <c r="S104" s="34">
        <v>1020400</v>
      </c>
      <c r="T104" s="158" t="s">
        <v>187</v>
      </c>
      <c r="U104" s="157">
        <f t="shared" ref="U104:AJ104" si="131">U105+U108</f>
        <v>56393675</v>
      </c>
      <c r="V104" s="144">
        <f t="shared" si="131"/>
        <v>0</v>
      </c>
      <c r="W104" s="144">
        <f t="shared" si="131"/>
        <v>0</v>
      </c>
      <c r="X104" s="153">
        <f t="shared" si="131"/>
        <v>56393675</v>
      </c>
      <c r="Y104" s="151">
        <f t="shared" si="131"/>
        <v>0</v>
      </c>
      <c r="Z104" s="144">
        <f t="shared" si="131"/>
        <v>3770300</v>
      </c>
      <c r="AA104" s="153">
        <f t="shared" si="131"/>
        <v>3770300</v>
      </c>
      <c r="AB104" s="151">
        <f t="shared" si="131"/>
        <v>0</v>
      </c>
      <c r="AC104" s="144">
        <f t="shared" si="131"/>
        <v>3770300</v>
      </c>
      <c r="AD104" s="152">
        <f t="shared" si="131"/>
        <v>3770300</v>
      </c>
      <c r="AE104" s="151">
        <f t="shared" si="131"/>
        <v>0</v>
      </c>
      <c r="AF104" s="144">
        <f t="shared" si="131"/>
        <v>0</v>
      </c>
      <c r="AG104" s="153">
        <f t="shared" si="131"/>
        <v>0</v>
      </c>
      <c r="AH104" s="151">
        <f t="shared" si="131"/>
        <v>52623375</v>
      </c>
      <c r="AI104" s="144">
        <f t="shared" si="131"/>
        <v>52623375</v>
      </c>
      <c r="AJ104" s="153">
        <f t="shared" si="131"/>
        <v>56393675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220" t="s">
        <v>500</v>
      </c>
      <c r="B105" s="221" t="s">
        <v>591</v>
      </c>
      <c r="C105" s="455">
        <v>0</v>
      </c>
      <c r="D105" s="574">
        <f t="shared" si="125"/>
        <v>0</v>
      </c>
      <c r="E105" s="574">
        <f t="shared" si="125"/>
        <v>0</v>
      </c>
      <c r="F105" s="575">
        <f t="shared" si="126"/>
        <v>0</v>
      </c>
      <c r="G105" s="576">
        <v>0</v>
      </c>
      <c r="H105" s="457">
        <v>0</v>
      </c>
      <c r="I105" s="575">
        <f t="shared" si="127"/>
        <v>0</v>
      </c>
      <c r="J105" s="576">
        <v>0</v>
      </c>
      <c r="K105" s="457">
        <v>0</v>
      </c>
      <c r="L105" s="575">
        <f t="shared" si="128"/>
        <v>0</v>
      </c>
      <c r="M105" s="576">
        <f t="shared" si="129"/>
        <v>0</v>
      </c>
      <c r="N105" s="575">
        <f t="shared" si="130"/>
        <v>0</v>
      </c>
      <c r="O105" s="562"/>
      <c r="P105" s="455">
        <v>0</v>
      </c>
      <c r="Q105" s="458">
        <v>0</v>
      </c>
      <c r="R105" s="10"/>
      <c r="S105" s="155">
        <v>1020402</v>
      </c>
      <c r="T105" s="159" t="s">
        <v>175</v>
      </c>
      <c r="U105" s="19">
        <f t="shared" ref="U105:AJ105" si="132">SUM(U106:U107)</f>
        <v>56393675</v>
      </c>
      <c r="V105" s="17">
        <f t="shared" si="132"/>
        <v>0</v>
      </c>
      <c r="W105" s="17">
        <f t="shared" si="132"/>
        <v>0</v>
      </c>
      <c r="X105" s="18">
        <f t="shared" si="132"/>
        <v>56393675</v>
      </c>
      <c r="Y105" s="21">
        <f t="shared" si="132"/>
        <v>0</v>
      </c>
      <c r="Z105" s="169">
        <f t="shared" si="132"/>
        <v>3770300</v>
      </c>
      <c r="AA105" s="18">
        <f t="shared" si="132"/>
        <v>3770300</v>
      </c>
      <c r="AB105" s="21">
        <f t="shared" si="132"/>
        <v>0</v>
      </c>
      <c r="AC105" s="169">
        <f t="shared" si="132"/>
        <v>3770300</v>
      </c>
      <c r="AD105" s="20">
        <f t="shared" si="132"/>
        <v>3770300</v>
      </c>
      <c r="AE105" s="21">
        <f t="shared" si="132"/>
        <v>0</v>
      </c>
      <c r="AF105" s="169">
        <f t="shared" si="132"/>
        <v>0</v>
      </c>
      <c r="AG105" s="18">
        <f t="shared" si="132"/>
        <v>0</v>
      </c>
      <c r="AH105" s="21">
        <f t="shared" si="132"/>
        <v>52623375</v>
      </c>
      <c r="AI105" s="17">
        <f t="shared" si="132"/>
        <v>52623375</v>
      </c>
      <c r="AJ105" s="18">
        <f t="shared" si="132"/>
        <v>56393675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
        <v>255</v>
      </c>
      <c r="B106" s="578" t="s">
        <v>132</v>
      </c>
      <c r="C106" s="471">
        <v>0</v>
      </c>
      <c r="D106" s="564">
        <f t="shared" si="125"/>
        <v>0</v>
      </c>
      <c r="E106" s="564">
        <f t="shared" si="125"/>
        <v>0</v>
      </c>
      <c r="F106" s="565">
        <f t="shared" si="126"/>
        <v>0</v>
      </c>
      <c r="G106" s="566">
        <v>0</v>
      </c>
      <c r="H106" s="475">
        <v>0</v>
      </c>
      <c r="I106" s="565">
        <f t="shared" si="127"/>
        <v>0</v>
      </c>
      <c r="J106" s="566">
        <v>0</v>
      </c>
      <c r="K106" s="475">
        <v>0</v>
      </c>
      <c r="L106" s="565">
        <f t="shared" si="128"/>
        <v>0</v>
      </c>
      <c r="M106" s="566">
        <f t="shared" si="129"/>
        <v>0</v>
      </c>
      <c r="N106" s="565">
        <f t="shared" si="130"/>
        <v>0</v>
      </c>
      <c r="O106" s="562"/>
      <c r="P106" s="471">
        <v>0</v>
      </c>
      <c r="Q106" s="476">
        <v>0</v>
      </c>
      <c r="R106" s="10"/>
      <c r="S106" s="156" t="s">
        <v>256</v>
      </c>
      <c r="T106" s="55" t="s">
        <v>442</v>
      </c>
      <c r="U106" s="487">
        <v>22557470</v>
      </c>
      <c r="V106" s="17">
        <f t="shared" ref="V106:W108" si="133">AL106</f>
        <v>0</v>
      </c>
      <c r="W106" s="17">
        <f t="shared" si="133"/>
        <v>0</v>
      </c>
      <c r="X106" s="18">
        <f>SUM(U106:W106)</f>
        <v>22557470</v>
      </c>
      <c r="Y106" s="21">
        <v>0</v>
      </c>
      <c r="Z106" s="457">
        <v>1586500</v>
      </c>
      <c r="AA106" s="18">
        <f>SUM(Y106:Z106)</f>
        <v>1586500</v>
      </c>
      <c r="AB106" s="21">
        <v>0</v>
      </c>
      <c r="AC106" s="457">
        <v>1586500</v>
      </c>
      <c r="AD106" s="20">
        <f>SUM(AB106:AC106)</f>
        <v>1586500</v>
      </c>
      <c r="AE106" s="21">
        <v>0</v>
      </c>
      <c r="AF106" s="457">
        <v>0</v>
      </c>
      <c r="AG106" s="18">
        <f>SUM(AE106:AF106)</f>
        <v>0</v>
      </c>
      <c r="AH106" s="21">
        <f>X106-AA106</f>
        <v>20970970</v>
      </c>
      <c r="AI106" s="17">
        <f>X106-AD106</f>
        <v>20970970</v>
      </c>
      <c r="AJ106" s="18">
        <f>X106-AG106</f>
        <v>22557470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
        <v>257</v>
      </c>
      <c r="T107" s="55" t="s">
        <v>443</v>
      </c>
      <c r="U107" s="487">
        <v>33836205</v>
      </c>
      <c r="V107" s="17">
        <f t="shared" si="133"/>
        <v>0</v>
      </c>
      <c r="W107" s="17">
        <f t="shared" si="133"/>
        <v>0</v>
      </c>
      <c r="X107" s="18">
        <f>SUM(U107:W107)</f>
        <v>33836205</v>
      </c>
      <c r="Y107" s="21">
        <v>0</v>
      </c>
      <c r="Z107" s="457">
        <v>2183800</v>
      </c>
      <c r="AA107" s="18">
        <f>SUM(Y107:Z107)</f>
        <v>2183800</v>
      </c>
      <c r="AB107" s="21">
        <v>0</v>
      </c>
      <c r="AC107" s="457">
        <v>2183800</v>
      </c>
      <c r="AD107" s="20">
        <f>SUM(AB107:AC107)</f>
        <v>2183800</v>
      </c>
      <c r="AE107" s="21">
        <v>0</v>
      </c>
      <c r="AF107" s="457">
        <v>0</v>
      </c>
      <c r="AG107" s="18">
        <f>SUM(AE107:AF107)</f>
        <v>0</v>
      </c>
      <c r="AH107" s="21">
        <f>X107-AA107</f>
        <v>31652405</v>
      </c>
      <c r="AI107" s="17">
        <f>X107-AD107</f>
        <v>31652405</v>
      </c>
      <c r="AJ107" s="18">
        <f>X107-AG107</f>
        <v>33836205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v>2000</v>
      </c>
      <c r="B108" s="434" t="s">
        <v>100</v>
      </c>
      <c r="C108" s="580">
        <f t="shared" ref="C108:N108" si="134">SUM(C109:C117)</f>
        <v>1452387</v>
      </c>
      <c r="D108" s="581">
        <f t="shared" si="134"/>
        <v>0</v>
      </c>
      <c r="E108" s="581">
        <f t="shared" si="134"/>
        <v>0</v>
      </c>
      <c r="F108" s="582">
        <f t="shared" si="134"/>
        <v>1452387</v>
      </c>
      <c r="G108" s="215">
        <f t="shared" si="134"/>
        <v>0</v>
      </c>
      <c r="H108" s="435">
        <f t="shared" si="134"/>
        <v>375465</v>
      </c>
      <c r="I108" s="437">
        <f t="shared" si="134"/>
        <v>375465</v>
      </c>
      <c r="J108" s="215">
        <f t="shared" si="134"/>
        <v>0</v>
      </c>
      <c r="K108" s="435">
        <f t="shared" si="134"/>
        <v>375465</v>
      </c>
      <c r="L108" s="216">
        <f t="shared" si="134"/>
        <v>375465</v>
      </c>
      <c r="M108" s="436">
        <f t="shared" si="134"/>
        <v>1076922</v>
      </c>
      <c r="N108" s="216">
        <f t="shared" si="134"/>
        <v>1076922</v>
      </c>
      <c r="O108" s="562"/>
      <c r="P108" s="215">
        <f>SUM(P109:P117)</f>
        <v>0</v>
      </c>
      <c r="Q108" s="216">
        <f>SUM(Q109:Q117)</f>
        <v>0</v>
      </c>
      <c r="R108" s="10"/>
      <c r="S108" s="155">
        <v>1020499</v>
      </c>
      <c r="T108" s="159" t="s">
        <v>132</v>
      </c>
      <c r="U108" s="487">
        <v>0</v>
      </c>
      <c r="V108" s="17">
        <f t="shared" si="133"/>
        <v>0</v>
      </c>
      <c r="W108" s="17">
        <f t="shared" si="133"/>
        <v>0</v>
      </c>
      <c r="X108" s="18">
        <f>SUM(U108:W108)</f>
        <v>0</v>
      </c>
      <c r="Y108" s="21">
        <v>0</v>
      </c>
      <c r="Z108" s="457">
        <v>0</v>
      </c>
      <c r="AA108" s="18">
        <f>SUM(Y108:Z108)</f>
        <v>0</v>
      </c>
      <c r="AB108" s="21">
        <v>0</v>
      </c>
      <c r="AC108" s="457">
        <v>0</v>
      </c>
      <c r="AD108" s="20">
        <f>SUM(AB108:AC108)</f>
        <v>0</v>
      </c>
      <c r="AE108" s="21">
        <v>0</v>
      </c>
      <c r="AF108" s="457">
        <v>0</v>
      </c>
      <c r="AG108" s="18">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v>2100</v>
      </c>
      <c r="B109" s="250" t="s">
        <v>415</v>
      </c>
      <c r="C109" s="583">
        <v>0</v>
      </c>
      <c r="D109" s="574">
        <f t="shared" ref="D109:D119" si="135">P109</f>
        <v>0</v>
      </c>
      <c r="E109" s="574">
        <f t="shared" ref="E109:E119" si="136">Q109</f>
        <v>0</v>
      </c>
      <c r="F109" s="584">
        <f t="shared" ref="F109:F119" si="137">SUM(C109:E109)</f>
        <v>0</v>
      </c>
      <c r="G109" s="576">
        <v>0</v>
      </c>
      <c r="H109" s="457">
        <v>0</v>
      </c>
      <c r="I109" s="584">
        <f t="shared" ref="I109:I119" si="138">SUM(G109:H109)</f>
        <v>0</v>
      </c>
      <c r="J109" s="576">
        <v>0</v>
      </c>
      <c r="K109" s="457">
        <v>0</v>
      </c>
      <c r="L109" s="575">
        <f t="shared" ref="L109:L119" si="139">SUM(J109:K109)</f>
        <v>0</v>
      </c>
      <c r="M109" s="585">
        <f t="shared" ref="M109:M119" si="140">F109-I109</f>
        <v>0</v>
      </c>
      <c r="N109" s="575">
        <f t="shared" ref="N109:N119" si="141">F109-L109</f>
        <v>0</v>
      </c>
      <c r="O109" s="562"/>
      <c r="P109" s="455">
        <v>0</v>
      </c>
      <c r="Q109" s="458">
        <v>0</v>
      </c>
      <c r="R109" s="10"/>
      <c r="S109" s="448"/>
      <c r="T109" s="449"/>
      <c r="U109" s="193"/>
      <c r="V109" s="193"/>
      <c r="W109" s="193"/>
      <c r="X109" s="207"/>
      <c r="Y109" s="450"/>
      <c r="Z109" s="193"/>
      <c r="AA109" s="207"/>
      <c r="AB109" s="450"/>
      <c r="AC109" s="193"/>
      <c r="AD109" s="193"/>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
        <v>258</v>
      </c>
      <c r="B110" s="587" t="s">
        <v>482</v>
      </c>
      <c r="C110" s="583">
        <v>0</v>
      </c>
      <c r="D110" s="574">
        <f t="shared" si="135"/>
        <v>0</v>
      </c>
      <c r="E110" s="574">
        <f t="shared" si="136"/>
        <v>0</v>
      </c>
      <c r="F110" s="584">
        <f t="shared" si="137"/>
        <v>0</v>
      </c>
      <c r="G110" s="576">
        <v>0</v>
      </c>
      <c r="H110" s="457">
        <v>0</v>
      </c>
      <c r="I110" s="584">
        <f t="shared" si="138"/>
        <v>0</v>
      </c>
      <c r="J110" s="576">
        <v>0</v>
      </c>
      <c r="K110" s="457">
        <v>0</v>
      </c>
      <c r="L110" s="575">
        <f t="shared" si="139"/>
        <v>0</v>
      </c>
      <c r="M110" s="585">
        <f t="shared" si="140"/>
        <v>0</v>
      </c>
      <c r="N110" s="575">
        <f t="shared" si="141"/>
        <v>0</v>
      </c>
      <c r="O110" s="562"/>
      <c r="P110" s="455">
        <v>0</v>
      </c>
      <c r="Q110" s="458">
        <v>0</v>
      </c>
      <c r="R110" s="10"/>
      <c r="S110" s="469">
        <v>2000000</v>
      </c>
      <c r="T110" s="588" t="s">
        <v>260</v>
      </c>
      <c r="U110" s="589">
        <f t="shared" ref="U110:AJ110" si="142">U112+U145</f>
        <v>576550123</v>
      </c>
      <c r="V110" s="590">
        <f t="shared" si="142"/>
        <v>0</v>
      </c>
      <c r="W110" s="590">
        <f t="shared" si="142"/>
        <v>0</v>
      </c>
      <c r="X110" s="465">
        <f t="shared" si="142"/>
        <v>576550123</v>
      </c>
      <c r="Y110" s="464">
        <f t="shared" si="142"/>
        <v>0</v>
      </c>
      <c r="Z110" s="590">
        <f t="shared" si="142"/>
        <v>70185131</v>
      </c>
      <c r="AA110" s="465">
        <f t="shared" si="142"/>
        <v>70185131</v>
      </c>
      <c r="AB110" s="464">
        <f t="shared" si="142"/>
        <v>0</v>
      </c>
      <c r="AC110" s="590">
        <f t="shared" si="142"/>
        <v>70185131</v>
      </c>
      <c r="AD110" s="591">
        <f t="shared" si="142"/>
        <v>70185131</v>
      </c>
      <c r="AE110" s="464">
        <f t="shared" si="142"/>
        <v>0</v>
      </c>
      <c r="AF110" s="590">
        <f t="shared" si="142"/>
        <v>11183470</v>
      </c>
      <c r="AG110" s="465">
        <f t="shared" si="142"/>
        <v>11183470</v>
      </c>
      <c r="AH110" s="464">
        <f t="shared" si="142"/>
        <v>506364992</v>
      </c>
      <c r="AI110" s="590">
        <f t="shared" si="142"/>
        <v>506364992</v>
      </c>
      <c r="AJ110" s="465">
        <f t="shared" si="142"/>
        <v>565366653</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v>2200</v>
      </c>
      <c r="B111" s="250" t="s">
        <v>416</v>
      </c>
      <c r="C111" s="583">
        <v>0</v>
      </c>
      <c r="D111" s="574">
        <f t="shared" si="135"/>
        <v>0</v>
      </c>
      <c r="E111" s="574">
        <f t="shared" si="136"/>
        <v>0</v>
      </c>
      <c r="F111" s="584">
        <f t="shared" si="137"/>
        <v>0</v>
      </c>
      <c r="G111" s="576">
        <v>0</v>
      </c>
      <c r="H111" s="457">
        <v>0</v>
      </c>
      <c r="I111" s="584">
        <f t="shared" si="138"/>
        <v>0</v>
      </c>
      <c r="J111" s="576">
        <v>0</v>
      </c>
      <c r="K111" s="457">
        <v>0</v>
      </c>
      <c r="L111" s="575">
        <f t="shared" si="139"/>
        <v>0</v>
      </c>
      <c r="M111" s="585">
        <f t="shared" si="140"/>
        <v>0</v>
      </c>
      <c r="N111" s="575">
        <f t="shared" si="141"/>
        <v>0</v>
      </c>
      <c r="O111" s="562"/>
      <c r="P111" s="455">
        <v>0</v>
      </c>
      <c r="Q111" s="458">
        <v>0</v>
      </c>
      <c r="R111" s="10"/>
      <c r="S111" s="448"/>
      <c r="T111" s="449"/>
      <c r="U111" s="193"/>
      <c r="V111" s="193"/>
      <c r="W111" s="193"/>
      <c r="X111" s="207"/>
      <c r="Y111" s="450"/>
      <c r="Z111" s="193"/>
      <c r="AA111" s="207"/>
      <c r="AB111" s="450"/>
      <c r="AC111" s="193"/>
      <c r="AD111" s="193"/>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
        <v>259</v>
      </c>
      <c r="B112" s="587" t="s">
        <v>482</v>
      </c>
      <c r="C112" s="583">
        <v>0</v>
      </c>
      <c r="D112" s="574">
        <f t="shared" si="135"/>
        <v>0</v>
      </c>
      <c r="E112" s="574">
        <f t="shared" si="136"/>
        <v>0</v>
      </c>
      <c r="F112" s="584">
        <f t="shared" si="137"/>
        <v>0</v>
      </c>
      <c r="G112" s="576">
        <v>0</v>
      </c>
      <c r="H112" s="457">
        <v>0</v>
      </c>
      <c r="I112" s="584">
        <f t="shared" si="138"/>
        <v>0</v>
      </c>
      <c r="J112" s="576">
        <v>0</v>
      </c>
      <c r="K112" s="457">
        <v>0</v>
      </c>
      <c r="L112" s="575">
        <f t="shared" si="139"/>
        <v>0</v>
      </c>
      <c r="M112" s="585">
        <f t="shared" si="140"/>
        <v>0</v>
      </c>
      <c r="N112" s="575">
        <f t="shared" si="141"/>
        <v>0</v>
      </c>
      <c r="O112" s="562"/>
      <c r="P112" s="455">
        <v>0</v>
      </c>
      <c r="Q112" s="458">
        <v>0</v>
      </c>
      <c r="R112" s="10"/>
      <c r="S112" s="469">
        <v>2010000</v>
      </c>
      <c r="T112" s="470" t="s">
        <v>66</v>
      </c>
      <c r="U112" s="157">
        <f t="shared" ref="U112:AJ112" si="143">U114+U123+U141</f>
        <v>198386660</v>
      </c>
      <c r="V112" s="144">
        <f t="shared" si="143"/>
        <v>0</v>
      </c>
      <c r="W112" s="144">
        <f t="shared" si="143"/>
        <v>0</v>
      </c>
      <c r="X112" s="153">
        <f t="shared" si="143"/>
        <v>198386660</v>
      </c>
      <c r="Y112" s="151">
        <f t="shared" si="143"/>
        <v>0</v>
      </c>
      <c r="Z112" s="144">
        <f t="shared" si="143"/>
        <v>30850094</v>
      </c>
      <c r="AA112" s="153">
        <f t="shared" si="143"/>
        <v>30850094</v>
      </c>
      <c r="AB112" s="151">
        <f t="shared" si="143"/>
        <v>0</v>
      </c>
      <c r="AC112" s="144">
        <f t="shared" si="143"/>
        <v>30850094</v>
      </c>
      <c r="AD112" s="152">
        <f t="shared" si="143"/>
        <v>30850094</v>
      </c>
      <c r="AE112" s="151">
        <f t="shared" si="143"/>
        <v>0</v>
      </c>
      <c r="AF112" s="144">
        <f t="shared" si="143"/>
        <v>9039304</v>
      </c>
      <c r="AG112" s="153">
        <f t="shared" si="143"/>
        <v>9039304</v>
      </c>
      <c r="AH112" s="151">
        <f t="shared" si="143"/>
        <v>167536566</v>
      </c>
      <c r="AI112" s="144">
        <f t="shared" si="143"/>
        <v>167536566</v>
      </c>
      <c r="AJ112" s="153">
        <f t="shared" si="143"/>
        <v>189347356</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v>2300</v>
      </c>
      <c r="B113" s="250" t="s">
        <v>417</v>
      </c>
      <c r="C113" s="583">
        <v>305317</v>
      </c>
      <c r="D113" s="574">
        <f t="shared" si="135"/>
        <v>0</v>
      </c>
      <c r="E113" s="574">
        <f t="shared" si="136"/>
        <v>0</v>
      </c>
      <c r="F113" s="584">
        <f t="shared" si="137"/>
        <v>305317</v>
      </c>
      <c r="G113" s="576">
        <v>0</v>
      </c>
      <c r="H113" s="457">
        <v>38797</v>
      </c>
      <c r="I113" s="584">
        <f t="shared" si="138"/>
        <v>38797</v>
      </c>
      <c r="J113" s="576">
        <v>0</v>
      </c>
      <c r="K113" s="457">
        <v>38797</v>
      </c>
      <c r="L113" s="575">
        <f t="shared" si="139"/>
        <v>38797</v>
      </c>
      <c r="M113" s="585">
        <f t="shared" si="140"/>
        <v>266520</v>
      </c>
      <c r="N113" s="575">
        <f t="shared" si="141"/>
        <v>266520</v>
      </c>
      <c r="O113" s="562"/>
      <c r="P113" s="455">
        <v>0</v>
      </c>
      <c r="Q113" s="458">
        <v>0</v>
      </c>
      <c r="R113" s="10"/>
      <c r="S113" s="448"/>
      <c r="T113" s="449"/>
      <c r="U113" s="193"/>
      <c r="V113" s="193"/>
      <c r="W113" s="193"/>
      <c r="X113" s="207"/>
      <c r="Y113" s="450"/>
      <c r="Z113" s="193"/>
      <c r="AA113" s="207"/>
      <c r="AB113" s="450"/>
      <c r="AC113" s="193"/>
      <c r="AD113" s="193"/>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v>2400</v>
      </c>
      <c r="B114" s="251" t="s">
        <v>418</v>
      </c>
      <c r="C114" s="583">
        <v>0</v>
      </c>
      <c r="D114" s="574">
        <f t="shared" si="135"/>
        <v>0</v>
      </c>
      <c r="E114" s="574">
        <f t="shared" si="136"/>
        <v>0</v>
      </c>
      <c r="F114" s="584">
        <f t="shared" si="137"/>
        <v>0</v>
      </c>
      <c r="G114" s="283">
        <v>0</v>
      </c>
      <c r="H114" s="457">
        <v>0</v>
      </c>
      <c r="I114" s="593">
        <f t="shared" si="138"/>
        <v>0</v>
      </c>
      <c r="J114" s="283">
        <v>0</v>
      </c>
      <c r="K114" s="457">
        <v>0</v>
      </c>
      <c r="L114" s="170">
        <f t="shared" si="139"/>
        <v>0</v>
      </c>
      <c r="M114" s="535">
        <f t="shared" si="140"/>
        <v>0</v>
      </c>
      <c r="N114" s="170">
        <f t="shared" si="141"/>
        <v>0</v>
      </c>
      <c r="O114" s="562"/>
      <c r="P114" s="455">
        <v>0</v>
      </c>
      <c r="Q114" s="458">
        <v>0</v>
      </c>
      <c r="R114" s="10"/>
      <c r="S114" s="34">
        <v>2010100</v>
      </c>
      <c r="T114" s="158" t="s">
        <v>261</v>
      </c>
      <c r="U114" s="157">
        <f t="shared" ref="U114:AJ114" si="144">SUM(U115:U121)</f>
        <v>67419307</v>
      </c>
      <c r="V114" s="144">
        <f t="shared" si="144"/>
        <v>0</v>
      </c>
      <c r="W114" s="144">
        <f t="shared" si="144"/>
        <v>0</v>
      </c>
      <c r="X114" s="153">
        <f t="shared" si="144"/>
        <v>67419307</v>
      </c>
      <c r="Y114" s="151">
        <f t="shared" si="144"/>
        <v>0</v>
      </c>
      <c r="Z114" s="144">
        <f t="shared" si="144"/>
        <v>7754980</v>
      </c>
      <c r="AA114" s="153">
        <f t="shared" si="144"/>
        <v>7754980</v>
      </c>
      <c r="AB114" s="151">
        <f t="shared" si="144"/>
        <v>0</v>
      </c>
      <c r="AC114" s="144">
        <f t="shared" si="144"/>
        <v>7754980</v>
      </c>
      <c r="AD114" s="152">
        <f t="shared" si="144"/>
        <v>7754980</v>
      </c>
      <c r="AE114" s="151">
        <f t="shared" si="144"/>
        <v>0</v>
      </c>
      <c r="AF114" s="144">
        <f t="shared" si="144"/>
        <v>0</v>
      </c>
      <c r="AG114" s="153">
        <f t="shared" si="144"/>
        <v>0</v>
      </c>
      <c r="AH114" s="151">
        <f t="shared" si="144"/>
        <v>59664327</v>
      </c>
      <c r="AI114" s="144">
        <f t="shared" si="144"/>
        <v>59664327</v>
      </c>
      <c r="AJ114" s="153">
        <f t="shared" si="144"/>
        <v>67419307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v>2500</v>
      </c>
      <c r="B115" s="251" t="s">
        <v>419</v>
      </c>
      <c r="C115" s="583">
        <v>0</v>
      </c>
      <c r="D115" s="574">
        <f t="shared" si="135"/>
        <v>0</v>
      </c>
      <c r="E115" s="574">
        <f t="shared" si="136"/>
        <v>0</v>
      </c>
      <c r="F115" s="584">
        <f t="shared" si="137"/>
        <v>0</v>
      </c>
      <c r="G115" s="283">
        <v>0</v>
      </c>
      <c r="H115" s="457">
        <v>0</v>
      </c>
      <c r="I115" s="593">
        <f t="shared" si="138"/>
        <v>0</v>
      </c>
      <c r="J115" s="283">
        <v>0</v>
      </c>
      <c r="K115" s="457">
        <v>0</v>
      </c>
      <c r="L115" s="170">
        <f t="shared" si="139"/>
        <v>0</v>
      </c>
      <c r="M115" s="535">
        <f t="shared" si="140"/>
        <v>0</v>
      </c>
      <c r="N115" s="170">
        <f t="shared" si="141"/>
        <v>0</v>
      </c>
      <c r="P115" s="455">
        <v>0</v>
      </c>
      <c r="Q115" s="458">
        <v>0</v>
      </c>
      <c r="R115" s="10"/>
      <c r="S115" s="155" t="s">
        <v>262</v>
      </c>
      <c r="T115" s="159" t="s">
        <v>263</v>
      </c>
      <c r="U115" s="487">
        <v>42018487</v>
      </c>
      <c r="V115" s="17">
        <f t="shared" ref="V115:W121" si="145">AL115</f>
        <v>0</v>
      </c>
      <c r="W115" s="17">
        <f t="shared" si="145"/>
        <v>0</v>
      </c>
      <c r="X115" s="18">
        <f t="shared" ref="X115:X121" si="146">SUM(U115:W115)</f>
        <v>42018487</v>
      </c>
      <c r="Y115" s="21">
        <v>0</v>
      </c>
      <c r="Z115" s="457">
        <v>3045040</v>
      </c>
      <c r="AA115" s="18">
        <f t="shared" ref="AA115:AA121" si="147">SUM(Y115:Z115)</f>
        <v>3045040</v>
      </c>
      <c r="AB115" s="21">
        <v>0</v>
      </c>
      <c r="AC115" s="457">
        <v>3045040</v>
      </c>
      <c r="AD115" s="20">
        <f t="shared" ref="AD115:AD121" si="148">SUM(AB115:AC115)</f>
        <v>3045040</v>
      </c>
      <c r="AE115" s="21">
        <v>0</v>
      </c>
      <c r="AF115" s="457">
        <v>0</v>
      </c>
      <c r="AG115" s="18">
        <f t="shared" ref="AG115:AG121" si="149">SUM(AE115:AF115)</f>
        <v>0</v>
      </c>
      <c r="AH115" s="21">
        <f t="shared" ref="AH115:AH121" si="150">X115-AA115</f>
        <v>38973447</v>
      </c>
      <c r="AI115" s="17">
        <f t="shared" ref="AI115:AI121" si="151">X115-AD115</f>
        <v>38973447</v>
      </c>
      <c r="AJ115" s="18">
        <f t="shared" ref="AJ115:AJ121" si="152">X115-AG115</f>
        <v>42018487</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v>2600</v>
      </c>
      <c r="B116" s="251" t="str">
        <f>+CONCATENATE("RECUPERACIÓN DE CARTERA (AÑO ",INSTRUCCIONES!F3-2," Y ANTERIORES)")</f>
        <v>RECUPERACIÓN DE CARTERA (AÑO 2012 Y ANTERIORES)</v>
      </c>
      <c r="C116" s="583">
        <v>1147070</v>
      </c>
      <c r="D116" s="574">
        <f t="shared" si="135"/>
        <v>0</v>
      </c>
      <c r="E116" s="574">
        <f t="shared" si="136"/>
        <v>0</v>
      </c>
      <c r="F116" s="584">
        <f t="shared" si="137"/>
        <v>1147070</v>
      </c>
      <c r="G116" s="283">
        <v>0</v>
      </c>
      <c r="H116" s="457">
        <v>336668</v>
      </c>
      <c r="I116" s="593">
        <f t="shared" si="138"/>
        <v>336668</v>
      </c>
      <c r="J116" s="283">
        <v>0</v>
      </c>
      <c r="K116" s="457">
        <v>336668</v>
      </c>
      <c r="L116" s="170">
        <f t="shared" si="139"/>
        <v>336668</v>
      </c>
      <c r="M116" s="535">
        <f t="shared" si="140"/>
        <v>810402</v>
      </c>
      <c r="N116" s="170">
        <f t="shared" si="141"/>
        <v>810402</v>
      </c>
      <c r="P116" s="455">
        <v>0</v>
      </c>
      <c r="Q116" s="458">
        <v>0</v>
      </c>
      <c r="R116" s="10"/>
      <c r="S116" s="155" t="s">
        <v>265</v>
      </c>
      <c r="T116" s="159" t="s">
        <v>266</v>
      </c>
      <c r="U116" s="487">
        <v>23400820</v>
      </c>
      <c r="V116" s="17">
        <f t="shared" si="145"/>
        <v>0</v>
      </c>
      <c r="W116" s="17">
        <f t="shared" si="145"/>
        <v>0</v>
      </c>
      <c r="X116" s="18">
        <f t="shared" si="146"/>
        <v>23400820</v>
      </c>
      <c r="Y116" s="21">
        <v>0</v>
      </c>
      <c r="Z116" s="457">
        <v>1313508</v>
      </c>
      <c r="AA116" s="18">
        <f t="shared" si="147"/>
        <v>1313508</v>
      </c>
      <c r="AB116" s="21">
        <v>0</v>
      </c>
      <c r="AC116" s="457">
        <v>1313508</v>
      </c>
      <c r="AD116" s="20">
        <f t="shared" si="148"/>
        <v>1313508</v>
      </c>
      <c r="AE116" s="21">
        <v>0</v>
      </c>
      <c r="AF116" s="457">
        <v>0</v>
      </c>
      <c r="AG116" s="18">
        <f t="shared" si="149"/>
        <v>0</v>
      </c>
      <c r="AH116" s="21">
        <f t="shared" si="150"/>
        <v>22087312</v>
      </c>
      <c r="AI116" s="17">
        <f t="shared" si="151"/>
        <v>22087312</v>
      </c>
      <c r="AJ116" s="18">
        <f t="shared" si="152"/>
        <v>23400820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v>2700</v>
      </c>
      <c r="B117" s="251" t="s">
        <v>420</v>
      </c>
      <c r="C117" s="280">
        <f>SUM(C118:C119)</f>
        <v>0</v>
      </c>
      <c r="D117" s="574">
        <f t="shared" ref="D117:Q117" si="153">SUM(D118:D119)</f>
        <v>0</v>
      </c>
      <c r="E117" s="574">
        <f t="shared" si="153"/>
        <v>0</v>
      </c>
      <c r="F117" s="584">
        <f t="shared" si="153"/>
        <v>0</v>
      </c>
      <c r="G117" s="283">
        <f t="shared" si="153"/>
        <v>0</v>
      </c>
      <c r="H117" s="456">
        <f t="shared" si="153"/>
        <v>0</v>
      </c>
      <c r="I117" s="593">
        <f t="shared" si="153"/>
        <v>0</v>
      </c>
      <c r="J117" s="283">
        <f t="shared" si="153"/>
        <v>0</v>
      </c>
      <c r="K117" s="456">
        <f t="shared" si="153"/>
        <v>0</v>
      </c>
      <c r="L117" s="170">
        <f t="shared" si="153"/>
        <v>0</v>
      </c>
      <c r="M117" s="535">
        <f t="shared" si="153"/>
        <v>0</v>
      </c>
      <c r="N117" s="170">
        <f t="shared" si="153"/>
        <v>0</v>
      </c>
      <c r="P117" s="283">
        <f t="shared" si="153"/>
        <v>0</v>
      </c>
      <c r="Q117" s="170">
        <f t="shared" si="153"/>
        <v>0</v>
      </c>
      <c r="R117" s="10"/>
      <c r="S117" s="155" t="s">
        <v>268</v>
      </c>
      <c r="T117" s="159" t="s">
        <v>269</v>
      </c>
      <c r="U117" s="487">
        <v>0</v>
      </c>
      <c r="V117" s="17">
        <f t="shared" si="145"/>
        <v>0</v>
      </c>
      <c r="W117" s="17">
        <f t="shared" si="145"/>
        <v>0</v>
      </c>
      <c r="X117" s="18">
        <f t="shared" si="146"/>
        <v>0</v>
      </c>
      <c r="Y117" s="21">
        <v>0</v>
      </c>
      <c r="Z117" s="457">
        <v>0</v>
      </c>
      <c r="AA117" s="18">
        <f t="shared" si="147"/>
        <v>0</v>
      </c>
      <c r="AB117" s="21">
        <v>0</v>
      </c>
      <c r="AC117" s="457">
        <v>0</v>
      </c>
      <c r="AD117" s="20">
        <f t="shared" si="148"/>
        <v>0</v>
      </c>
      <c r="AE117" s="21">
        <v>0</v>
      </c>
      <c r="AF117" s="457">
        <v>0</v>
      </c>
      <c r="AG117" s="18">
        <f t="shared" si="149"/>
        <v>0</v>
      </c>
      <c r="AH117" s="21">
        <f t="shared" si="150"/>
        <v>0</v>
      </c>
      <c r="AI117" s="17">
        <f t="shared" si="151"/>
        <v>0</v>
      </c>
      <c r="AJ117" s="18">
        <f t="shared" si="152"/>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200" t="s">
        <v>516</v>
      </c>
      <c r="B118" s="252" t="s">
        <v>518</v>
      </c>
      <c r="C118" s="583">
        <v>0</v>
      </c>
      <c r="D118" s="574">
        <f t="shared" si="135"/>
        <v>0</v>
      </c>
      <c r="E118" s="574">
        <f t="shared" si="136"/>
        <v>0</v>
      </c>
      <c r="F118" s="584">
        <f t="shared" si="137"/>
        <v>0</v>
      </c>
      <c r="G118" s="283">
        <v>0</v>
      </c>
      <c r="H118" s="457">
        <v>0</v>
      </c>
      <c r="I118" s="593">
        <f t="shared" si="138"/>
        <v>0</v>
      </c>
      <c r="J118" s="283">
        <v>0</v>
      </c>
      <c r="K118" s="457">
        <v>0</v>
      </c>
      <c r="L118" s="170">
        <f t="shared" si="139"/>
        <v>0</v>
      </c>
      <c r="M118" s="535">
        <f t="shared" si="140"/>
        <v>0</v>
      </c>
      <c r="N118" s="170">
        <f t="shared" si="141"/>
        <v>0</v>
      </c>
      <c r="P118" s="455">
        <v>0</v>
      </c>
      <c r="Q118" s="458">
        <v>0</v>
      </c>
      <c r="R118" s="10"/>
      <c r="S118" s="155" t="s">
        <v>271</v>
      </c>
      <c r="T118" s="174"/>
      <c r="U118" s="487">
        <v>0</v>
      </c>
      <c r="V118" s="17">
        <f t="shared" si="145"/>
        <v>0</v>
      </c>
      <c r="W118" s="17">
        <f t="shared" si="145"/>
        <v>0</v>
      </c>
      <c r="X118" s="18">
        <f t="shared" si="146"/>
        <v>0</v>
      </c>
      <c r="Y118" s="21">
        <v>0</v>
      </c>
      <c r="Z118" s="457">
        <v>0</v>
      </c>
      <c r="AA118" s="18">
        <f t="shared" si="147"/>
        <v>0</v>
      </c>
      <c r="AB118" s="21">
        <v>0</v>
      </c>
      <c r="AC118" s="457">
        <v>0</v>
      </c>
      <c r="AD118" s="20">
        <f t="shared" si="148"/>
        <v>0</v>
      </c>
      <c r="AE118" s="21">
        <v>0</v>
      </c>
      <c r="AF118" s="457">
        <v>0</v>
      </c>
      <c r="AG118" s="18">
        <f t="shared" si="149"/>
        <v>0</v>
      </c>
      <c r="AH118" s="21">
        <f t="shared" si="150"/>
        <v>0</v>
      </c>
      <c r="AI118" s="17">
        <f t="shared" si="151"/>
        <v>0</v>
      </c>
      <c r="AJ118" s="18">
        <f t="shared" si="152"/>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282" t="s">
        <v>517</v>
      </c>
      <c r="B119" s="254" t="s">
        <v>82</v>
      </c>
      <c r="C119" s="594">
        <v>0</v>
      </c>
      <c r="D119" s="564">
        <f t="shared" si="135"/>
        <v>0</v>
      </c>
      <c r="E119" s="564">
        <f t="shared" si="136"/>
        <v>0</v>
      </c>
      <c r="F119" s="595">
        <f t="shared" si="137"/>
        <v>0</v>
      </c>
      <c r="G119" s="474">
        <v>0</v>
      </c>
      <c r="H119" s="475">
        <v>0</v>
      </c>
      <c r="I119" s="596">
        <f t="shared" si="138"/>
        <v>0</v>
      </c>
      <c r="J119" s="474">
        <v>0</v>
      </c>
      <c r="K119" s="475">
        <v>0</v>
      </c>
      <c r="L119" s="473">
        <f t="shared" si="139"/>
        <v>0</v>
      </c>
      <c r="M119" s="597">
        <f t="shared" si="140"/>
        <v>0</v>
      </c>
      <c r="N119" s="473">
        <f t="shared" si="141"/>
        <v>0</v>
      </c>
      <c r="P119" s="471">
        <v>0</v>
      </c>
      <c r="Q119" s="476">
        <v>0</v>
      </c>
      <c r="R119" s="10"/>
      <c r="S119" s="155" t="s">
        <v>272</v>
      </c>
      <c r="T119" s="174"/>
      <c r="U119" s="487">
        <v>0</v>
      </c>
      <c r="V119" s="17">
        <f t="shared" si="145"/>
        <v>0</v>
      </c>
      <c r="W119" s="17">
        <f t="shared" si="145"/>
        <v>0</v>
      </c>
      <c r="X119" s="18">
        <f t="shared" si="146"/>
        <v>0</v>
      </c>
      <c r="Y119" s="21">
        <v>0</v>
      </c>
      <c r="Z119" s="457">
        <v>0</v>
      </c>
      <c r="AA119" s="18">
        <f t="shared" si="147"/>
        <v>0</v>
      </c>
      <c r="AB119" s="21">
        <v>0</v>
      </c>
      <c r="AC119" s="457">
        <v>0</v>
      </c>
      <c r="AD119" s="20">
        <f t="shared" si="148"/>
        <v>0</v>
      </c>
      <c r="AE119" s="21">
        <v>0</v>
      </c>
      <c r="AF119" s="457">
        <v>0</v>
      </c>
      <c r="AG119" s="18">
        <f t="shared" si="149"/>
        <v>0</v>
      </c>
      <c r="AH119" s="21">
        <f t="shared" si="150"/>
        <v>0</v>
      </c>
      <c r="AI119" s="17">
        <f t="shared" si="151"/>
        <v>0</v>
      </c>
      <c r="AJ119" s="18">
        <f t="shared" si="152"/>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598"/>
      <c r="C120" s="363"/>
      <c r="D120" s="363"/>
      <c r="E120" s="363"/>
      <c r="F120" s="363"/>
      <c r="G120" s="363"/>
      <c r="H120" s="363"/>
      <c r="I120" s="363"/>
      <c r="J120" s="363"/>
      <c r="K120" s="363"/>
      <c r="L120" s="363"/>
      <c r="M120" s="363"/>
      <c r="N120" s="599"/>
      <c r="P120" s="547"/>
      <c r="Q120" s="599"/>
      <c r="R120" s="10"/>
      <c r="S120" s="155" t="s">
        <v>273</v>
      </c>
      <c r="T120" s="174"/>
      <c r="U120" s="487">
        <v>0</v>
      </c>
      <c r="V120" s="17">
        <f t="shared" si="145"/>
        <v>0</v>
      </c>
      <c r="W120" s="17">
        <f t="shared" si="145"/>
        <v>0</v>
      </c>
      <c r="X120" s="18">
        <f t="shared" si="146"/>
        <v>0</v>
      </c>
      <c r="Y120" s="21">
        <v>0</v>
      </c>
      <c r="Z120" s="457">
        <v>0</v>
      </c>
      <c r="AA120" s="18">
        <f t="shared" si="147"/>
        <v>0</v>
      </c>
      <c r="AB120" s="21">
        <v>0</v>
      </c>
      <c r="AC120" s="457">
        <v>0</v>
      </c>
      <c r="AD120" s="20">
        <f t="shared" si="148"/>
        <v>0</v>
      </c>
      <c r="AE120" s="21">
        <v>0</v>
      </c>
      <c r="AF120" s="457">
        <v>0</v>
      </c>
      <c r="AG120" s="18">
        <f t="shared" si="149"/>
        <v>0</v>
      </c>
      <c r="AH120" s="21">
        <f t="shared" si="150"/>
        <v>0</v>
      </c>
      <c r="AI120" s="17">
        <f t="shared" si="151"/>
        <v>0</v>
      </c>
      <c r="AJ120" s="18">
        <f t="shared" si="152"/>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
        <v>264</v>
      </c>
      <c r="B121" s="601"/>
      <c r="C121" s="602">
        <f t="shared" ref="C121:N121" si="154">C8-C123</f>
        <v>3465783837</v>
      </c>
      <c r="D121" s="603">
        <f t="shared" si="154"/>
        <v>0</v>
      </c>
      <c r="E121" s="603">
        <f t="shared" si="154"/>
        <v>0</v>
      </c>
      <c r="F121" s="604">
        <f t="shared" si="154"/>
        <v>3465783837</v>
      </c>
      <c r="G121" s="602">
        <f t="shared" si="154"/>
        <v>0</v>
      </c>
      <c r="H121" s="603">
        <f t="shared" si="154"/>
        <v>241219330</v>
      </c>
      <c r="I121" s="604">
        <f t="shared" si="154"/>
        <v>241219330</v>
      </c>
      <c r="J121" s="602">
        <f t="shared" si="154"/>
        <v>0</v>
      </c>
      <c r="K121" s="603">
        <f t="shared" si="154"/>
        <v>180361309</v>
      </c>
      <c r="L121" s="604">
        <f t="shared" si="154"/>
        <v>180361309</v>
      </c>
      <c r="M121" s="602">
        <f t="shared" si="154"/>
        <v>3224564507</v>
      </c>
      <c r="N121" s="604">
        <f t="shared" si="154"/>
        <v>3285422528</v>
      </c>
      <c r="P121" s="605">
        <f>P8-P123</f>
        <v>0</v>
      </c>
      <c r="Q121" s="606">
        <f>Q8-Q123</f>
        <v>0</v>
      </c>
      <c r="R121" s="10"/>
      <c r="S121" s="155">
        <v>2010199</v>
      </c>
      <c r="T121" s="159" t="s">
        <v>132</v>
      </c>
      <c r="U121" s="487">
        <v>2000000</v>
      </c>
      <c r="V121" s="17">
        <f t="shared" si="145"/>
        <v>0</v>
      </c>
      <c r="W121" s="17">
        <f t="shared" si="145"/>
        <v>0</v>
      </c>
      <c r="X121" s="18">
        <f t="shared" si="146"/>
        <v>2000000</v>
      </c>
      <c r="Y121" s="21">
        <v>0</v>
      </c>
      <c r="Z121" s="457">
        <v>3396432</v>
      </c>
      <c r="AA121" s="18">
        <f t="shared" si="147"/>
        <v>3396432</v>
      </c>
      <c r="AB121" s="21">
        <v>0</v>
      </c>
      <c r="AC121" s="457">
        <v>3396432</v>
      </c>
      <c r="AD121" s="20">
        <f t="shared" si="148"/>
        <v>3396432</v>
      </c>
      <c r="AE121" s="21">
        <v>0</v>
      </c>
      <c r="AF121" s="457">
        <v>0</v>
      </c>
      <c r="AG121" s="18">
        <f t="shared" si="149"/>
        <v>0</v>
      </c>
      <c r="AH121" s="21">
        <f t="shared" si="150"/>
        <v>-1396432</v>
      </c>
      <c r="AI121" s="17">
        <f t="shared" si="151"/>
        <v>-1396432</v>
      </c>
      <c r="AJ121" s="18">
        <f t="shared" si="152"/>
        <v>2000000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08"/>
      <c r="C122" s="609"/>
      <c r="D122" s="609"/>
      <c r="E122" s="609"/>
      <c r="F122" s="609"/>
      <c r="G122" s="609"/>
      <c r="H122" s="609"/>
      <c r="I122" s="609"/>
      <c r="J122" s="609"/>
      <c r="K122" s="609"/>
      <c r="L122" s="609"/>
      <c r="M122" s="609"/>
      <c r="N122" s="610"/>
      <c r="P122" s="611"/>
      <c r="Q122" s="610"/>
      <c r="R122" s="10"/>
      <c r="S122" s="448"/>
      <c r="T122" s="449"/>
      <c r="U122" s="193"/>
      <c r="V122" s="193"/>
      <c r="W122" s="193"/>
      <c r="X122" s="207"/>
      <c r="Y122" s="450"/>
      <c r="Z122" s="193"/>
      <c r="AA122" s="207"/>
      <c r="AB122" s="450"/>
      <c r="AC122" s="193"/>
      <c r="AD122" s="193"/>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562" customFormat="1" ht="16.5" thickBot="1" x14ac:dyDescent="0.25">
      <c r="A123" s="612" t="s">
        <v>267</v>
      </c>
      <c r="B123" s="613"/>
      <c r="C123" s="614">
        <f>SUMIF($B8:$B$117,$B$24,C8:C117)+C116</f>
        <v>165717175</v>
      </c>
      <c r="D123" s="615">
        <f>SUMIF($B8:$B$117,$B$24,D8:D117)+D116</f>
        <v>0</v>
      </c>
      <c r="E123" s="615">
        <f>SUMIF($B8:$B$117,$B$24,E8:E117)+E116</f>
        <v>0</v>
      </c>
      <c r="F123" s="616">
        <f>SUMIF($B8:$B$117,$B$24,F8:F117)+F116</f>
        <v>165717175</v>
      </c>
      <c r="G123" s="614">
        <f>SUMIF($B8:$B$117,$B$24,G8:G117)+G116</f>
        <v>0</v>
      </c>
      <c r="H123" s="615">
        <f>SUMIF($B8:$B$117,$B$24,H8:H117)+H116</f>
        <v>76092547</v>
      </c>
      <c r="I123" s="616">
        <f>SUMIF($B8:$B$117,$B$24,I8:I117)+I116</f>
        <v>76092547</v>
      </c>
      <c r="J123" s="614">
        <f>SUMIF($B8:$B$117,$B$24,J8:J117)+J116</f>
        <v>0</v>
      </c>
      <c r="K123" s="615">
        <f>SUMIF($B8:$B$117,$B$24,K8:K117)+K116</f>
        <v>76092547</v>
      </c>
      <c r="L123" s="616">
        <f>SUMIF($B8:$B$117,$B$24,L8:L117)+L116</f>
        <v>76092547</v>
      </c>
      <c r="M123" s="614">
        <f>SUMIF($B8:$B$117,$B$24,M8:M117)+M116</f>
        <v>89624628</v>
      </c>
      <c r="N123" s="616">
        <f>SUMIF($B8:$B$117,$B$24,N8:N117)+N116</f>
        <v>89624628</v>
      </c>
      <c r="P123" s="614">
        <f>SUMIF($B8:$B$117,$B$24,P8:P117)+P116</f>
        <v>0</v>
      </c>
      <c r="Q123" s="616">
        <f>SUMIF($B8:$B$117,$B$24,Q8:Q117)+Q116</f>
        <v>0</v>
      </c>
      <c r="R123" s="32"/>
      <c r="S123" s="276">
        <v>2010200</v>
      </c>
      <c r="T123" s="277" t="s">
        <v>274</v>
      </c>
      <c r="U123" s="278">
        <f t="shared" ref="U123:AJ123" si="155">SUM(U124:U139)</f>
        <v>130967353</v>
      </c>
      <c r="V123" s="154">
        <f t="shared" si="155"/>
        <v>0</v>
      </c>
      <c r="W123" s="154">
        <f t="shared" si="155"/>
        <v>0</v>
      </c>
      <c r="X123" s="279">
        <f t="shared" si="155"/>
        <v>130967353</v>
      </c>
      <c r="Y123" s="280">
        <f t="shared" si="155"/>
        <v>0</v>
      </c>
      <c r="Z123" s="154">
        <f t="shared" si="155"/>
        <v>23095114</v>
      </c>
      <c r="AA123" s="279">
        <f t="shared" si="155"/>
        <v>23095114</v>
      </c>
      <c r="AB123" s="280">
        <f t="shared" si="155"/>
        <v>0</v>
      </c>
      <c r="AC123" s="154">
        <f t="shared" si="155"/>
        <v>23095114</v>
      </c>
      <c r="AD123" s="281">
        <f t="shared" si="155"/>
        <v>23095114</v>
      </c>
      <c r="AE123" s="280">
        <f t="shared" si="155"/>
        <v>0</v>
      </c>
      <c r="AF123" s="154">
        <f t="shared" si="155"/>
        <v>9039304</v>
      </c>
      <c r="AG123" s="279">
        <f t="shared" si="155"/>
        <v>9039304</v>
      </c>
      <c r="AH123" s="280">
        <f t="shared" si="155"/>
        <v>107872239</v>
      </c>
      <c r="AI123" s="154">
        <f t="shared" si="155"/>
        <v>107872239</v>
      </c>
      <c r="AJ123" s="279">
        <f t="shared" si="155"/>
        <v>121928049</v>
      </c>
      <c r="AK123" s="32"/>
      <c r="AL123" s="280">
        <f>SUM(AL124:AL139)</f>
        <v>0</v>
      </c>
      <c r="AM123" s="279">
        <f>SUM(AM124:AM139)</f>
        <v>0</v>
      </c>
      <c r="AN123" s="32"/>
      <c r="AO123" s="561"/>
      <c r="AP123" s="561"/>
      <c r="AQ123" s="561"/>
      <c r="AR123" s="561"/>
      <c r="AS123" s="561"/>
      <c r="AT123" s="561"/>
      <c r="AU123" s="561"/>
      <c r="AV123" s="561"/>
      <c r="AW123" s="561"/>
      <c r="AX123" s="561"/>
      <c r="AY123" s="561"/>
      <c r="AZ123" s="561"/>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
        <v>275</v>
      </c>
      <c r="T124" s="159" t="s">
        <v>276</v>
      </c>
      <c r="U124" s="487">
        <v>42767476</v>
      </c>
      <c r="V124" s="17">
        <f t="shared" ref="V124:V139" si="156">AL124</f>
        <v>0</v>
      </c>
      <c r="W124" s="17">
        <f t="shared" ref="W124:W139" si="157">AM124</f>
        <v>0</v>
      </c>
      <c r="X124" s="18">
        <f t="shared" ref="X124:X139" si="158">SUM(U124:W124)</f>
        <v>42767476</v>
      </c>
      <c r="Y124" s="21">
        <v>0</v>
      </c>
      <c r="Z124" s="457">
        <v>11407103</v>
      </c>
      <c r="AA124" s="18">
        <f t="shared" ref="AA124:AA139" si="159">SUM(Y124:Z124)</f>
        <v>11407103</v>
      </c>
      <c r="AB124" s="21">
        <v>0</v>
      </c>
      <c r="AC124" s="457">
        <v>11407103</v>
      </c>
      <c r="AD124" s="20">
        <f t="shared" ref="AD124:AD139" si="160">SUM(AB124:AC124)</f>
        <v>11407103</v>
      </c>
      <c r="AE124" s="21">
        <v>0</v>
      </c>
      <c r="AF124" s="457">
        <v>5706002</v>
      </c>
      <c r="AG124" s="18">
        <f t="shared" ref="AG124:AG139" si="161">SUM(AE124:AF124)</f>
        <v>5706002</v>
      </c>
      <c r="AH124" s="21">
        <f t="shared" ref="AH124:AH139" si="162">X124-AA124</f>
        <v>31360373</v>
      </c>
      <c r="AI124" s="17">
        <f t="shared" ref="AI124:AI139" si="163">X124-AD124</f>
        <v>31360373</v>
      </c>
      <c r="AJ124" s="18">
        <f t="shared" ref="AJ124:AJ139" si="164">X124-AG124</f>
        <v>37061474</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
        <v>270</v>
      </c>
      <c r="B125" s="619"/>
      <c r="C125" s="620">
        <f t="shared" ref="C125:N125" si="165">C123+C121</f>
        <v>3631501012</v>
      </c>
      <c r="D125" s="621">
        <f t="shared" si="165"/>
        <v>0</v>
      </c>
      <c r="E125" s="621">
        <f t="shared" si="165"/>
        <v>0</v>
      </c>
      <c r="F125" s="622">
        <f t="shared" si="165"/>
        <v>3631501012</v>
      </c>
      <c r="G125" s="620">
        <f t="shared" si="165"/>
        <v>0</v>
      </c>
      <c r="H125" s="621">
        <f t="shared" si="165"/>
        <v>317311877</v>
      </c>
      <c r="I125" s="622">
        <f t="shared" si="165"/>
        <v>317311877</v>
      </c>
      <c r="J125" s="620">
        <f t="shared" si="165"/>
        <v>0</v>
      </c>
      <c r="K125" s="621">
        <f t="shared" si="165"/>
        <v>256453856</v>
      </c>
      <c r="L125" s="622">
        <f t="shared" si="165"/>
        <v>256453856</v>
      </c>
      <c r="M125" s="620">
        <f t="shared" si="165"/>
        <v>3314189135</v>
      </c>
      <c r="N125" s="622">
        <f t="shared" si="165"/>
        <v>3375047156</v>
      </c>
      <c r="P125" s="605">
        <f>P123+P121</f>
        <v>0</v>
      </c>
      <c r="Q125" s="606">
        <f>Q123+Q121</f>
        <v>0</v>
      </c>
      <c r="R125" s="10"/>
      <c r="S125" s="155" t="s">
        <v>277</v>
      </c>
      <c r="T125" s="159" t="s">
        <v>278</v>
      </c>
      <c r="U125" s="487">
        <v>10257367</v>
      </c>
      <c r="V125" s="17">
        <f t="shared" si="156"/>
        <v>0</v>
      </c>
      <c r="W125" s="17">
        <f t="shared" si="157"/>
        <v>0</v>
      </c>
      <c r="X125" s="18">
        <f t="shared" si="158"/>
        <v>10257367</v>
      </c>
      <c r="Y125" s="21">
        <v>0</v>
      </c>
      <c r="Z125" s="457">
        <v>0</v>
      </c>
      <c r="AA125" s="18">
        <f t="shared" si="159"/>
        <v>0</v>
      </c>
      <c r="AB125" s="21">
        <v>0</v>
      </c>
      <c r="AC125" s="457">
        <v>0</v>
      </c>
      <c r="AD125" s="20">
        <f t="shared" si="160"/>
        <v>0</v>
      </c>
      <c r="AE125" s="21">
        <v>0</v>
      </c>
      <c r="AF125" s="457">
        <v>0</v>
      </c>
      <c r="AG125" s="18">
        <f t="shared" si="161"/>
        <v>0</v>
      </c>
      <c r="AH125" s="21">
        <f t="shared" si="162"/>
        <v>10257367</v>
      </c>
      <c r="AI125" s="17">
        <f t="shared" si="163"/>
        <v>10257367</v>
      </c>
      <c r="AJ125" s="18">
        <f t="shared" si="164"/>
        <v>10257367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
        <v>279</v>
      </c>
      <c r="T126" s="159" t="s">
        <v>280</v>
      </c>
      <c r="U126" s="487">
        <v>49280460</v>
      </c>
      <c r="V126" s="17">
        <f t="shared" si="156"/>
        <v>0</v>
      </c>
      <c r="W126" s="17">
        <f t="shared" si="157"/>
        <v>0</v>
      </c>
      <c r="X126" s="18">
        <f t="shared" si="158"/>
        <v>49280460</v>
      </c>
      <c r="Y126" s="21">
        <v>0</v>
      </c>
      <c r="Z126" s="457">
        <v>4968733</v>
      </c>
      <c r="AA126" s="18">
        <f t="shared" si="159"/>
        <v>4968733</v>
      </c>
      <c r="AB126" s="21">
        <v>0</v>
      </c>
      <c r="AC126" s="457">
        <v>4968733</v>
      </c>
      <c r="AD126" s="20">
        <f t="shared" si="160"/>
        <v>4968733</v>
      </c>
      <c r="AE126" s="21">
        <v>0</v>
      </c>
      <c r="AF126" s="457">
        <v>2680065</v>
      </c>
      <c r="AG126" s="18">
        <f t="shared" si="161"/>
        <v>2680065</v>
      </c>
      <c r="AH126" s="21">
        <f t="shared" si="162"/>
        <v>44311727</v>
      </c>
      <c r="AI126" s="17">
        <f t="shared" si="163"/>
        <v>44311727</v>
      </c>
      <c r="AJ126" s="18">
        <f t="shared" si="164"/>
        <v>46600395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
        <v>281</v>
      </c>
      <c r="T127" s="159" t="s">
        <v>282</v>
      </c>
      <c r="U127" s="487">
        <v>8570980</v>
      </c>
      <c r="V127" s="17">
        <f t="shared" si="156"/>
        <v>0</v>
      </c>
      <c r="W127" s="17">
        <f t="shared" si="157"/>
        <v>0</v>
      </c>
      <c r="X127" s="18">
        <f t="shared" si="158"/>
        <v>8570980</v>
      </c>
      <c r="Y127" s="21">
        <v>0</v>
      </c>
      <c r="Z127" s="457">
        <v>0</v>
      </c>
      <c r="AA127" s="18">
        <f t="shared" si="159"/>
        <v>0</v>
      </c>
      <c r="AB127" s="21">
        <v>0</v>
      </c>
      <c r="AC127" s="457">
        <v>0</v>
      </c>
      <c r="AD127" s="20">
        <f t="shared" si="160"/>
        <v>0</v>
      </c>
      <c r="AE127" s="21">
        <v>0</v>
      </c>
      <c r="AF127" s="457">
        <v>0</v>
      </c>
      <c r="AG127" s="18">
        <f t="shared" si="161"/>
        <v>0</v>
      </c>
      <c r="AH127" s="21">
        <f t="shared" si="162"/>
        <v>8570980</v>
      </c>
      <c r="AI127" s="17">
        <f t="shared" si="163"/>
        <v>8570980</v>
      </c>
      <c r="AJ127" s="18">
        <f t="shared" si="164"/>
        <v>8570980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
        <v>283</v>
      </c>
      <c r="T128" s="159" t="s">
        <v>284</v>
      </c>
      <c r="U128" s="487">
        <v>4306574</v>
      </c>
      <c r="V128" s="17">
        <f t="shared" si="156"/>
        <v>0</v>
      </c>
      <c r="W128" s="17">
        <f t="shared" si="157"/>
        <v>0</v>
      </c>
      <c r="X128" s="18">
        <f t="shared" si="158"/>
        <v>4306574</v>
      </c>
      <c r="Y128" s="21">
        <v>0</v>
      </c>
      <c r="Z128" s="457">
        <v>61898</v>
      </c>
      <c r="AA128" s="18">
        <f t="shared" si="159"/>
        <v>61898</v>
      </c>
      <c r="AB128" s="21">
        <v>0</v>
      </c>
      <c r="AC128" s="457">
        <v>61898</v>
      </c>
      <c r="AD128" s="20">
        <f t="shared" si="160"/>
        <v>61898</v>
      </c>
      <c r="AE128" s="21">
        <v>0</v>
      </c>
      <c r="AF128" s="457">
        <v>61898</v>
      </c>
      <c r="AG128" s="18">
        <f t="shared" si="161"/>
        <v>61898</v>
      </c>
      <c r="AH128" s="21">
        <f t="shared" si="162"/>
        <v>4244676</v>
      </c>
      <c r="AI128" s="17">
        <f t="shared" si="163"/>
        <v>4244676</v>
      </c>
      <c r="AJ128" s="18">
        <f t="shared" si="164"/>
        <v>4244676</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
        <v>285</v>
      </c>
      <c r="T129" s="159" t="s">
        <v>286</v>
      </c>
      <c r="U129" s="487">
        <v>0</v>
      </c>
      <c r="V129" s="17">
        <f t="shared" si="156"/>
        <v>0</v>
      </c>
      <c r="W129" s="17">
        <f t="shared" si="157"/>
        <v>0</v>
      </c>
      <c r="X129" s="18">
        <f t="shared" si="158"/>
        <v>0</v>
      </c>
      <c r="Y129" s="21">
        <v>0</v>
      </c>
      <c r="Z129" s="457">
        <v>0</v>
      </c>
      <c r="AA129" s="18">
        <f t="shared" si="159"/>
        <v>0</v>
      </c>
      <c r="AB129" s="21">
        <v>0</v>
      </c>
      <c r="AC129" s="457">
        <v>0</v>
      </c>
      <c r="AD129" s="20">
        <f t="shared" si="160"/>
        <v>0</v>
      </c>
      <c r="AE129" s="21">
        <v>0</v>
      </c>
      <c r="AF129" s="457">
        <v>0</v>
      </c>
      <c r="AG129" s="18">
        <f t="shared" si="161"/>
        <v>0</v>
      </c>
      <c r="AH129" s="21">
        <f t="shared" si="162"/>
        <v>0</v>
      </c>
      <c r="AI129" s="17">
        <f t="shared" si="163"/>
        <v>0</v>
      </c>
      <c r="AJ129" s="18">
        <f t="shared" si="16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
        <v>287</v>
      </c>
      <c r="T130" s="159" t="s">
        <v>288</v>
      </c>
      <c r="U130" s="487">
        <v>0</v>
      </c>
      <c r="V130" s="17">
        <f t="shared" si="156"/>
        <v>0</v>
      </c>
      <c r="W130" s="17">
        <f t="shared" si="157"/>
        <v>0</v>
      </c>
      <c r="X130" s="18">
        <f t="shared" si="158"/>
        <v>0</v>
      </c>
      <c r="Y130" s="21">
        <v>0</v>
      </c>
      <c r="Z130" s="457">
        <v>0</v>
      </c>
      <c r="AA130" s="18">
        <f t="shared" si="159"/>
        <v>0</v>
      </c>
      <c r="AB130" s="21">
        <v>0</v>
      </c>
      <c r="AC130" s="457">
        <v>0</v>
      </c>
      <c r="AD130" s="20">
        <f t="shared" si="160"/>
        <v>0</v>
      </c>
      <c r="AE130" s="21">
        <v>0</v>
      </c>
      <c r="AF130" s="457">
        <v>0</v>
      </c>
      <c r="AG130" s="18">
        <f t="shared" si="161"/>
        <v>0</v>
      </c>
      <c r="AH130" s="21">
        <f t="shared" si="162"/>
        <v>0</v>
      </c>
      <c r="AI130" s="17">
        <f t="shared" si="163"/>
        <v>0</v>
      </c>
      <c r="AJ130" s="18">
        <f t="shared" si="16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
        <v>289</v>
      </c>
      <c r="T131" s="159" t="s">
        <v>290</v>
      </c>
      <c r="U131" s="487">
        <v>6347410</v>
      </c>
      <c r="V131" s="17">
        <f t="shared" si="156"/>
        <v>0</v>
      </c>
      <c r="W131" s="17">
        <f t="shared" si="157"/>
        <v>0</v>
      </c>
      <c r="X131" s="18">
        <f t="shared" si="158"/>
        <v>6347410</v>
      </c>
      <c r="Y131" s="21">
        <v>0</v>
      </c>
      <c r="Z131" s="457">
        <v>0</v>
      </c>
      <c r="AA131" s="18">
        <f t="shared" si="159"/>
        <v>0</v>
      </c>
      <c r="AB131" s="21">
        <v>0</v>
      </c>
      <c r="AC131" s="457">
        <v>0</v>
      </c>
      <c r="AD131" s="20">
        <f t="shared" si="160"/>
        <v>0</v>
      </c>
      <c r="AE131" s="21">
        <v>0</v>
      </c>
      <c r="AF131" s="457">
        <v>0</v>
      </c>
      <c r="AG131" s="18">
        <f t="shared" si="161"/>
        <v>0</v>
      </c>
      <c r="AH131" s="21">
        <f t="shared" si="162"/>
        <v>6347410</v>
      </c>
      <c r="AI131" s="17">
        <f t="shared" si="163"/>
        <v>6347410</v>
      </c>
      <c r="AJ131" s="18">
        <f t="shared" si="16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
        <v>291</v>
      </c>
      <c r="T132" s="159" t="s">
        <v>292</v>
      </c>
      <c r="U132" s="487">
        <v>4142898</v>
      </c>
      <c r="V132" s="17">
        <f t="shared" si="156"/>
        <v>0</v>
      </c>
      <c r="W132" s="17">
        <f t="shared" si="157"/>
        <v>0</v>
      </c>
      <c r="X132" s="18">
        <f t="shared" si="158"/>
        <v>4142898</v>
      </c>
      <c r="Y132" s="21">
        <v>0</v>
      </c>
      <c r="Z132" s="457">
        <v>545200</v>
      </c>
      <c r="AA132" s="18">
        <f t="shared" si="159"/>
        <v>545200</v>
      </c>
      <c r="AB132" s="21">
        <v>0</v>
      </c>
      <c r="AC132" s="457">
        <v>545200</v>
      </c>
      <c r="AD132" s="20">
        <f t="shared" si="160"/>
        <v>545200</v>
      </c>
      <c r="AE132" s="21">
        <v>0</v>
      </c>
      <c r="AF132" s="457">
        <v>545200</v>
      </c>
      <c r="AG132" s="18">
        <f t="shared" si="161"/>
        <v>545200</v>
      </c>
      <c r="AH132" s="21">
        <f t="shared" si="162"/>
        <v>3597698</v>
      </c>
      <c r="AI132" s="17">
        <f t="shared" si="163"/>
        <v>3597698</v>
      </c>
      <c r="AJ132" s="18">
        <f t="shared" si="164"/>
        <v>3597698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
        <v>293</v>
      </c>
      <c r="T133" s="159" t="s">
        <v>513</v>
      </c>
      <c r="U133" s="487">
        <v>0</v>
      </c>
      <c r="V133" s="17">
        <f t="shared" si="156"/>
        <v>0</v>
      </c>
      <c r="W133" s="17">
        <f t="shared" si="157"/>
        <v>0</v>
      </c>
      <c r="X133" s="18">
        <f t="shared" si="158"/>
        <v>0</v>
      </c>
      <c r="Y133" s="21">
        <v>0</v>
      </c>
      <c r="Z133" s="457">
        <v>0</v>
      </c>
      <c r="AA133" s="18">
        <f t="shared" si="159"/>
        <v>0</v>
      </c>
      <c r="AB133" s="21">
        <v>0</v>
      </c>
      <c r="AC133" s="457">
        <v>0</v>
      </c>
      <c r="AD133" s="20">
        <f t="shared" si="160"/>
        <v>0</v>
      </c>
      <c r="AE133" s="21">
        <v>0</v>
      </c>
      <c r="AF133" s="457">
        <v>0</v>
      </c>
      <c r="AG133" s="18">
        <f t="shared" si="161"/>
        <v>0</v>
      </c>
      <c r="AH133" s="21">
        <f t="shared" si="162"/>
        <v>0</v>
      </c>
      <c r="AI133" s="17">
        <f t="shared" si="163"/>
        <v>0</v>
      </c>
      <c r="AJ133" s="18">
        <f t="shared" si="16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
        <v>294</v>
      </c>
      <c r="T134" s="159" t="s">
        <v>295</v>
      </c>
      <c r="U134" s="487">
        <v>3294188</v>
      </c>
      <c r="V134" s="17">
        <f t="shared" si="156"/>
        <v>0</v>
      </c>
      <c r="W134" s="17">
        <f t="shared" si="157"/>
        <v>0</v>
      </c>
      <c r="X134" s="18">
        <f t="shared" si="158"/>
        <v>3294188</v>
      </c>
      <c r="Y134" s="21">
        <v>0</v>
      </c>
      <c r="Z134" s="457">
        <v>46139</v>
      </c>
      <c r="AA134" s="18">
        <f t="shared" si="159"/>
        <v>46139</v>
      </c>
      <c r="AB134" s="21">
        <v>0</v>
      </c>
      <c r="AC134" s="457">
        <v>46139</v>
      </c>
      <c r="AD134" s="20">
        <f t="shared" si="160"/>
        <v>46139</v>
      </c>
      <c r="AE134" s="21">
        <v>0</v>
      </c>
      <c r="AF134" s="457">
        <v>46139</v>
      </c>
      <c r="AG134" s="18">
        <f t="shared" si="161"/>
        <v>46139</v>
      </c>
      <c r="AH134" s="21">
        <f t="shared" si="162"/>
        <v>3248049</v>
      </c>
      <c r="AI134" s="17">
        <f t="shared" si="163"/>
        <v>3248049</v>
      </c>
      <c r="AJ134" s="18">
        <f t="shared" si="164"/>
        <v>3248049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
        <v>296</v>
      </c>
      <c r="T135" s="174"/>
      <c r="U135" s="487">
        <v>0</v>
      </c>
      <c r="V135" s="17">
        <f t="shared" si="156"/>
        <v>0</v>
      </c>
      <c r="W135" s="17">
        <f t="shared" si="157"/>
        <v>0</v>
      </c>
      <c r="X135" s="18">
        <f t="shared" si="158"/>
        <v>0</v>
      </c>
      <c r="Y135" s="21">
        <v>0</v>
      </c>
      <c r="Z135" s="457">
        <v>0</v>
      </c>
      <c r="AA135" s="18">
        <f t="shared" si="159"/>
        <v>0</v>
      </c>
      <c r="AB135" s="21">
        <v>0</v>
      </c>
      <c r="AC135" s="457">
        <v>0</v>
      </c>
      <c r="AD135" s="20">
        <f t="shared" si="160"/>
        <v>0</v>
      </c>
      <c r="AE135" s="21">
        <v>0</v>
      </c>
      <c r="AF135" s="457">
        <v>0</v>
      </c>
      <c r="AG135" s="18">
        <f t="shared" si="161"/>
        <v>0</v>
      </c>
      <c r="AH135" s="21">
        <f t="shared" si="162"/>
        <v>0</v>
      </c>
      <c r="AI135" s="17">
        <f t="shared" si="163"/>
        <v>0</v>
      </c>
      <c r="AJ135" s="18">
        <f t="shared" si="16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
        <v>297</v>
      </c>
      <c r="T136" s="174"/>
      <c r="U136" s="487">
        <v>0</v>
      </c>
      <c r="V136" s="17">
        <f t="shared" si="156"/>
        <v>0</v>
      </c>
      <c r="W136" s="17">
        <f t="shared" si="157"/>
        <v>0</v>
      </c>
      <c r="X136" s="18">
        <f t="shared" si="158"/>
        <v>0</v>
      </c>
      <c r="Y136" s="21">
        <v>0</v>
      </c>
      <c r="Z136" s="457">
        <v>0</v>
      </c>
      <c r="AA136" s="18">
        <f t="shared" si="159"/>
        <v>0</v>
      </c>
      <c r="AB136" s="21">
        <v>0</v>
      </c>
      <c r="AC136" s="457">
        <v>0</v>
      </c>
      <c r="AD136" s="20">
        <f t="shared" si="160"/>
        <v>0</v>
      </c>
      <c r="AE136" s="21">
        <v>0</v>
      </c>
      <c r="AF136" s="457">
        <v>0</v>
      </c>
      <c r="AG136" s="18">
        <f t="shared" si="161"/>
        <v>0</v>
      </c>
      <c r="AH136" s="21">
        <f t="shared" si="162"/>
        <v>0</v>
      </c>
      <c r="AI136" s="17">
        <f t="shared" si="163"/>
        <v>0</v>
      </c>
      <c r="AJ136" s="18">
        <f t="shared" si="16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
        <v>298</v>
      </c>
      <c r="T137" s="174"/>
      <c r="U137" s="487">
        <v>0</v>
      </c>
      <c r="V137" s="17">
        <f t="shared" si="156"/>
        <v>0</v>
      </c>
      <c r="W137" s="17">
        <f t="shared" si="157"/>
        <v>0</v>
      </c>
      <c r="X137" s="18">
        <f t="shared" si="158"/>
        <v>0</v>
      </c>
      <c r="Y137" s="21">
        <v>0</v>
      </c>
      <c r="Z137" s="457">
        <v>0</v>
      </c>
      <c r="AA137" s="18">
        <f t="shared" si="159"/>
        <v>0</v>
      </c>
      <c r="AB137" s="21">
        <v>0</v>
      </c>
      <c r="AC137" s="457">
        <v>0</v>
      </c>
      <c r="AD137" s="20">
        <f t="shared" si="160"/>
        <v>0</v>
      </c>
      <c r="AE137" s="21">
        <v>0</v>
      </c>
      <c r="AF137" s="457">
        <v>0</v>
      </c>
      <c r="AG137" s="18">
        <f t="shared" si="161"/>
        <v>0</v>
      </c>
      <c r="AH137" s="21">
        <f t="shared" si="162"/>
        <v>0</v>
      </c>
      <c r="AI137" s="17">
        <f t="shared" si="163"/>
        <v>0</v>
      </c>
      <c r="AJ137" s="18">
        <f t="shared" si="16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
        <v>299</v>
      </c>
      <c r="T138" s="174"/>
      <c r="U138" s="487">
        <v>0</v>
      </c>
      <c r="V138" s="17">
        <f t="shared" si="156"/>
        <v>0</v>
      </c>
      <c r="W138" s="17">
        <f t="shared" si="157"/>
        <v>0</v>
      </c>
      <c r="X138" s="18">
        <f t="shared" si="158"/>
        <v>0</v>
      </c>
      <c r="Y138" s="21">
        <v>0</v>
      </c>
      <c r="Z138" s="457">
        <v>0</v>
      </c>
      <c r="AA138" s="18">
        <f t="shared" si="159"/>
        <v>0</v>
      </c>
      <c r="AB138" s="21">
        <v>0</v>
      </c>
      <c r="AC138" s="457">
        <v>0</v>
      </c>
      <c r="AD138" s="20">
        <f t="shared" si="160"/>
        <v>0</v>
      </c>
      <c r="AE138" s="21">
        <v>0</v>
      </c>
      <c r="AF138" s="457">
        <v>0</v>
      </c>
      <c r="AG138" s="18">
        <f t="shared" si="161"/>
        <v>0</v>
      </c>
      <c r="AH138" s="21">
        <f t="shared" si="162"/>
        <v>0</v>
      </c>
      <c r="AI138" s="17">
        <f t="shared" si="163"/>
        <v>0</v>
      </c>
      <c r="AJ138" s="18">
        <f t="shared" si="16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v>2010299</v>
      </c>
      <c r="T139" s="159" t="s">
        <v>132</v>
      </c>
      <c r="U139" s="487">
        <v>2000000</v>
      </c>
      <c r="V139" s="17">
        <f t="shared" si="156"/>
        <v>0</v>
      </c>
      <c r="W139" s="17">
        <f t="shared" si="157"/>
        <v>0</v>
      </c>
      <c r="X139" s="18">
        <f t="shared" si="158"/>
        <v>2000000</v>
      </c>
      <c r="Y139" s="21">
        <v>0</v>
      </c>
      <c r="Z139" s="457">
        <v>6066041</v>
      </c>
      <c r="AA139" s="18">
        <f t="shared" si="159"/>
        <v>6066041</v>
      </c>
      <c r="AB139" s="21">
        <v>0</v>
      </c>
      <c r="AC139" s="457">
        <v>6066041</v>
      </c>
      <c r="AD139" s="20">
        <f t="shared" si="160"/>
        <v>6066041</v>
      </c>
      <c r="AE139" s="21">
        <v>0</v>
      </c>
      <c r="AF139" s="457">
        <v>0</v>
      </c>
      <c r="AG139" s="18">
        <f t="shared" si="161"/>
        <v>0</v>
      </c>
      <c r="AH139" s="21">
        <f t="shared" si="162"/>
        <v>-4066041</v>
      </c>
      <c r="AI139" s="17">
        <f t="shared" si="163"/>
        <v>-4066041</v>
      </c>
      <c r="AJ139" s="18">
        <f t="shared" si="164"/>
        <v>2000000</v>
      </c>
      <c r="AK139" s="10"/>
      <c r="AL139" s="455">
        <v>0</v>
      </c>
      <c r="AM139" s="458">
        <v>0</v>
      </c>
      <c r="AN139" s="10"/>
      <c r="AO139" s="365"/>
      <c r="AP139" s="365"/>
      <c r="AQ139" s="365"/>
    </row>
    <row r="140" spans="1:52" s="467" customFormat="1" ht="15.75" x14ac:dyDescent="0.2">
      <c r="A140" s="623"/>
      <c r="N140" s="10"/>
      <c r="R140" s="10"/>
      <c r="S140" s="448"/>
      <c r="T140" s="449"/>
      <c r="U140" s="193"/>
      <c r="V140" s="193"/>
      <c r="W140" s="193"/>
      <c r="X140" s="207"/>
      <c r="Y140" s="450"/>
      <c r="Z140" s="193"/>
      <c r="AA140" s="207"/>
      <c r="AB140" s="450"/>
      <c r="AC140" s="193"/>
      <c r="AD140" s="193"/>
      <c r="AE140" s="450"/>
      <c r="AF140" s="193"/>
      <c r="AG140" s="207"/>
      <c r="AH140" s="450"/>
      <c r="AI140" s="193"/>
      <c r="AJ140" s="207"/>
      <c r="AK140" s="12"/>
      <c r="AL140" s="213"/>
      <c r="AM140" s="214"/>
      <c r="AN140" s="10"/>
    </row>
    <row r="141" spans="1:52" s="467" customFormat="1" ht="15" x14ac:dyDescent="0.2">
      <c r="A141" s="623"/>
      <c r="N141" s="10"/>
      <c r="R141" s="10"/>
      <c r="S141" s="34">
        <v>2010300</v>
      </c>
      <c r="T141" s="158" t="s">
        <v>300</v>
      </c>
      <c r="U141" s="157">
        <f t="shared" ref="U141:AJ141" si="166">U142+U143</f>
        <v>0</v>
      </c>
      <c r="V141" s="144">
        <f t="shared" si="166"/>
        <v>0</v>
      </c>
      <c r="W141" s="144">
        <f t="shared" si="166"/>
        <v>0</v>
      </c>
      <c r="X141" s="153">
        <f t="shared" si="166"/>
        <v>0</v>
      </c>
      <c r="Y141" s="151">
        <f t="shared" si="166"/>
        <v>0</v>
      </c>
      <c r="Z141" s="144">
        <f t="shared" si="166"/>
        <v>0</v>
      </c>
      <c r="AA141" s="153">
        <f t="shared" si="166"/>
        <v>0</v>
      </c>
      <c r="AB141" s="151">
        <f t="shared" si="166"/>
        <v>0</v>
      </c>
      <c r="AC141" s="144">
        <f t="shared" si="166"/>
        <v>0</v>
      </c>
      <c r="AD141" s="152">
        <f t="shared" si="166"/>
        <v>0</v>
      </c>
      <c r="AE141" s="151">
        <f t="shared" si="166"/>
        <v>0</v>
      </c>
      <c r="AF141" s="144">
        <f t="shared" si="166"/>
        <v>0</v>
      </c>
      <c r="AG141" s="153">
        <f t="shared" si="166"/>
        <v>0</v>
      </c>
      <c r="AH141" s="151">
        <f t="shared" si="166"/>
        <v>0</v>
      </c>
      <c r="AI141" s="144">
        <f t="shared" si="166"/>
        <v>0</v>
      </c>
      <c r="AJ141" s="153">
        <f t="shared" si="166"/>
        <v>0</v>
      </c>
      <c r="AK141" s="12"/>
      <c r="AL141" s="151">
        <f>AL142+AL143</f>
        <v>0</v>
      </c>
      <c r="AM141" s="153">
        <f>AM142+AM143</f>
        <v>0</v>
      </c>
      <c r="AN141" s="10"/>
    </row>
    <row r="142" spans="1:52" s="467" customFormat="1" x14ac:dyDescent="0.2">
      <c r="A142" s="623"/>
      <c r="N142" s="10"/>
      <c r="R142" s="10"/>
      <c r="S142" s="155" t="s">
        <v>301</v>
      </c>
      <c r="T142" s="159" t="s">
        <v>302</v>
      </c>
      <c r="U142" s="487">
        <v>0</v>
      </c>
      <c r="V142" s="17">
        <f>AL142</f>
        <v>0</v>
      </c>
      <c r="W142" s="17">
        <f>AM142</f>
        <v>0</v>
      </c>
      <c r="X142" s="18">
        <f>SUM(U142:W142)</f>
        <v>0</v>
      </c>
      <c r="Y142" s="21">
        <v>0</v>
      </c>
      <c r="Z142" s="457">
        <v>0</v>
      </c>
      <c r="AA142" s="18">
        <f>SUM(Y142:Z142)</f>
        <v>0</v>
      </c>
      <c r="AB142" s="21">
        <v>0</v>
      </c>
      <c r="AC142" s="457">
        <v>0</v>
      </c>
      <c r="AD142" s="20">
        <f>SUM(AB142:AC142)</f>
        <v>0</v>
      </c>
      <c r="AE142" s="21">
        <v>0</v>
      </c>
      <c r="AF142" s="457">
        <v>0</v>
      </c>
      <c r="AG142" s="18">
        <f>SUM(AE142:AF142)</f>
        <v>0</v>
      </c>
      <c r="AH142" s="21">
        <f>X142-AA142</f>
        <v>0</v>
      </c>
      <c r="AI142" s="17">
        <f>X142-AD142</f>
        <v>0</v>
      </c>
      <c r="AJ142" s="18">
        <f>X142-AG142</f>
        <v>0</v>
      </c>
      <c r="AK142" s="10"/>
      <c r="AL142" s="455">
        <v>0</v>
      </c>
      <c r="AM142" s="458">
        <v>0</v>
      </c>
      <c r="AN142" s="10"/>
    </row>
    <row r="143" spans="1:52" s="467" customFormat="1" x14ac:dyDescent="0.2">
      <c r="A143" s="623"/>
      <c r="N143" s="10"/>
      <c r="R143" s="10"/>
      <c r="S143" s="155">
        <v>2010399</v>
      </c>
      <c r="T143" s="159" t="s">
        <v>132</v>
      </c>
      <c r="U143" s="487">
        <v>0</v>
      </c>
      <c r="V143" s="17">
        <f>AL143</f>
        <v>0</v>
      </c>
      <c r="W143" s="17">
        <f>AM143</f>
        <v>0</v>
      </c>
      <c r="X143" s="18">
        <f>SUM(U143:W143)</f>
        <v>0</v>
      </c>
      <c r="Y143" s="21">
        <v>0</v>
      </c>
      <c r="Z143" s="457">
        <v>0</v>
      </c>
      <c r="AA143" s="18">
        <f>SUM(Y143:Z143)</f>
        <v>0</v>
      </c>
      <c r="AB143" s="21">
        <v>0</v>
      </c>
      <c r="AC143" s="457">
        <v>0</v>
      </c>
      <c r="AD143" s="20">
        <f>SUM(AB143:AC143)</f>
        <v>0</v>
      </c>
      <c r="AE143" s="21">
        <v>0</v>
      </c>
      <c r="AF143" s="457">
        <v>0</v>
      </c>
      <c r="AG143" s="18">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c r="T144" s="449"/>
      <c r="U144" s="193"/>
      <c r="V144" s="193"/>
      <c r="W144" s="193"/>
      <c r="X144" s="207"/>
      <c r="Y144" s="450"/>
      <c r="Z144" s="193"/>
      <c r="AA144" s="207"/>
      <c r="AB144" s="450"/>
      <c r="AC144" s="193"/>
      <c r="AD144" s="193"/>
      <c r="AE144" s="450"/>
      <c r="AF144" s="193"/>
      <c r="AG144" s="207"/>
      <c r="AH144" s="450"/>
      <c r="AI144" s="193"/>
      <c r="AJ144" s="207"/>
      <c r="AK144" s="10"/>
      <c r="AL144" s="213"/>
      <c r="AM144" s="214"/>
      <c r="AN144" s="10"/>
    </row>
    <row r="145" spans="1:40" s="467" customFormat="1" ht="15.75" x14ac:dyDescent="0.2">
      <c r="A145" s="623"/>
      <c r="N145" s="10"/>
      <c r="R145" s="10"/>
      <c r="S145" s="469">
        <v>2020010</v>
      </c>
      <c r="T145" s="470" t="s">
        <v>196</v>
      </c>
      <c r="U145" s="157">
        <f t="shared" ref="U145:AJ145" si="167">U147+U155</f>
        <v>378163463</v>
      </c>
      <c r="V145" s="144">
        <f t="shared" si="167"/>
        <v>0</v>
      </c>
      <c r="W145" s="144">
        <f t="shared" si="167"/>
        <v>0</v>
      </c>
      <c r="X145" s="153">
        <f t="shared" si="167"/>
        <v>378163463</v>
      </c>
      <c r="Y145" s="151">
        <f t="shared" si="167"/>
        <v>0</v>
      </c>
      <c r="Z145" s="144">
        <f t="shared" si="167"/>
        <v>39335037</v>
      </c>
      <c r="AA145" s="153">
        <f t="shared" si="167"/>
        <v>39335037</v>
      </c>
      <c r="AB145" s="151">
        <f t="shared" si="167"/>
        <v>0</v>
      </c>
      <c r="AC145" s="144">
        <f t="shared" si="167"/>
        <v>39335037</v>
      </c>
      <c r="AD145" s="152">
        <f t="shared" si="167"/>
        <v>39335037</v>
      </c>
      <c r="AE145" s="151">
        <f t="shared" si="167"/>
        <v>0</v>
      </c>
      <c r="AF145" s="144">
        <f t="shared" si="167"/>
        <v>2144166</v>
      </c>
      <c r="AG145" s="153">
        <f t="shared" si="167"/>
        <v>2144166</v>
      </c>
      <c r="AH145" s="151">
        <f t="shared" si="167"/>
        <v>338828426</v>
      </c>
      <c r="AI145" s="144">
        <f t="shared" si="167"/>
        <v>338828426</v>
      </c>
      <c r="AJ145" s="153">
        <f t="shared" si="167"/>
        <v>376019297</v>
      </c>
      <c r="AK145" s="12"/>
      <c r="AL145" s="151">
        <f>AL147+AL155</f>
        <v>0</v>
      </c>
      <c r="AM145" s="153">
        <f>AM147+AM155</f>
        <v>0</v>
      </c>
      <c r="AN145" s="10"/>
    </row>
    <row r="146" spans="1:40" s="467" customFormat="1" x14ac:dyDescent="0.2">
      <c r="A146" s="623"/>
      <c r="N146" s="10"/>
      <c r="R146" s="10"/>
      <c r="S146" s="11"/>
      <c r="T146" s="55"/>
      <c r="U146" s="19"/>
      <c r="V146" s="17"/>
      <c r="W146" s="17"/>
      <c r="X146" s="18"/>
      <c r="Y146" s="21"/>
      <c r="Z146" s="17"/>
      <c r="AA146" s="18"/>
      <c r="AB146" s="21"/>
      <c r="AC146" s="17"/>
      <c r="AD146" s="20"/>
      <c r="AE146" s="21"/>
      <c r="AF146" s="17"/>
      <c r="AG146" s="18"/>
      <c r="AH146" s="21"/>
      <c r="AI146" s="17"/>
      <c r="AJ146" s="18"/>
      <c r="AK146" s="10"/>
      <c r="AL146" s="213"/>
      <c r="AM146" s="214"/>
      <c r="AN146" s="10"/>
    </row>
    <row r="147" spans="1:40" s="467" customFormat="1" ht="15" x14ac:dyDescent="0.2">
      <c r="A147" s="623"/>
      <c r="N147" s="10"/>
      <c r="R147" s="10"/>
      <c r="S147" s="34">
        <v>2020100</v>
      </c>
      <c r="T147" s="158" t="s">
        <v>261</v>
      </c>
      <c r="U147" s="157">
        <f t="shared" ref="U147:AJ147" si="168">SUM(U148:U149)+U153</f>
        <v>164034265</v>
      </c>
      <c r="V147" s="144">
        <f t="shared" si="168"/>
        <v>0</v>
      </c>
      <c r="W147" s="144">
        <f t="shared" si="168"/>
        <v>0</v>
      </c>
      <c r="X147" s="153">
        <f t="shared" si="168"/>
        <v>164034265</v>
      </c>
      <c r="Y147" s="151">
        <f t="shared" si="168"/>
        <v>0</v>
      </c>
      <c r="Z147" s="144">
        <f t="shared" si="168"/>
        <v>24686596</v>
      </c>
      <c r="AA147" s="153">
        <f t="shared" si="168"/>
        <v>24686596</v>
      </c>
      <c r="AB147" s="151">
        <f t="shared" si="168"/>
        <v>0</v>
      </c>
      <c r="AC147" s="144">
        <f t="shared" si="168"/>
        <v>24686596</v>
      </c>
      <c r="AD147" s="152">
        <f t="shared" si="168"/>
        <v>24686596</v>
      </c>
      <c r="AE147" s="151">
        <f t="shared" si="168"/>
        <v>0</v>
      </c>
      <c r="AF147" s="144">
        <f t="shared" si="168"/>
        <v>0</v>
      </c>
      <c r="AG147" s="153">
        <f t="shared" si="168"/>
        <v>0</v>
      </c>
      <c r="AH147" s="151">
        <f t="shared" si="168"/>
        <v>139347669</v>
      </c>
      <c r="AI147" s="144">
        <f t="shared" si="168"/>
        <v>139347669</v>
      </c>
      <c r="AJ147" s="153">
        <f t="shared" si="168"/>
        <v>164034265</v>
      </c>
      <c r="AK147" s="10"/>
      <c r="AL147" s="151">
        <f>SUM(AL148:AL149)+AL153</f>
        <v>0</v>
      </c>
      <c r="AM147" s="153">
        <f>SUM(AM148:AM149)+AM153</f>
        <v>0</v>
      </c>
      <c r="AN147" s="10"/>
    </row>
    <row r="148" spans="1:40" s="467" customFormat="1" x14ac:dyDescent="0.2">
      <c r="A148" s="623"/>
      <c r="N148" s="10"/>
      <c r="R148" s="10"/>
      <c r="S148" s="155">
        <v>2020101</v>
      </c>
      <c r="T148" s="159" t="s">
        <v>303</v>
      </c>
      <c r="U148" s="487">
        <v>73185858</v>
      </c>
      <c r="V148" s="17">
        <f>AL148</f>
        <v>0</v>
      </c>
      <c r="W148" s="17">
        <f>AM148</f>
        <v>0</v>
      </c>
      <c r="X148" s="18">
        <f>SUM(U148:W148)</f>
        <v>73185858</v>
      </c>
      <c r="Y148" s="21">
        <v>0</v>
      </c>
      <c r="Z148" s="457">
        <v>1737991</v>
      </c>
      <c r="AA148" s="18">
        <f>SUM(Y148:Z148)</f>
        <v>1737991</v>
      </c>
      <c r="AB148" s="21">
        <v>0</v>
      </c>
      <c r="AC148" s="457">
        <v>1737991</v>
      </c>
      <c r="AD148" s="20">
        <f>SUM(AB148:AC148)</f>
        <v>1737991</v>
      </c>
      <c r="AE148" s="21">
        <v>0</v>
      </c>
      <c r="AF148" s="457">
        <v>0</v>
      </c>
      <c r="AG148" s="18">
        <f>SUM(AE148:AF148)</f>
        <v>0</v>
      </c>
      <c r="AH148" s="21">
        <f>X148-AA148</f>
        <v>71447867</v>
      </c>
      <c r="AI148" s="17">
        <f>X148-AD148</f>
        <v>71447867</v>
      </c>
      <c r="AJ148" s="18">
        <f>X148-AG148</f>
        <v>73185858</v>
      </c>
      <c r="AK148" s="10"/>
      <c r="AL148" s="455">
        <v>0</v>
      </c>
      <c r="AM148" s="458">
        <v>0</v>
      </c>
      <c r="AN148" s="10"/>
    </row>
    <row r="149" spans="1:40" s="467" customFormat="1" x14ac:dyDescent="0.2">
      <c r="A149" s="623"/>
      <c r="N149" s="10"/>
      <c r="R149" s="10"/>
      <c r="S149" s="155">
        <v>2020102</v>
      </c>
      <c r="T149" s="159" t="s">
        <v>82</v>
      </c>
      <c r="U149" s="19">
        <f t="shared" ref="U149:AJ149" si="169">SUM(U150:U152)</f>
        <v>86848407</v>
      </c>
      <c r="V149" s="17">
        <f t="shared" si="169"/>
        <v>0</v>
      </c>
      <c r="W149" s="17">
        <f t="shared" si="169"/>
        <v>0</v>
      </c>
      <c r="X149" s="18">
        <f t="shared" si="169"/>
        <v>86848407</v>
      </c>
      <c r="Y149" s="21">
        <f t="shared" si="169"/>
        <v>0</v>
      </c>
      <c r="Z149" s="169">
        <f t="shared" si="169"/>
        <v>5290582</v>
      </c>
      <c r="AA149" s="18">
        <f t="shared" si="169"/>
        <v>5290582</v>
      </c>
      <c r="AB149" s="21">
        <f t="shared" si="169"/>
        <v>0</v>
      </c>
      <c r="AC149" s="169">
        <f t="shared" si="169"/>
        <v>5290582</v>
      </c>
      <c r="AD149" s="20">
        <f t="shared" si="169"/>
        <v>5290582</v>
      </c>
      <c r="AE149" s="21">
        <f t="shared" si="169"/>
        <v>0</v>
      </c>
      <c r="AF149" s="169">
        <f t="shared" si="169"/>
        <v>0</v>
      </c>
      <c r="AG149" s="18">
        <f t="shared" si="169"/>
        <v>0</v>
      </c>
      <c r="AH149" s="21">
        <f t="shared" si="169"/>
        <v>81557825</v>
      </c>
      <c r="AI149" s="17">
        <f t="shared" si="169"/>
        <v>81557825</v>
      </c>
      <c r="AJ149" s="18">
        <f t="shared" si="169"/>
        <v>86848407</v>
      </c>
      <c r="AK149" s="10"/>
      <c r="AL149" s="31">
        <f>SUM(AL150:AL152)</f>
        <v>0</v>
      </c>
      <c r="AM149" s="28">
        <f>SUM(AM150:AM152)</f>
        <v>0</v>
      </c>
      <c r="AN149" s="10"/>
    </row>
    <row r="150" spans="1:40" s="467" customFormat="1" x14ac:dyDescent="0.2">
      <c r="A150" s="623"/>
      <c r="N150" s="10"/>
      <c r="R150" s="10"/>
      <c r="S150" s="156" t="s">
        <v>304</v>
      </c>
      <c r="T150" s="55" t="s">
        <v>445</v>
      </c>
      <c r="U150" s="487">
        <v>36341462</v>
      </c>
      <c r="V150" s="17">
        <f t="shared" ref="V150:W153" si="170">AL150</f>
        <v>0</v>
      </c>
      <c r="W150" s="17">
        <f t="shared" si="170"/>
        <v>0</v>
      </c>
      <c r="X150" s="18">
        <f>SUM(U150:W150)</f>
        <v>36341462</v>
      </c>
      <c r="Y150" s="21">
        <v>0</v>
      </c>
      <c r="Z150" s="457">
        <v>0</v>
      </c>
      <c r="AA150" s="18">
        <f>SUM(Y150:Z150)</f>
        <v>0</v>
      </c>
      <c r="AB150" s="21">
        <v>0</v>
      </c>
      <c r="AC150" s="457">
        <v>0</v>
      </c>
      <c r="AD150" s="20">
        <f>SUM(AB150:AC150)</f>
        <v>0</v>
      </c>
      <c r="AE150" s="21">
        <v>0</v>
      </c>
      <c r="AF150" s="457">
        <v>0</v>
      </c>
      <c r="AG150" s="18">
        <f>SUM(AE150:AF150)</f>
        <v>0</v>
      </c>
      <c r="AH150" s="21">
        <f>X150-AA150</f>
        <v>36341462</v>
      </c>
      <c r="AI150" s="17">
        <f>X150-AD150</f>
        <v>36341462</v>
      </c>
      <c r="AJ150" s="18">
        <f>X150-AG150</f>
        <v>36341462</v>
      </c>
      <c r="AK150" s="10"/>
      <c r="AL150" s="455">
        <v>0</v>
      </c>
      <c r="AM150" s="458">
        <v>0</v>
      </c>
      <c r="AN150" s="10"/>
    </row>
    <row r="151" spans="1:40" s="467" customFormat="1" x14ac:dyDescent="0.2">
      <c r="A151" s="623"/>
      <c r="N151" s="10"/>
      <c r="R151" s="10"/>
      <c r="S151" s="156" t="s">
        <v>305</v>
      </c>
      <c r="T151" s="55" t="s">
        <v>266</v>
      </c>
      <c r="U151" s="487">
        <v>17885632</v>
      </c>
      <c r="V151" s="17">
        <f t="shared" si="170"/>
        <v>0</v>
      </c>
      <c r="W151" s="17">
        <f t="shared" si="170"/>
        <v>0</v>
      </c>
      <c r="X151" s="18">
        <f>SUM(U151:W151)</f>
        <v>17885632</v>
      </c>
      <c r="Y151" s="21">
        <v>0</v>
      </c>
      <c r="Z151" s="457">
        <v>1889995</v>
      </c>
      <c r="AA151" s="18">
        <f>SUM(Y151:Z151)</f>
        <v>1889995</v>
      </c>
      <c r="AB151" s="21">
        <v>0</v>
      </c>
      <c r="AC151" s="457">
        <v>1889995</v>
      </c>
      <c r="AD151" s="20">
        <f>SUM(AB151:AC151)</f>
        <v>1889995</v>
      </c>
      <c r="AE151" s="21">
        <v>0</v>
      </c>
      <c r="AF151" s="457">
        <v>0</v>
      </c>
      <c r="AG151" s="18">
        <f>SUM(AE151:AF151)</f>
        <v>0</v>
      </c>
      <c r="AH151" s="21">
        <f>X151-AA151</f>
        <v>15995637</v>
      </c>
      <c r="AI151" s="17">
        <f>X151-AD151</f>
        <v>15995637</v>
      </c>
      <c r="AJ151" s="18">
        <f>X151-AG151</f>
        <v>17885632</v>
      </c>
      <c r="AK151" s="10"/>
      <c r="AL151" s="455">
        <v>0</v>
      </c>
      <c r="AM151" s="458">
        <v>0</v>
      </c>
      <c r="AN151" s="10"/>
    </row>
    <row r="152" spans="1:40" s="467" customFormat="1" x14ac:dyDescent="0.2">
      <c r="A152" s="623"/>
      <c r="N152" s="10"/>
      <c r="R152" s="10"/>
      <c r="S152" s="156" t="s">
        <v>306</v>
      </c>
      <c r="T152" s="205" t="s">
        <v>609</v>
      </c>
      <c r="U152" s="487">
        <v>32621313</v>
      </c>
      <c r="V152" s="17">
        <f t="shared" si="170"/>
        <v>0</v>
      </c>
      <c r="W152" s="17">
        <f t="shared" si="170"/>
        <v>0</v>
      </c>
      <c r="X152" s="18">
        <f>SUM(U152:W152)</f>
        <v>32621313</v>
      </c>
      <c r="Y152" s="21">
        <v>0</v>
      </c>
      <c r="Z152" s="457">
        <v>3400587</v>
      </c>
      <c r="AA152" s="18">
        <f>SUM(Y152:Z152)</f>
        <v>3400587</v>
      </c>
      <c r="AB152" s="21">
        <v>0</v>
      </c>
      <c r="AC152" s="457">
        <v>3400587</v>
      </c>
      <c r="AD152" s="20">
        <f>SUM(AB152:AC152)</f>
        <v>3400587</v>
      </c>
      <c r="AE152" s="21">
        <v>0</v>
      </c>
      <c r="AF152" s="457">
        <v>0</v>
      </c>
      <c r="AG152" s="18">
        <f>SUM(AE152:AF152)</f>
        <v>0</v>
      </c>
      <c r="AH152" s="21">
        <f>X152-AA152</f>
        <v>29220726</v>
      </c>
      <c r="AI152" s="17">
        <f>X152-AD152</f>
        <v>29220726</v>
      </c>
      <c r="AJ152" s="18">
        <f>X152-AG152</f>
        <v>32621313</v>
      </c>
      <c r="AK152" s="10"/>
      <c r="AL152" s="455">
        <v>0</v>
      </c>
      <c r="AM152" s="458">
        <v>0</v>
      </c>
      <c r="AN152" s="10"/>
    </row>
    <row r="153" spans="1:40" s="467" customFormat="1" x14ac:dyDescent="0.2">
      <c r="A153" s="623"/>
      <c r="N153" s="10"/>
      <c r="R153" s="10"/>
      <c r="S153" s="155">
        <v>2020199</v>
      </c>
      <c r="T153" s="159" t="s">
        <v>132</v>
      </c>
      <c r="U153" s="487">
        <v>4000000</v>
      </c>
      <c r="V153" s="17">
        <f t="shared" si="170"/>
        <v>0</v>
      </c>
      <c r="W153" s="17">
        <f t="shared" si="170"/>
        <v>0</v>
      </c>
      <c r="X153" s="18">
        <f>SUM(U153:W153)</f>
        <v>4000000</v>
      </c>
      <c r="Y153" s="21">
        <v>0</v>
      </c>
      <c r="Z153" s="457">
        <v>17658023</v>
      </c>
      <c r="AA153" s="18">
        <f>SUM(Y153:Z153)</f>
        <v>17658023</v>
      </c>
      <c r="AB153" s="21">
        <v>0</v>
      </c>
      <c r="AC153" s="457">
        <v>17658023</v>
      </c>
      <c r="AD153" s="20">
        <f>SUM(AB153:AC153)</f>
        <v>17658023</v>
      </c>
      <c r="AE153" s="21">
        <v>0</v>
      </c>
      <c r="AF153" s="457">
        <v>0</v>
      </c>
      <c r="AG153" s="18">
        <f>SUM(AE153:AF153)</f>
        <v>0</v>
      </c>
      <c r="AH153" s="21">
        <f>X153-AA153</f>
        <v>-13658023</v>
      </c>
      <c r="AI153" s="17">
        <f>X153-AD153</f>
        <v>-13658023</v>
      </c>
      <c r="AJ153" s="18">
        <f>X153-AG153</f>
        <v>4000000</v>
      </c>
      <c r="AK153" s="10"/>
      <c r="AL153" s="455">
        <v>0</v>
      </c>
      <c r="AM153" s="458">
        <v>0</v>
      </c>
      <c r="AN153" s="10"/>
    </row>
    <row r="154" spans="1:40" s="467" customFormat="1" ht="15.75" x14ac:dyDescent="0.2">
      <c r="A154" s="623"/>
      <c r="N154" s="10"/>
      <c r="R154" s="10"/>
      <c r="S154" s="448"/>
      <c r="T154" s="449"/>
      <c r="U154" s="193"/>
      <c r="V154" s="193"/>
      <c r="W154" s="193"/>
      <c r="X154" s="207"/>
      <c r="Y154" s="450"/>
      <c r="Z154" s="193"/>
      <c r="AA154" s="207"/>
      <c r="AB154" s="450"/>
      <c r="AC154" s="193"/>
      <c r="AD154" s="193"/>
      <c r="AE154" s="450"/>
      <c r="AF154" s="193"/>
      <c r="AG154" s="207"/>
      <c r="AH154" s="450"/>
      <c r="AI154" s="193"/>
      <c r="AJ154" s="207"/>
      <c r="AK154" s="10"/>
      <c r="AL154" s="213"/>
      <c r="AM154" s="214"/>
      <c r="AN154" s="10"/>
    </row>
    <row r="155" spans="1:40" s="467" customFormat="1" ht="15" x14ac:dyDescent="0.2">
      <c r="A155" s="623"/>
      <c r="N155" s="10"/>
      <c r="R155" s="10"/>
      <c r="S155" s="34">
        <v>2020200</v>
      </c>
      <c r="T155" s="158" t="s">
        <v>274</v>
      </c>
      <c r="U155" s="157">
        <f t="shared" ref="U155:AJ155" si="171">SUM(U156:U157)+U168</f>
        <v>214129198</v>
      </c>
      <c r="V155" s="144">
        <f t="shared" si="171"/>
        <v>0</v>
      </c>
      <c r="W155" s="144">
        <f t="shared" si="171"/>
        <v>0</v>
      </c>
      <c r="X155" s="153">
        <f t="shared" si="171"/>
        <v>214129198</v>
      </c>
      <c r="Y155" s="151">
        <f t="shared" si="171"/>
        <v>0</v>
      </c>
      <c r="Z155" s="144">
        <f t="shared" si="171"/>
        <v>14648441</v>
      </c>
      <c r="AA155" s="153">
        <f t="shared" si="171"/>
        <v>14648441</v>
      </c>
      <c r="AB155" s="151">
        <f t="shared" si="171"/>
        <v>0</v>
      </c>
      <c r="AC155" s="144">
        <f t="shared" si="171"/>
        <v>14648441</v>
      </c>
      <c r="AD155" s="152">
        <f t="shared" si="171"/>
        <v>14648441</v>
      </c>
      <c r="AE155" s="151">
        <f t="shared" si="171"/>
        <v>0</v>
      </c>
      <c r="AF155" s="144">
        <f t="shared" si="171"/>
        <v>2144166</v>
      </c>
      <c r="AG155" s="153">
        <f t="shared" si="171"/>
        <v>2144166</v>
      </c>
      <c r="AH155" s="151">
        <f t="shared" si="171"/>
        <v>199480757</v>
      </c>
      <c r="AI155" s="144">
        <f t="shared" si="171"/>
        <v>199480757</v>
      </c>
      <c r="AJ155" s="153">
        <f t="shared" si="171"/>
        <v>211985032</v>
      </c>
      <c r="AK155" s="10"/>
      <c r="AL155" s="151">
        <f>SUM(AL156:AL157)+AL168</f>
        <v>0</v>
      </c>
      <c r="AM155" s="153">
        <f>SUM(AM156:AM157)+AM168</f>
        <v>0</v>
      </c>
      <c r="AN155" s="10"/>
    </row>
    <row r="156" spans="1:40" s="467" customFormat="1" x14ac:dyDescent="0.2">
      <c r="A156" s="623"/>
      <c r="N156" s="10"/>
      <c r="P156" s="10"/>
      <c r="Q156" s="10"/>
      <c r="R156" s="10"/>
      <c r="S156" s="155">
        <v>2020201</v>
      </c>
      <c r="T156" s="159" t="s">
        <v>303</v>
      </c>
      <c r="U156" s="487">
        <v>89449384</v>
      </c>
      <c r="V156" s="17">
        <f>AL156</f>
        <v>0</v>
      </c>
      <c r="W156" s="17">
        <f>AM156</f>
        <v>0</v>
      </c>
      <c r="X156" s="18">
        <f>SUM(U156:W156)</f>
        <v>89449384</v>
      </c>
      <c r="Y156" s="21">
        <v>0</v>
      </c>
      <c r="Z156" s="457">
        <v>918000</v>
      </c>
      <c r="AA156" s="18">
        <f>SUM(Y156:Z156)</f>
        <v>918000</v>
      </c>
      <c r="AB156" s="21">
        <v>0</v>
      </c>
      <c r="AC156" s="457">
        <v>918000</v>
      </c>
      <c r="AD156" s="20">
        <f>SUM(AB156:AC156)</f>
        <v>918000</v>
      </c>
      <c r="AE156" s="21">
        <v>0</v>
      </c>
      <c r="AF156" s="457">
        <v>918000</v>
      </c>
      <c r="AG156" s="18">
        <f>SUM(AE156:AF156)</f>
        <v>918000</v>
      </c>
      <c r="AH156" s="21">
        <f>X156-AA156</f>
        <v>88531384</v>
      </c>
      <c r="AI156" s="17">
        <f>X156-AD156</f>
        <v>88531384</v>
      </c>
      <c r="AJ156" s="18">
        <f>X156-AG156</f>
        <v>88531384</v>
      </c>
      <c r="AK156" s="10"/>
      <c r="AL156" s="455">
        <v>0</v>
      </c>
      <c r="AM156" s="458">
        <v>0</v>
      </c>
      <c r="AN156" s="10"/>
    </row>
    <row r="157" spans="1:40" s="467" customFormat="1" x14ac:dyDescent="0.2">
      <c r="A157" s="623"/>
      <c r="N157" s="10"/>
      <c r="P157" s="10"/>
      <c r="Q157" s="10"/>
      <c r="R157" s="10"/>
      <c r="S157" s="155">
        <v>2020202</v>
      </c>
      <c r="T157" s="159" t="s">
        <v>82</v>
      </c>
      <c r="U157" s="29">
        <f>SUM(U158:U167)</f>
        <v>111949655</v>
      </c>
      <c r="V157" s="29">
        <f t="shared" ref="V157:AJ157" si="172">SUM(V158:V167)</f>
        <v>0</v>
      </c>
      <c r="W157" s="29">
        <f t="shared" si="172"/>
        <v>0</v>
      </c>
      <c r="X157" s="18">
        <f t="shared" si="172"/>
        <v>111949655</v>
      </c>
      <c r="Y157" s="31">
        <f t="shared" si="172"/>
        <v>0</v>
      </c>
      <c r="Z157" s="29">
        <f t="shared" si="172"/>
        <v>3041607</v>
      </c>
      <c r="AA157" s="212">
        <f t="shared" si="172"/>
        <v>3041607</v>
      </c>
      <c r="AB157" s="240">
        <f t="shared" si="172"/>
        <v>0</v>
      </c>
      <c r="AC157" s="267">
        <f t="shared" si="172"/>
        <v>3041607</v>
      </c>
      <c r="AD157" s="20">
        <f t="shared" si="172"/>
        <v>3041607</v>
      </c>
      <c r="AE157" s="31">
        <f t="shared" si="172"/>
        <v>0</v>
      </c>
      <c r="AF157" s="29">
        <f t="shared" si="172"/>
        <v>1213393</v>
      </c>
      <c r="AG157" s="212">
        <f t="shared" si="172"/>
        <v>1213393</v>
      </c>
      <c r="AH157" s="31">
        <f t="shared" si="172"/>
        <v>108908048</v>
      </c>
      <c r="AI157" s="29">
        <f t="shared" si="172"/>
        <v>108908048</v>
      </c>
      <c r="AJ157" s="212">
        <f t="shared" si="172"/>
        <v>110736262</v>
      </c>
      <c r="AK157" s="12"/>
      <c r="AL157" s="31">
        <f>SUM(AL158:AL167)</f>
        <v>0</v>
      </c>
      <c r="AM157" s="28">
        <f>SUM(AM158:AM167)</f>
        <v>0</v>
      </c>
      <c r="AN157" s="10"/>
    </row>
    <row r="158" spans="1:40" s="467" customFormat="1" x14ac:dyDescent="0.2">
      <c r="A158" s="623"/>
      <c r="N158" s="10"/>
      <c r="P158" s="10"/>
      <c r="Q158" s="10"/>
      <c r="R158" s="10"/>
      <c r="S158" s="156" t="s">
        <v>307</v>
      </c>
      <c r="T158" s="55" t="s">
        <v>276</v>
      </c>
      <c r="U158" s="487">
        <v>10500000</v>
      </c>
      <c r="V158" s="17">
        <f t="shared" ref="V158:V168" si="173">AL158</f>
        <v>0</v>
      </c>
      <c r="W158" s="17">
        <f t="shared" ref="W158:W168" si="174">AM158</f>
        <v>0</v>
      </c>
      <c r="X158" s="18">
        <f t="shared" ref="X158:X168" si="175">SUM(U158:W158)</f>
        <v>10500000</v>
      </c>
      <c r="Y158" s="21">
        <v>0</v>
      </c>
      <c r="Z158" s="457">
        <v>0</v>
      </c>
      <c r="AA158" s="18">
        <f t="shared" ref="AA158:AA168" si="176">SUM(Y158:Z158)</f>
        <v>0</v>
      </c>
      <c r="AB158" s="21">
        <v>0</v>
      </c>
      <c r="AC158" s="457">
        <v>0</v>
      </c>
      <c r="AD158" s="20">
        <f t="shared" ref="AD158:AD168" si="177">SUM(AB158:AC158)</f>
        <v>0</v>
      </c>
      <c r="AE158" s="21">
        <v>0</v>
      </c>
      <c r="AF158" s="457">
        <v>0</v>
      </c>
      <c r="AG158" s="18">
        <f t="shared" ref="AG158:AG168" si="178">SUM(AE158:AF158)</f>
        <v>0</v>
      </c>
      <c r="AH158" s="21">
        <f t="shared" ref="AH158:AH168" si="179">X158-AA158</f>
        <v>10500000</v>
      </c>
      <c r="AI158" s="17">
        <f t="shared" ref="AI158:AI168" si="180">X158-AD158</f>
        <v>10500000</v>
      </c>
      <c r="AJ158" s="18">
        <f t="shared" ref="AJ158:AJ168" si="181">X158-AG158</f>
        <v>10500000</v>
      </c>
      <c r="AK158" s="10"/>
      <c r="AL158" s="455">
        <v>0</v>
      </c>
      <c r="AM158" s="458">
        <v>0</v>
      </c>
      <c r="AN158" s="10"/>
    </row>
    <row r="159" spans="1:40" s="467" customFormat="1" x14ac:dyDescent="0.2">
      <c r="A159" s="623"/>
      <c r="N159" s="10"/>
      <c r="P159" s="10"/>
      <c r="Q159" s="10"/>
      <c r="R159" s="10"/>
      <c r="S159" s="156" t="s">
        <v>308</v>
      </c>
      <c r="T159" s="55" t="s">
        <v>278</v>
      </c>
      <c r="U159" s="487">
        <v>6697601</v>
      </c>
      <c r="V159" s="17">
        <f t="shared" si="173"/>
        <v>0</v>
      </c>
      <c r="W159" s="17">
        <f t="shared" si="174"/>
        <v>0</v>
      </c>
      <c r="X159" s="18">
        <f t="shared" si="175"/>
        <v>6697601</v>
      </c>
      <c r="Y159" s="21">
        <v>0</v>
      </c>
      <c r="Z159" s="457">
        <v>0</v>
      </c>
      <c r="AA159" s="18">
        <f t="shared" si="176"/>
        <v>0</v>
      </c>
      <c r="AB159" s="21">
        <v>0</v>
      </c>
      <c r="AC159" s="457">
        <v>0</v>
      </c>
      <c r="AD159" s="20">
        <f t="shared" si="177"/>
        <v>0</v>
      </c>
      <c r="AE159" s="21">
        <v>0</v>
      </c>
      <c r="AF159" s="457">
        <v>0</v>
      </c>
      <c r="AG159" s="18">
        <f t="shared" si="178"/>
        <v>0</v>
      </c>
      <c r="AH159" s="21">
        <f t="shared" si="179"/>
        <v>6697601</v>
      </c>
      <c r="AI159" s="17">
        <f t="shared" si="180"/>
        <v>6697601</v>
      </c>
      <c r="AJ159" s="18">
        <f t="shared" si="181"/>
        <v>6697601</v>
      </c>
      <c r="AK159" s="10"/>
      <c r="AL159" s="455">
        <v>0</v>
      </c>
      <c r="AM159" s="458">
        <v>0</v>
      </c>
      <c r="AN159" s="10"/>
    </row>
    <row r="160" spans="1:40" s="467" customFormat="1" x14ac:dyDescent="0.2">
      <c r="A160" s="623"/>
      <c r="N160" s="10"/>
      <c r="P160" s="10"/>
      <c r="Q160" s="10"/>
      <c r="R160" s="10"/>
      <c r="S160" s="156" t="s">
        <v>309</v>
      </c>
      <c r="T160" s="55" t="s">
        <v>490</v>
      </c>
      <c r="U160" s="487">
        <v>11458020</v>
      </c>
      <c r="V160" s="17">
        <f t="shared" si="173"/>
        <v>0</v>
      </c>
      <c r="W160" s="17">
        <f t="shared" si="174"/>
        <v>0</v>
      </c>
      <c r="X160" s="18">
        <f t="shared" si="175"/>
        <v>11458020</v>
      </c>
      <c r="Y160" s="21">
        <v>0</v>
      </c>
      <c r="Z160" s="457">
        <v>342300</v>
      </c>
      <c r="AA160" s="18">
        <f t="shared" si="176"/>
        <v>342300</v>
      </c>
      <c r="AB160" s="21">
        <v>0</v>
      </c>
      <c r="AC160" s="457">
        <v>342300</v>
      </c>
      <c r="AD160" s="20">
        <f t="shared" si="177"/>
        <v>342300</v>
      </c>
      <c r="AE160" s="21">
        <v>0</v>
      </c>
      <c r="AF160" s="457">
        <v>0</v>
      </c>
      <c r="AG160" s="18">
        <f t="shared" si="178"/>
        <v>0</v>
      </c>
      <c r="AH160" s="21">
        <f t="shared" si="179"/>
        <v>11115720</v>
      </c>
      <c r="AI160" s="17">
        <f t="shared" si="180"/>
        <v>11115720</v>
      </c>
      <c r="AJ160" s="18">
        <f t="shared" si="181"/>
        <v>11458020</v>
      </c>
      <c r="AK160" s="10"/>
      <c r="AL160" s="455">
        <v>0</v>
      </c>
      <c r="AM160" s="458">
        <v>0</v>
      </c>
      <c r="AN160" s="10"/>
    </row>
    <row r="161" spans="1:40" s="467" customFormat="1" x14ac:dyDescent="0.2">
      <c r="A161" s="623"/>
      <c r="N161" s="10"/>
      <c r="P161" s="10"/>
      <c r="Q161" s="10"/>
      <c r="R161" s="10"/>
      <c r="S161" s="156" t="s">
        <v>310</v>
      </c>
      <c r="T161" s="55" t="s">
        <v>282</v>
      </c>
      <c r="U161" s="487">
        <v>14340084</v>
      </c>
      <c r="V161" s="17">
        <f t="shared" si="173"/>
        <v>0</v>
      </c>
      <c r="W161" s="17">
        <f t="shared" si="174"/>
        <v>0</v>
      </c>
      <c r="X161" s="18">
        <f t="shared" si="175"/>
        <v>14340084</v>
      </c>
      <c r="Y161" s="21">
        <v>0</v>
      </c>
      <c r="Z161" s="457">
        <v>181800</v>
      </c>
      <c r="AA161" s="18">
        <f t="shared" si="176"/>
        <v>181800</v>
      </c>
      <c r="AB161" s="21">
        <v>0</v>
      </c>
      <c r="AC161" s="457">
        <v>181800</v>
      </c>
      <c r="AD161" s="20">
        <f t="shared" si="177"/>
        <v>181800</v>
      </c>
      <c r="AE161" s="21">
        <v>0</v>
      </c>
      <c r="AF161" s="457">
        <v>0</v>
      </c>
      <c r="AG161" s="18">
        <f t="shared" si="178"/>
        <v>0</v>
      </c>
      <c r="AH161" s="21">
        <f t="shared" si="179"/>
        <v>14158284</v>
      </c>
      <c r="AI161" s="17">
        <f t="shared" si="180"/>
        <v>14158284</v>
      </c>
      <c r="AJ161" s="18">
        <f t="shared" si="181"/>
        <v>14340084</v>
      </c>
      <c r="AK161" s="10"/>
      <c r="AL161" s="455">
        <v>0</v>
      </c>
      <c r="AM161" s="458">
        <v>0</v>
      </c>
      <c r="AN161" s="10"/>
    </row>
    <row r="162" spans="1:40" s="467" customFormat="1" x14ac:dyDescent="0.2">
      <c r="A162" s="623"/>
      <c r="N162" s="10"/>
      <c r="P162" s="10"/>
      <c r="Q162" s="10"/>
      <c r="R162" s="10"/>
      <c r="S162" s="156" t="s">
        <v>311</v>
      </c>
      <c r="T162" s="55" t="s">
        <v>284</v>
      </c>
      <c r="U162" s="487">
        <v>23894636</v>
      </c>
      <c r="V162" s="17">
        <f t="shared" si="173"/>
        <v>0</v>
      </c>
      <c r="W162" s="17">
        <f t="shared" si="174"/>
        <v>0</v>
      </c>
      <c r="X162" s="18">
        <f t="shared" si="175"/>
        <v>23894636</v>
      </c>
      <c r="Y162" s="21">
        <v>0</v>
      </c>
      <c r="Z162" s="457">
        <v>1213393</v>
      </c>
      <c r="AA162" s="18">
        <f t="shared" si="176"/>
        <v>1213393</v>
      </c>
      <c r="AB162" s="21">
        <v>0</v>
      </c>
      <c r="AC162" s="457">
        <v>1213393</v>
      </c>
      <c r="AD162" s="20">
        <f t="shared" si="177"/>
        <v>1213393</v>
      </c>
      <c r="AE162" s="21">
        <v>0</v>
      </c>
      <c r="AF162" s="457">
        <v>1213393</v>
      </c>
      <c r="AG162" s="18">
        <f t="shared" si="178"/>
        <v>1213393</v>
      </c>
      <c r="AH162" s="21">
        <f t="shared" si="179"/>
        <v>22681243</v>
      </c>
      <c r="AI162" s="17">
        <f t="shared" si="180"/>
        <v>22681243</v>
      </c>
      <c r="AJ162" s="18">
        <f t="shared" si="181"/>
        <v>22681243</v>
      </c>
      <c r="AK162" s="10"/>
      <c r="AL162" s="455">
        <v>0</v>
      </c>
      <c r="AM162" s="458">
        <v>0</v>
      </c>
      <c r="AN162" s="10"/>
    </row>
    <row r="163" spans="1:40" s="467" customFormat="1" x14ac:dyDescent="0.2">
      <c r="A163" s="623"/>
      <c r="N163" s="10"/>
      <c r="P163" s="10"/>
      <c r="Q163" s="10"/>
      <c r="R163" s="10"/>
      <c r="S163" s="156" t="s">
        <v>312</v>
      </c>
      <c r="T163" s="55" t="s">
        <v>313</v>
      </c>
      <c r="U163" s="487">
        <v>8565804</v>
      </c>
      <c r="V163" s="17">
        <f t="shared" si="173"/>
        <v>0</v>
      </c>
      <c r="W163" s="17">
        <f t="shared" si="174"/>
        <v>0</v>
      </c>
      <c r="X163" s="18">
        <f t="shared" si="175"/>
        <v>8565804</v>
      </c>
      <c r="Y163" s="21">
        <v>0</v>
      </c>
      <c r="Z163" s="457">
        <v>495314</v>
      </c>
      <c r="AA163" s="18">
        <f t="shared" si="176"/>
        <v>495314</v>
      </c>
      <c r="AB163" s="21">
        <v>0</v>
      </c>
      <c r="AC163" s="457">
        <v>495314</v>
      </c>
      <c r="AD163" s="20">
        <f t="shared" si="177"/>
        <v>495314</v>
      </c>
      <c r="AE163" s="21">
        <v>0</v>
      </c>
      <c r="AF163" s="457">
        <v>0</v>
      </c>
      <c r="AG163" s="18">
        <f t="shared" si="178"/>
        <v>0</v>
      </c>
      <c r="AH163" s="21">
        <f t="shared" si="179"/>
        <v>8070490</v>
      </c>
      <c r="AI163" s="17">
        <f t="shared" si="180"/>
        <v>8070490</v>
      </c>
      <c r="AJ163" s="18">
        <f t="shared" si="181"/>
        <v>8565804</v>
      </c>
      <c r="AK163" s="10"/>
      <c r="AL163" s="455">
        <v>0</v>
      </c>
      <c r="AM163" s="458">
        <v>0</v>
      </c>
      <c r="AN163" s="10"/>
    </row>
    <row r="164" spans="1:40" s="467" customFormat="1" x14ac:dyDescent="0.2">
      <c r="A164" s="623"/>
      <c r="N164" s="10"/>
      <c r="P164" s="10"/>
      <c r="Q164" s="10"/>
      <c r="R164" s="10"/>
      <c r="S164" s="156" t="s">
        <v>314</v>
      </c>
      <c r="T164" s="55" t="s">
        <v>315</v>
      </c>
      <c r="U164" s="487">
        <v>12000000</v>
      </c>
      <c r="V164" s="17">
        <f t="shared" si="173"/>
        <v>0</v>
      </c>
      <c r="W164" s="17">
        <f t="shared" si="174"/>
        <v>0</v>
      </c>
      <c r="X164" s="18">
        <f t="shared" si="175"/>
        <v>12000000</v>
      </c>
      <c r="Y164" s="21">
        <v>0</v>
      </c>
      <c r="Z164" s="457">
        <v>148800</v>
      </c>
      <c r="AA164" s="18">
        <f t="shared" si="176"/>
        <v>148800</v>
      </c>
      <c r="AB164" s="21">
        <v>0</v>
      </c>
      <c r="AC164" s="457">
        <v>148800</v>
      </c>
      <c r="AD164" s="20">
        <f t="shared" si="177"/>
        <v>148800</v>
      </c>
      <c r="AE164" s="21">
        <v>0</v>
      </c>
      <c r="AF164" s="457">
        <v>0</v>
      </c>
      <c r="AG164" s="18">
        <f t="shared" si="178"/>
        <v>0</v>
      </c>
      <c r="AH164" s="21">
        <f t="shared" si="179"/>
        <v>11851200</v>
      </c>
      <c r="AI164" s="17">
        <f t="shared" si="180"/>
        <v>11851200</v>
      </c>
      <c r="AJ164" s="18">
        <f t="shared" si="181"/>
        <v>12000000</v>
      </c>
      <c r="AK164" s="10"/>
      <c r="AL164" s="455">
        <v>0</v>
      </c>
      <c r="AM164" s="458">
        <v>0</v>
      </c>
      <c r="AN164" s="10"/>
    </row>
    <row r="165" spans="1:40" s="467" customFormat="1" x14ac:dyDescent="0.2">
      <c r="A165" s="623"/>
      <c r="N165" s="10"/>
      <c r="P165" s="10"/>
      <c r="Q165" s="10"/>
      <c r="R165" s="10"/>
      <c r="S165" s="156" t="s">
        <v>316</v>
      </c>
      <c r="T165" s="55" t="s">
        <v>317</v>
      </c>
      <c r="U165" s="487">
        <v>19000000</v>
      </c>
      <c r="V165" s="17">
        <f t="shared" si="173"/>
        <v>0</v>
      </c>
      <c r="W165" s="17">
        <f t="shared" si="174"/>
        <v>0</v>
      </c>
      <c r="X165" s="18">
        <f t="shared" si="175"/>
        <v>19000000</v>
      </c>
      <c r="Y165" s="21">
        <v>0</v>
      </c>
      <c r="Z165" s="457">
        <v>0</v>
      </c>
      <c r="AA165" s="18">
        <f t="shared" si="176"/>
        <v>0</v>
      </c>
      <c r="AB165" s="21">
        <v>0</v>
      </c>
      <c r="AC165" s="457">
        <v>0</v>
      </c>
      <c r="AD165" s="20">
        <f t="shared" si="177"/>
        <v>0</v>
      </c>
      <c r="AE165" s="21">
        <v>0</v>
      </c>
      <c r="AF165" s="457">
        <v>0</v>
      </c>
      <c r="AG165" s="18">
        <f t="shared" si="178"/>
        <v>0</v>
      </c>
      <c r="AH165" s="21">
        <f t="shared" si="179"/>
        <v>19000000</v>
      </c>
      <c r="AI165" s="17">
        <f t="shared" si="180"/>
        <v>19000000</v>
      </c>
      <c r="AJ165" s="18">
        <f t="shared" si="181"/>
        <v>19000000</v>
      </c>
      <c r="AK165" s="10"/>
      <c r="AL165" s="455">
        <v>0</v>
      </c>
      <c r="AM165" s="458">
        <v>0</v>
      </c>
      <c r="AN165" s="10"/>
    </row>
    <row r="166" spans="1:40" s="467" customFormat="1" x14ac:dyDescent="0.2">
      <c r="A166" s="623"/>
      <c r="N166" s="10"/>
      <c r="P166" s="10"/>
      <c r="Q166" s="10"/>
      <c r="R166" s="10"/>
      <c r="S166" s="156" t="s">
        <v>318</v>
      </c>
      <c r="T166" s="55" t="s">
        <v>286</v>
      </c>
      <c r="U166" s="487">
        <v>5493510</v>
      </c>
      <c r="V166" s="17">
        <f t="shared" si="173"/>
        <v>0</v>
      </c>
      <c r="W166" s="17">
        <f t="shared" si="174"/>
        <v>0</v>
      </c>
      <c r="X166" s="18">
        <f t="shared" si="175"/>
        <v>5493510</v>
      </c>
      <c r="Y166" s="21">
        <v>0</v>
      </c>
      <c r="Z166" s="457">
        <v>660000</v>
      </c>
      <c r="AA166" s="18">
        <f t="shared" si="176"/>
        <v>660000</v>
      </c>
      <c r="AB166" s="21">
        <v>0</v>
      </c>
      <c r="AC166" s="457">
        <v>660000</v>
      </c>
      <c r="AD166" s="20">
        <f t="shared" si="177"/>
        <v>660000</v>
      </c>
      <c r="AE166" s="21">
        <v>0</v>
      </c>
      <c r="AF166" s="457">
        <v>0</v>
      </c>
      <c r="AG166" s="18">
        <f t="shared" si="178"/>
        <v>0</v>
      </c>
      <c r="AH166" s="21">
        <f t="shared" si="179"/>
        <v>4833510</v>
      </c>
      <c r="AI166" s="17">
        <f t="shared" si="180"/>
        <v>4833510</v>
      </c>
      <c r="AJ166" s="18">
        <f t="shared" si="181"/>
        <v>5493510</v>
      </c>
      <c r="AK166" s="10"/>
      <c r="AL166" s="455">
        <v>0</v>
      </c>
      <c r="AM166" s="458">
        <v>0</v>
      </c>
      <c r="AN166" s="10"/>
    </row>
    <row r="167" spans="1:40" s="467" customFormat="1" x14ac:dyDescent="0.2">
      <c r="A167" s="623"/>
      <c r="N167" s="10"/>
      <c r="P167" s="10"/>
      <c r="Q167" s="10"/>
      <c r="R167" s="10"/>
      <c r="S167" s="156" t="s">
        <v>514</v>
      </c>
      <c r="T167" s="55" t="s">
        <v>515</v>
      </c>
      <c r="U167" s="487">
        <v>0</v>
      </c>
      <c r="V167" s="17">
        <f t="shared" si="173"/>
        <v>0</v>
      </c>
      <c r="W167" s="17">
        <f t="shared" si="174"/>
        <v>0</v>
      </c>
      <c r="X167" s="18">
        <f t="shared" si="175"/>
        <v>0</v>
      </c>
      <c r="Y167" s="21"/>
      <c r="Z167" s="457">
        <v>0</v>
      </c>
      <c r="AA167" s="18">
        <f t="shared" si="176"/>
        <v>0</v>
      </c>
      <c r="AB167" s="21">
        <v>0</v>
      </c>
      <c r="AC167" s="457">
        <v>0</v>
      </c>
      <c r="AD167" s="20">
        <f t="shared" si="177"/>
        <v>0</v>
      </c>
      <c r="AE167" s="21">
        <v>0</v>
      </c>
      <c r="AF167" s="457">
        <v>0</v>
      </c>
      <c r="AG167" s="18">
        <f t="shared" si="178"/>
        <v>0</v>
      </c>
      <c r="AH167" s="21">
        <f t="shared" si="179"/>
        <v>0</v>
      </c>
      <c r="AI167" s="17">
        <f t="shared" si="180"/>
        <v>0</v>
      </c>
      <c r="AJ167" s="18">
        <f t="shared" si="181"/>
        <v>0</v>
      </c>
      <c r="AK167" s="10"/>
      <c r="AL167" s="455">
        <v>0</v>
      </c>
      <c r="AM167" s="458">
        <v>0</v>
      </c>
      <c r="AN167" s="10"/>
    </row>
    <row r="168" spans="1:40" s="467" customFormat="1" x14ac:dyDescent="0.2">
      <c r="A168" s="623"/>
      <c r="N168" s="10"/>
      <c r="P168" s="10"/>
      <c r="Q168" s="10"/>
      <c r="R168" s="10"/>
      <c r="S168" s="155">
        <v>2020299</v>
      </c>
      <c r="T168" s="159" t="s">
        <v>132</v>
      </c>
      <c r="U168" s="487">
        <v>12730159</v>
      </c>
      <c r="V168" s="17">
        <f t="shared" si="173"/>
        <v>0</v>
      </c>
      <c r="W168" s="17">
        <f t="shared" si="174"/>
        <v>0</v>
      </c>
      <c r="X168" s="18">
        <f t="shared" si="175"/>
        <v>12730159</v>
      </c>
      <c r="Y168" s="21">
        <v>0</v>
      </c>
      <c r="Z168" s="457">
        <v>10688834</v>
      </c>
      <c r="AA168" s="18">
        <f t="shared" si="176"/>
        <v>10688834</v>
      </c>
      <c r="AB168" s="21">
        <v>0</v>
      </c>
      <c r="AC168" s="457">
        <v>10688834</v>
      </c>
      <c r="AD168" s="20">
        <f t="shared" si="177"/>
        <v>10688834</v>
      </c>
      <c r="AE168" s="21">
        <v>0</v>
      </c>
      <c r="AF168" s="457">
        <v>12773</v>
      </c>
      <c r="AG168" s="18">
        <f t="shared" si="178"/>
        <v>12773</v>
      </c>
      <c r="AH168" s="21">
        <f t="shared" si="179"/>
        <v>2041325</v>
      </c>
      <c r="AI168" s="17">
        <f t="shared" si="180"/>
        <v>2041325</v>
      </c>
      <c r="AJ168" s="18">
        <f t="shared" si="181"/>
        <v>12717386</v>
      </c>
      <c r="AK168" s="10"/>
      <c r="AL168" s="455">
        <v>0</v>
      </c>
      <c r="AM168" s="458">
        <v>0</v>
      </c>
      <c r="AN168" s="10"/>
    </row>
    <row r="169" spans="1:40" s="467" customFormat="1" ht="15.75" x14ac:dyDescent="0.2">
      <c r="A169" s="623"/>
      <c r="N169" s="10"/>
      <c r="P169" s="10"/>
      <c r="Q169" s="10"/>
      <c r="R169" s="10"/>
      <c r="S169" s="448"/>
      <c r="T169" s="449"/>
      <c r="U169" s="193"/>
      <c r="V169" s="193"/>
      <c r="W169" s="193"/>
      <c r="X169" s="207"/>
      <c r="Y169" s="450"/>
      <c r="Z169" s="193"/>
      <c r="AA169" s="207"/>
      <c r="AB169" s="450"/>
      <c r="AC169" s="193"/>
      <c r="AD169" s="193"/>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v>3000000</v>
      </c>
      <c r="T170" s="588" t="s">
        <v>319</v>
      </c>
      <c r="U170" s="589">
        <f t="shared" ref="U170:AJ170" si="182">U172+U176+U185</f>
        <v>217489235</v>
      </c>
      <c r="V170" s="590">
        <f t="shared" si="182"/>
        <v>0</v>
      </c>
      <c r="W170" s="590">
        <f t="shared" si="182"/>
        <v>0</v>
      </c>
      <c r="X170" s="465">
        <f t="shared" si="182"/>
        <v>217489235</v>
      </c>
      <c r="Y170" s="464">
        <f t="shared" si="182"/>
        <v>0</v>
      </c>
      <c r="Z170" s="590">
        <f t="shared" si="182"/>
        <v>19470019</v>
      </c>
      <c r="AA170" s="465">
        <f t="shared" si="182"/>
        <v>19470019</v>
      </c>
      <c r="AB170" s="464">
        <f t="shared" si="182"/>
        <v>0</v>
      </c>
      <c r="AC170" s="590">
        <f t="shared" si="182"/>
        <v>19324431</v>
      </c>
      <c r="AD170" s="591">
        <f t="shared" si="182"/>
        <v>19324431</v>
      </c>
      <c r="AE170" s="464">
        <f t="shared" si="182"/>
        <v>0</v>
      </c>
      <c r="AF170" s="590">
        <f t="shared" si="182"/>
        <v>11399431</v>
      </c>
      <c r="AG170" s="465">
        <f t="shared" si="182"/>
        <v>11399431</v>
      </c>
      <c r="AH170" s="464">
        <f t="shared" si="182"/>
        <v>198019216</v>
      </c>
      <c r="AI170" s="590">
        <f t="shared" si="182"/>
        <v>198164804</v>
      </c>
      <c r="AJ170" s="465">
        <f t="shared" si="182"/>
        <v>206089804</v>
      </c>
      <c r="AK170" s="10"/>
      <c r="AL170" s="151">
        <f>AL172+AL176+AL185</f>
        <v>0</v>
      </c>
      <c r="AM170" s="153">
        <f>AM172+AM176+AM185</f>
        <v>0</v>
      </c>
      <c r="AN170" s="10"/>
    </row>
    <row r="171" spans="1:40" s="467" customFormat="1" ht="15.75" x14ac:dyDescent="0.2">
      <c r="A171" s="623"/>
      <c r="N171" s="10"/>
      <c r="P171" s="10"/>
      <c r="Q171" s="10"/>
      <c r="R171" s="10"/>
      <c r="S171" s="448"/>
      <c r="T171" s="449"/>
      <c r="U171" s="193"/>
      <c r="V171" s="193"/>
      <c r="W171" s="193"/>
      <c r="X171" s="207"/>
      <c r="Y171" s="450"/>
      <c r="Z171" s="193"/>
      <c r="AA171" s="207"/>
      <c r="AB171" s="450"/>
      <c r="AC171" s="193"/>
      <c r="AD171" s="193"/>
      <c r="AE171" s="450"/>
      <c r="AF171" s="193"/>
      <c r="AG171" s="207"/>
      <c r="AH171" s="450"/>
      <c r="AI171" s="193"/>
      <c r="AJ171" s="207"/>
      <c r="AK171" s="10"/>
      <c r="AL171" s="213"/>
      <c r="AM171" s="214"/>
      <c r="AN171" s="10"/>
    </row>
    <row r="172" spans="1:40" s="467" customFormat="1" ht="15" x14ac:dyDescent="0.2">
      <c r="A172" s="623"/>
      <c r="N172" s="10"/>
      <c r="P172" s="10"/>
      <c r="Q172" s="10"/>
      <c r="R172" s="10"/>
      <c r="S172" s="34">
        <v>3100000</v>
      </c>
      <c r="T172" s="158" t="s">
        <v>320</v>
      </c>
      <c r="U172" s="157">
        <f t="shared" ref="U172:AJ172" si="183">SUM(U173:U174)</f>
        <v>2689964</v>
      </c>
      <c r="V172" s="144">
        <f t="shared" si="183"/>
        <v>0</v>
      </c>
      <c r="W172" s="144">
        <f t="shared" si="183"/>
        <v>0</v>
      </c>
      <c r="X172" s="153">
        <f t="shared" si="183"/>
        <v>2689964</v>
      </c>
      <c r="Y172" s="151">
        <f t="shared" si="183"/>
        <v>0</v>
      </c>
      <c r="Z172" s="144">
        <f t="shared" si="183"/>
        <v>746499</v>
      </c>
      <c r="AA172" s="153">
        <f t="shared" si="183"/>
        <v>746499</v>
      </c>
      <c r="AB172" s="151">
        <f t="shared" si="183"/>
        <v>0</v>
      </c>
      <c r="AC172" s="144">
        <f t="shared" si="183"/>
        <v>746499</v>
      </c>
      <c r="AD172" s="152">
        <f t="shared" si="183"/>
        <v>746499</v>
      </c>
      <c r="AE172" s="151">
        <f t="shared" si="183"/>
        <v>0</v>
      </c>
      <c r="AF172" s="144">
        <f t="shared" si="183"/>
        <v>0</v>
      </c>
      <c r="AG172" s="153">
        <f t="shared" si="183"/>
        <v>0</v>
      </c>
      <c r="AH172" s="151">
        <f t="shared" si="183"/>
        <v>1943465</v>
      </c>
      <c r="AI172" s="144">
        <f t="shared" si="183"/>
        <v>1943465</v>
      </c>
      <c r="AJ172" s="153">
        <f t="shared" si="183"/>
        <v>2689964</v>
      </c>
      <c r="AK172" s="10"/>
      <c r="AL172" s="151">
        <f>SUM(AL173:AL174)</f>
        <v>0</v>
      </c>
      <c r="AM172" s="153">
        <f>SUM(AM173:AM174)</f>
        <v>0</v>
      </c>
      <c r="AN172" s="10"/>
    </row>
    <row r="173" spans="1:40" s="467" customFormat="1" x14ac:dyDescent="0.2">
      <c r="A173" s="623"/>
      <c r="N173" s="10"/>
      <c r="P173" s="10"/>
      <c r="Q173" s="10"/>
      <c r="R173" s="10"/>
      <c r="S173" s="155">
        <v>3100003</v>
      </c>
      <c r="T173" s="159" t="s">
        <v>321</v>
      </c>
      <c r="U173" s="487">
        <v>2689964</v>
      </c>
      <c r="V173" s="17">
        <f>AL173</f>
        <v>0</v>
      </c>
      <c r="W173" s="17">
        <f>AM173</f>
        <v>0</v>
      </c>
      <c r="X173" s="18">
        <f>SUM(U173:W173)</f>
        <v>2689964</v>
      </c>
      <c r="Y173" s="21">
        <v>0</v>
      </c>
      <c r="Z173" s="457">
        <v>0</v>
      </c>
      <c r="AA173" s="18">
        <f>SUM(Y173:Z173)</f>
        <v>0</v>
      </c>
      <c r="AB173" s="21">
        <v>0</v>
      </c>
      <c r="AC173" s="457">
        <v>0</v>
      </c>
      <c r="AD173" s="20">
        <f>SUM(AB173:AC173)</f>
        <v>0</v>
      </c>
      <c r="AE173" s="21">
        <v>0</v>
      </c>
      <c r="AF173" s="457">
        <v>0</v>
      </c>
      <c r="AG173" s="18">
        <f>SUM(AE173:AF173)</f>
        <v>0</v>
      </c>
      <c r="AH173" s="21">
        <f>X173-AA173</f>
        <v>2689964</v>
      </c>
      <c r="AI173" s="17">
        <f>X173-AD173</f>
        <v>2689964</v>
      </c>
      <c r="AJ173" s="18">
        <f>X173-AG173</f>
        <v>2689964</v>
      </c>
      <c r="AK173" s="10"/>
      <c r="AL173" s="455">
        <v>0</v>
      </c>
      <c r="AM173" s="458">
        <v>0</v>
      </c>
      <c r="AN173" s="10"/>
    </row>
    <row r="174" spans="1:40" s="467" customFormat="1" x14ac:dyDescent="0.2">
      <c r="A174" s="623"/>
      <c r="N174" s="10"/>
      <c r="P174" s="10"/>
      <c r="Q174" s="10"/>
      <c r="R174" s="10"/>
      <c r="S174" s="155">
        <v>3199999</v>
      </c>
      <c r="T174" s="159" t="s">
        <v>132</v>
      </c>
      <c r="U174" s="487">
        <v>0</v>
      </c>
      <c r="V174" s="17">
        <f>AL174</f>
        <v>0</v>
      </c>
      <c r="W174" s="17">
        <f>AM174</f>
        <v>0</v>
      </c>
      <c r="X174" s="18">
        <f>SUM(U174:W174)</f>
        <v>0</v>
      </c>
      <c r="Y174" s="21">
        <v>0</v>
      </c>
      <c r="Z174" s="457">
        <v>746499</v>
      </c>
      <c r="AA174" s="18">
        <f>SUM(Y174:Z174)</f>
        <v>746499</v>
      </c>
      <c r="AB174" s="21">
        <v>0</v>
      </c>
      <c r="AC174" s="457">
        <v>746499</v>
      </c>
      <c r="AD174" s="20">
        <f>SUM(AB174:AC174)</f>
        <v>746499</v>
      </c>
      <c r="AE174" s="21">
        <v>0</v>
      </c>
      <c r="AF174" s="457">
        <v>0</v>
      </c>
      <c r="AG174" s="18">
        <f>SUM(AE174:AF174)</f>
        <v>0</v>
      </c>
      <c r="AH174" s="21">
        <f>X174-AA174</f>
        <v>-746499</v>
      </c>
      <c r="AI174" s="17">
        <f>X174-AD174</f>
        <v>-746499</v>
      </c>
      <c r="AJ174" s="18">
        <f>X174-AG174</f>
        <v>0</v>
      </c>
      <c r="AK174" s="10"/>
      <c r="AL174" s="455">
        <v>0</v>
      </c>
      <c r="AM174" s="458">
        <v>0</v>
      </c>
      <c r="AN174" s="10"/>
    </row>
    <row r="175" spans="1:40" s="467" customFormat="1" ht="15.75" x14ac:dyDescent="0.2">
      <c r="A175" s="623"/>
      <c r="N175" s="10"/>
      <c r="P175" s="10"/>
      <c r="Q175" s="10"/>
      <c r="R175" s="10"/>
      <c r="S175" s="448"/>
      <c r="T175" s="449"/>
      <c r="U175" s="256"/>
      <c r="V175" s="193"/>
      <c r="W175" s="193"/>
      <c r="X175" s="207"/>
      <c r="Y175" s="450"/>
      <c r="Z175" s="256"/>
      <c r="AA175" s="207"/>
      <c r="AB175" s="450"/>
      <c r="AC175" s="256"/>
      <c r="AD175" s="193"/>
      <c r="AE175" s="450"/>
      <c r="AF175" s="256"/>
      <c r="AG175" s="207"/>
      <c r="AH175" s="450"/>
      <c r="AI175" s="193"/>
      <c r="AJ175" s="207"/>
      <c r="AK175" s="12"/>
      <c r="AL175" s="213"/>
      <c r="AM175" s="214"/>
      <c r="AN175" s="10"/>
    </row>
    <row r="176" spans="1:40" s="467" customFormat="1" ht="15" x14ac:dyDescent="0.2">
      <c r="A176" s="623"/>
      <c r="N176" s="10"/>
      <c r="P176" s="10"/>
      <c r="Q176" s="10"/>
      <c r="R176" s="10"/>
      <c r="S176" s="34">
        <v>320000</v>
      </c>
      <c r="T176" s="158" t="s">
        <v>322</v>
      </c>
      <c r="U176" s="157">
        <f t="shared" ref="U176:AJ176" si="184">SUM(U177:U183)</f>
        <v>213299271</v>
      </c>
      <c r="V176" s="144">
        <f t="shared" si="184"/>
        <v>0</v>
      </c>
      <c r="W176" s="144">
        <f t="shared" si="184"/>
        <v>0</v>
      </c>
      <c r="X176" s="153">
        <f t="shared" si="184"/>
        <v>213299271</v>
      </c>
      <c r="Y176" s="151">
        <f t="shared" si="184"/>
        <v>0</v>
      </c>
      <c r="Z176" s="144">
        <f t="shared" si="184"/>
        <v>18246970</v>
      </c>
      <c r="AA176" s="153">
        <f t="shared" si="184"/>
        <v>18246970</v>
      </c>
      <c r="AB176" s="151">
        <f t="shared" si="184"/>
        <v>0</v>
      </c>
      <c r="AC176" s="144">
        <f t="shared" si="184"/>
        <v>18101382</v>
      </c>
      <c r="AD176" s="152">
        <f t="shared" si="184"/>
        <v>18101382</v>
      </c>
      <c r="AE176" s="151">
        <f t="shared" si="184"/>
        <v>0</v>
      </c>
      <c r="AF176" s="144">
        <f t="shared" si="184"/>
        <v>11399431</v>
      </c>
      <c r="AG176" s="153">
        <f t="shared" si="184"/>
        <v>11399431</v>
      </c>
      <c r="AH176" s="151">
        <f t="shared" si="184"/>
        <v>195052301</v>
      </c>
      <c r="AI176" s="144">
        <f t="shared" si="184"/>
        <v>195197889</v>
      </c>
      <c r="AJ176" s="153">
        <f t="shared" si="184"/>
        <v>201899840</v>
      </c>
      <c r="AK176" s="10"/>
      <c r="AL176" s="151">
        <f>SUM(AL177:AL183)</f>
        <v>0</v>
      </c>
      <c r="AM176" s="153">
        <f>SUM(AM177:AM183)</f>
        <v>0</v>
      </c>
      <c r="AN176" s="10"/>
    </row>
    <row r="177" spans="1:40" s="467" customFormat="1" x14ac:dyDescent="0.2">
      <c r="A177" s="623"/>
      <c r="N177" s="10"/>
      <c r="P177" s="10"/>
      <c r="Q177" s="10"/>
      <c r="R177" s="10"/>
      <c r="S177" s="155">
        <v>3200100</v>
      </c>
      <c r="T177" s="159" t="s">
        <v>323</v>
      </c>
      <c r="U177" s="487">
        <v>104106866</v>
      </c>
      <c r="V177" s="17">
        <f t="shared" ref="V177:W183" si="185">AL177</f>
        <v>0</v>
      </c>
      <c r="W177" s="17">
        <f t="shared" si="185"/>
        <v>0</v>
      </c>
      <c r="X177" s="18">
        <f t="shared" ref="X177:X183" si="186">SUM(U177:W177)</f>
        <v>104106866</v>
      </c>
      <c r="Y177" s="21">
        <v>0</v>
      </c>
      <c r="Z177" s="457">
        <v>7037842</v>
      </c>
      <c r="AA177" s="18">
        <f t="shared" ref="AA177:AA183" si="187">SUM(Y177:Z177)</f>
        <v>7037842</v>
      </c>
      <c r="AB177" s="21">
        <v>0</v>
      </c>
      <c r="AC177" s="457">
        <v>7037842</v>
      </c>
      <c r="AD177" s="20">
        <f t="shared" ref="AD177:AD183" si="188">SUM(AB177:AC177)</f>
        <v>7037842</v>
      </c>
      <c r="AE177" s="21">
        <v>0</v>
      </c>
      <c r="AF177" s="457">
        <v>6123138</v>
      </c>
      <c r="AG177" s="18">
        <f t="shared" ref="AG177:AG183" si="189">SUM(AE177:AF177)</f>
        <v>6123138</v>
      </c>
      <c r="AH177" s="21">
        <f t="shared" ref="AH177:AH183" si="190">X177-AA177</f>
        <v>97069024</v>
      </c>
      <c r="AI177" s="17">
        <f t="shared" ref="AI177:AI183" si="191">X177-AD177</f>
        <v>97069024</v>
      </c>
      <c r="AJ177" s="18">
        <f t="shared" ref="AJ177:AJ183" si="192">X177-AG177</f>
        <v>97983728</v>
      </c>
      <c r="AK177" s="10"/>
      <c r="AL177" s="455">
        <v>0</v>
      </c>
      <c r="AM177" s="458">
        <v>0</v>
      </c>
      <c r="AN177" s="10"/>
    </row>
    <row r="178" spans="1:40" s="467" customFormat="1" x14ac:dyDescent="0.2">
      <c r="A178" s="623"/>
      <c r="N178" s="10"/>
      <c r="P178" s="10"/>
      <c r="Q178" s="10"/>
      <c r="R178" s="10"/>
      <c r="S178" s="155">
        <v>3200200</v>
      </c>
      <c r="T178" s="159" t="s">
        <v>324</v>
      </c>
      <c r="U178" s="487">
        <v>22532311</v>
      </c>
      <c r="V178" s="17">
        <f t="shared" si="185"/>
        <v>0</v>
      </c>
      <c r="W178" s="17">
        <f t="shared" si="185"/>
        <v>0</v>
      </c>
      <c r="X178" s="18">
        <f t="shared" si="186"/>
        <v>22532311</v>
      </c>
      <c r="Y178" s="21">
        <v>0</v>
      </c>
      <c r="Z178" s="457">
        <v>5145588</v>
      </c>
      <c r="AA178" s="18">
        <f t="shared" si="187"/>
        <v>5145588</v>
      </c>
      <c r="AB178" s="21">
        <v>0</v>
      </c>
      <c r="AC178" s="457">
        <v>5000000</v>
      </c>
      <c r="AD178" s="20">
        <f t="shared" si="188"/>
        <v>5000000</v>
      </c>
      <c r="AE178" s="21">
        <v>0</v>
      </c>
      <c r="AF178" s="457">
        <v>5000000</v>
      </c>
      <c r="AG178" s="18">
        <f t="shared" si="189"/>
        <v>5000000</v>
      </c>
      <c r="AH178" s="21">
        <f t="shared" si="190"/>
        <v>17386723</v>
      </c>
      <c r="AI178" s="17">
        <f t="shared" si="191"/>
        <v>17532311</v>
      </c>
      <c r="AJ178" s="18">
        <f t="shared" si="192"/>
        <v>17532311</v>
      </c>
      <c r="AK178" s="10"/>
      <c r="AL178" s="455">
        <v>0</v>
      </c>
      <c r="AM178" s="458">
        <v>0</v>
      </c>
      <c r="AN178" s="10"/>
    </row>
    <row r="179" spans="1:40" s="467" customFormat="1" x14ac:dyDescent="0.2">
      <c r="A179" s="623"/>
      <c r="N179" s="10"/>
      <c r="P179" s="10"/>
      <c r="Q179" s="10"/>
      <c r="R179" s="10"/>
      <c r="S179" s="155">
        <v>3200300</v>
      </c>
      <c r="T179" s="159" t="s">
        <v>325</v>
      </c>
      <c r="U179" s="487">
        <v>70000000</v>
      </c>
      <c r="V179" s="17">
        <f t="shared" si="185"/>
        <v>0</v>
      </c>
      <c r="W179" s="17">
        <f t="shared" si="185"/>
        <v>0</v>
      </c>
      <c r="X179" s="18">
        <f t="shared" si="186"/>
        <v>70000000</v>
      </c>
      <c r="Y179" s="21">
        <v>0</v>
      </c>
      <c r="Z179" s="457">
        <v>472535</v>
      </c>
      <c r="AA179" s="18">
        <f t="shared" si="187"/>
        <v>472535</v>
      </c>
      <c r="AB179" s="21">
        <v>0</v>
      </c>
      <c r="AC179" s="457">
        <v>472535</v>
      </c>
      <c r="AD179" s="20">
        <f t="shared" si="188"/>
        <v>472535</v>
      </c>
      <c r="AE179" s="21">
        <v>0</v>
      </c>
      <c r="AF179" s="457">
        <v>0</v>
      </c>
      <c r="AG179" s="18">
        <f t="shared" si="189"/>
        <v>0</v>
      </c>
      <c r="AH179" s="21">
        <f t="shared" si="190"/>
        <v>69527465</v>
      </c>
      <c r="AI179" s="17">
        <f t="shared" si="191"/>
        <v>69527465</v>
      </c>
      <c r="AJ179" s="18">
        <f t="shared" si="192"/>
        <v>70000000</v>
      </c>
      <c r="AK179" s="10"/>
      <c r="AL179" s="455">
        <v>0</v>
      </c>
      <c r="AM179" s="458">
        <v>0</v>
      </c>
      <c r="AN179" s="10"/>
    </row>
    <row r="180" spans="1:40" s="467" customFormat="1" x14ac:dyDescent="0.2">
      <c r="A180" s="623"/>
      <c r="N180" s="10"/>
      <c r="P180" s="10"/>
      <c r="Q180" s="10"/>
      <c r="R180" s="10"/>
      <c r="S180" s="155">
        <v>3200400</v>
      </c>
      <c r="T180" s="159" t="s">
        <v>326</v>
      </c>
      <c r="U180" s="487">
        <v>14660094</v>
      </c>
      <c r="V180" s="17">
        <f t="shared" si="185"/>
        <v>0</v>
      </c>
      <c r="W180" s="17">
        <f t="shared" si="185"/>
        <v>0</v>
      </c>
      <c r="X180" s="18">
        <f t="shared" si="186"/>
        <v>14660094</v>
      </c>
      <c r="Y180" s="21">
        <v>0</v>
      </c>
      <c r="Z180" s="457">
        <v>0</v>
      </c>
      <c r="AA180" s="18">
        <f t="shared" si="187"/>
        <v>0</v>
      </c>
      <c r="AB180" s="21">
        <v>0</v>
      </c>
      <c r="AC180" s="457">
        <v>0</v>
      </c>
      <c r="AD180" s="20">
        <f t="shared" si="188"/>
        <v>0</v>
      </c>
      <c r="AE180" s="21">
        <v>0</v>
      </c>
      <c r="AF180" s="457">
        <v>0</v>
      </c>
      <c r="AG180" s="18">
        <f t="shared" si="189"/>
        <v>0</v>
      </c>
      <c r="AH180" s="21">
        <f t="shared" si="190"/>
        <v>14660094</v>
      </c>
      <c r="AI180" s="17">
        <f t="shared" si="191"/>
        <v>14660094</v>
      </c>
      <c r="AJ180" s="18">
        <f t="shared" si="192"/>
        <v>14660094</v>
      </c>
      <c r="AK180" s="10"/>
      <c r="AL180" s="455">
        <v>0</v>
      </c>
      <c r="AM180" s="458">
        <v>0</v>
      </c>
      <c r="AN180" s="10"/>
    </row>
    <row r="181" spans="1:40" s="467" customFormat="1" x14ac:dyDescent="0.2">
      <c r="A181" s="623"/>
      <c r="N181" s="10"/>
      <c r="P181" s="10"/>
      <c r="Q181" s="10"/>
      <c r="R181" s="10"/>
      <c r="S181" s="228"/>
      <c r="T181" s="174"/>
      <c r="U181" s="487">
        <v>0</v>
      </c>
      <c r="V181" s="17">
        <f>AL181</f>
        <v>0</v>
      </c>
      <c r="W181" s="17">
        <f>AM181</f>
        <v>0</v>
      </c>
      <c r="X181" s="18">
        <f t="shared" si="186"/>
        <v>0</v>
      </c>
      <c r="Y181" s="21">
        <v>0</v>
      </c>
      <c r="Z181" s="457">
        <v>0</v>
      </c>
      <c r="AA181" s="18">
        <f t="shared" si="187"/>
        <v>0</v>
      </c>
      <c r="AB181" s="21">
        <v>0</v>
      </c>
      <c r="AC181" s="457">
        <v>0</v>
      </c>
      <c r="AD181" s="20">
        <f t="shared" si="188"/>
        <v>0</v>
      </c>
      <c r="AE181" s="21">
        <v>0</v>
      </c>
      <c r="AF181" s="457">
        <v>0</v>
      </c>
      <c r="AG181" s="18">
        <f t="shared" si="189"/>
        <v>0</v>
      </c>
      <c r="AH181" s="21">
        <f t="shared" si="190"/>
        <v>0</v>
      </c>
      <c r="AI181" s="17">
        <f t="shared" si="191"/>
        <v>0</v>
      </c>
      <c r="AJ181" s="18">
        <f t="shared" si="192"/>
        <v>0</v>
      </c>
      <c r="AK181" s="10"/>
      <c r="AL181" s="455">
        <v>0</v>
      </c>
      <c r="AM181" s="458">
        <v>0</v>
      </c>
      <c r="AN181" s="10"/>
    </row>
    <row r="182" spans="1:40" s="467" customFormat="1" x14ac:dyDescent="0.2">
      <c r="A182" s="623"/>
      <c r="N182" s="10"/>
      <c r="P182" s="10"/>
      <c r="Q182" s="10"/>
      <c r="R182" s="10"/>
      <c r="S182" s="228"/>
      <c r="T182" s="174"/>
      <c r="U182" s="487">
        <v>0</v>
      </c>
      <c r="V182" s="17">
        <f>AL182</f>
        <v>0</v>
      </c>
      <c r="W182" s="17">
        <f>AM182</f>
        <v>0</v>
      </c>
      <c r="X182" s="18">
        <f t="shared" si="186"/>
        <v>0</v>
      </c>
      <c r="Y182" s="21">
        <v>0</v>
      </c>
      <c r="Z182" s="457">
        <v>0</v>
      </c>
      <c r="AA182" s="18">
        <f t="shared" si="187"/>
        <v>0</v>
      </c>
      <c r="AB182" s="21">
        <v>0</v>
      </c>
      <c r="AC182" s="457">
        <v>0</v>
      </c>
      <c r="AD182" s="20">
        <f t="shared" si="188"/>
        <v>0</v>
      </c>
      <c r="AE182" s="21">
        <v>0</v>
      </c>
      <c r="AF182" s="457">
        <v>0</v>
      </c>
      <c r="AG182" s="18">
        <f t="shared" si="189"/>
        <v>0</v>
      </c>
      <c r="AH182" s="21">
        <f t="shared" si="190"/>
        <v>0</v>
      </c>
      <c r="AI182" s="17">
        <f t="shared" si="191"/>
        <v>0</v>
      </c>
      <c r="AJ182" s="18">
        <f t="shared" si="192"/>
        <v>0</v>
      </c>
      <c r="AK182" s="10"/>
      <c r="AL182" s="455">
        <v>0</v>
      </c>
      <c r="AM182" s="458">
        <v>0</v>
      </c>
      <c r="AN182" s="10"/>
    </row>
    <row r="183" spans="1:40" s="467" customFormat="1" x14ac:dyDescent="0.2">
      <c r="A183" s="623"/>
      <c r="N183" s="10"/>
      <c r="P183" s="10"/>
      <c r="Q183" s="10"/>
      <c r="R183" s="10"/>
      <c r="S183" s="155">
        <v>3299999</v>
      </c>
      <c r="T183" s="159" t="s">
        <v>132</v>
      </c>
      <c r="U183" s="487">
        <v>2000000</v>
      </c>
      <c r="V183" s="17">
        <f t="shared" si="185"/>
        <v>0</v>
      </c>
      <c r="W183" s="17">
        <f t="shared" si="185"/>
        <v>0</v>
      </c>
      <c r="X183" s="18">
        <f t="shared" si="186"/>
        <v>2000000</v>
      </c>
      <c r="Y183" s="21">
        <v>0</v>
      </c>
      <c r="Z183" s="457">
        <v>5591005</v>
      </c>
      <c r="AA183" s="18">
        <f t="shared" si="187"/>
        <v>5591005</v>
      </c>
      <c r="AB183" s="21">
        <v>0</v>
      </c>
      <c r="AC183" s="457">
        <v>5591005</v>
      </c>
      <c r="AD183" s="20">
        <f t="shared" si="188"/>
        <v>5591005</v>
      </c>
      <c r="AE183" s="21">
        <v>0</v>
      </c>
      <c r="AF183" s="457">
        <v>276293</v>
      </c>
      <c r="AG183" s="18">
        <f t="shared" si="189"/>
        <v>276293</v>
      </c>
      <c r="AH183" s="21">
        <f t="shared" si="190"/>
        <v>-3591005</v>
      </c>
      <c r="AI183" s="17">
        <f t="shared" si="191"/>
        <v>-3591005</v>
      </c>
      <c r="AJ183" s="18">
        <f t="shared" si="192"/>
        <v>1723707</v>
      </c>
      <c r="AK183" s="10"/>
      <c r="AL183" s="455">
        <v>0</v>
      </c>
      <c r="AM183" s="458">
        <v>0</v>
      </c>
      <c r="AN183" s="10"/>
    </row>
    <row r="184" spans="1:40" s="467" customFormat="1" ht="15.75" x14ac:dyDescent="0.2">
      <c r="A184" s="623"/>
      <c r="N184" s="10"/>
      <c r="P184" s="10"/>
      <c r="Q184" s="10"/>
      <c r="R184" s="10"/>
      <c r="S184" s="448"/>
      <c r="T184" s="449"/>
      <c r="U184" s="256"/>
      <c r="V184" s="193"/>
      <c r="W184" s="193"/>
      <c r="X184" s="207"/>
      <c r="Y184" s="450"/>
      <c r="Z184" s="256"/>
      <c r="AA184" s="207"/>
      <c r="AB184" s="450"/>
      <c r="AC184" s="256"/>
      <c r="AD184" s="193"/>
      <c r="AE184" s="450"/>
      <c r="AF184" s="256"/>
      <c r="AG184" s="207"/>
      <c r="AH184" s="450"/>
      <c r="AI184" s="193"/>
      <c r="AJ184" s="207"/>
      <c r="AK184" s="10"/>
      <c r="AL184" s="213"/>
      <c r="AM184" s="214"/>
      <c r="AN184" s="10"/>
    </row>
    <row r="185" spans="1:40" s="467" customFormat="1" ht="15" x14ac:dyDescent="0.2">
      <c r="A185" s="623"/>
      <c r="N185" s="10"/>
      <c r="P185" s="10"/>
      <c r="Q185" s="10"/>
      <c r="R185" s="10"/>
      <c r="S185" s="34">
        <v>3300000</v>
      </c>
      <c r="T185" s="158" t="s">
        <v>327</v>
      </c>
      <c r="U185" s="157">
        <f t="shared" ref="U185:AJ185" si="193">U186+U187+U191</f>
        <v>1500000</v>
      </c>
      <c r="V185" s="144">
        <f t="shared" si="193"/>
        <v>0</v>
      </c>
      <c r="W185" s="144">
        <f t="shared" si="193"/>
        <v>0</v>
      </c>
      <c r="X185" s="153">
        <f t="shared" si="193"/>
        <v>1500000</v>
      </c>
      <c r="Y185" s="151">
        <f t="shared" si="193"/>
        <v>0</v>
      </c>
      <c r="Z185" s="144">
        <f t="shared" si="193"/>
        <v>476550</v>
      </c>
      <c r="AA185" s="153">
        <f t="shared" si="193"/>
        <v>476550</v>
      </c>
      <c r="AB185" s="151">
        <f t="shared" si="193"/>
        <v>0</v>
      </c>
      <c r="AC185" s="144">
        <f t="shared" si="193"/>
        <v>476550</v>
      </c>
      <c r="AD185" s="152">
        <f t="shared" si="193"/>
        <v>476550</v>
      </c>
      <c r="AE185" s="151">
        <f t="shared" si="193"/>
        <v>0</v>
      </c>
      <c r="AF185" s="144">
        <f t="shared" si="193"/>
        <v>0</v>
      </c>
      <c r="AG185" s="153">
        <f t="shared" si="193"/>
        <v>0</v>
      </c>
      <c r="AH185" s="151">
        <f t="shared" si="193"/>
        <v>1023450</v>
      </c>
      <c r="AI185" s="144">
        <f t="shared" si="193"/>
        <v>1023450</v>
      </c>
      <c r="AJ185" s="153">
        <f t="shared" si="193"/>
        <v>1500000</v>
      </c>
      <c r="AK185" s="10"/>
      <c r="AL185" s="151">
        <f>AL186+AL187+AL191</f>
        <v>0</v>
      </c>
      <c r="AM185" s="153">
        <f>AM186+AM187+AM191</f>
        <v>0</v>
      </c>
      <c r="AN185" s="10"/>
    </row>
    <row r="186" spans="1:40" s="467" customFormat="1" x14ac:dyDescent="0.2">
      <c r="A186" s="623"/>
      <c r="N186" s="10"/>
      <c r="P186" s="10"/>
      <c r="Q186" s="10"/>
      <c r="R186" s="10"/>
      <c r="S186" s="155">
        <v>3300100</v>
      </c>
      <c r="T186" s="159" t="s">
        <v>328</v>
      </c>
      <c r="U186" s="487">
        <v>0</v>
      </c>
      <c r="V186" s="17">
        <f>AL186</f>
        <v>0</v>
      </c>
      <c r="W186" s="17">
        <f>AM186</f>
        <v>0</v>
      </c>
      <c r="X186" s="18">
        <f>SUM(U186:W186)</f>
        <v>0</v>
      </c>
      <c r="Y186" s="21">
        <v>0</v>
      </c>
      <c r="Z186" s="457">
        <v>0</v>
      </c>
      <c r="AA186" s="18">
        <f>SUM(Y186:Z186)</f>
        <v>0</v>
      </c>
      <c r="AB186" s="21">
        <v>0</v>
      </c>
      <c r="AC186" s="457">
        <v>0</v>
      </c>
      <c r="AD186" s="20">
        <f>SUM(AB186:AC186)</f>
        <v>0</v>
      </c>
      <c r="AE186" s="21">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v>3300200</v>
      </c>
      <c r="T187" s="159" t="s">
        <v>329</v>
      </c>
      <c r="U187" s="19">
        <f t="shared" ref="U187:AM187" si="194">SUM(U188:U190)</f>
        <v>1500000</v>
      </c>
      <c r="V187" s="17">
        <f t="shared" si="194"/>
        <v>0</v>
      </c>
      <c r="W187" s="17">
        <f t="shared" si="194"/>
        <v>0</v>
      </c>
      <c r="X187" s="18">
        <f t="shared" si="194"/>
        <v>1500000</v>
      </c>
      <c r="Y187" s="21">
        <f t="shared" si="194"/>
        <v>0</v>
      </c>
      <c r="Z187" s="169">
        <f t="shared" si="194"/>
        <v>0</v>
      </c>
      <c r="AA187" s="18">
        <f t="shared" si="194"/>
        <v>0</v>
      </c>
      <c r="AB187" s="21">
        <f t="shared" si="194"/>
        <v>0</v>
      </c>
      <c r="AC187" s="169">
        <f t="shared" si="194"/>
        <v>0</v>
      </c>
      <c r="AD187" s="20">
        <f t="shared" si="194"/>
        <v>0</v>
      </c>
      <c r="AE187" s="21">
        <f t="shared" si="194"/>
        <v>0</v>
      </c>
      <c r="AF187" s="169">
        <f t="shared" si="194"/>
        <v>0</v>
      </c>
      <c r="AG187" s="18">
        <f t="shared" si="194"/>
        <v>0</v>
      </c>
      <c r="AH187" s="21">
        <f t="shared" si="194"/>
        <v>1500000</v>
      </c>
      <c r="AI187" s="17">
        <f t="shared" si="194"/>
        <v>1500000</v>
      </c>
      <c r="AJ187" s="18">
        <f t="shared" si="194"/>
        <v>1500000</v>
      </c>
      <c r="AK187" s="10"/>
      <c r="AL187" s="31">
        <f t="shared" si="194"/>
        <v>0</v>
      </c>
      <c r="AM187" s="28">
        <f t="shared" si="194"/>
        <v>0</v>
      </c>
      <c r="AN187" s="10"/>
    </row>
    <row r="188" spans="1:40" s="467" customFormat="1" x14ac:dyDescent="0.2">
      <c r="A188" s="623"/>
      <c r="B188" s="554"/>
      <c r="N188" s="10"/>
      <c r="P188" s="10"/>
      <c r="Q188" s="10"/>
      <c r="R188" s="10"/>
      <c r="S188" s="156" t="s">
        <v>330</v>
      </c>
      <c r="T188" s="55" t="s">
        <v>446</v>
      </c>
      <c r="U188" s="487">
        <v>1500000</v>
      </c>
      <c r="V188" s="17">
        <f t="shared" ref="V188:W191" si="195">AL188</f>
        <v>0</v>
      </c>
      <c r="W188" s="17">
        <f t="shared" si="195"/>
        <v>0</v>
      </c>
      <c r="X188" s="18">
        <f>SUM(U188:W188)</f>
        <v>1500000</v>
      </c>
      <c r="Y188" s="21">
        <v>0</v>
      </c>
      <c r="Z188" s="457">
        <v>0</v>
      </c>
      <c r="AA188" s="18">
        <f>SUM(Y188:Z188)</f>
        <v>0</v>
      </c>
      <c r="AB188" s="21">
        <v>0</v>
      </c>
      <c r="AC188" s="457">
        <v>0</v>
      </c>
      <c r="AD188" s="20">
        <f>SUM(AB188:AC188)</f>
        <v>0</v>
      </c>
      <c r="AE188" s="21">
        <v>0</v>
      </c>
      <c r="AF188" s="457">
        <v>0</v>
      </c>
      <c r="AG188" s="18">
        <f>SUM(AE188:AF188)</f>
        <v>0</v>
      </c>
      <c r="AH188" s="21">
        <f>X188-AA188</f>
        <v>1500000</v>
      </c>
      <c r="AI188" s="17">
        <f>X188-AD188</f>
        <v>1500000</v>
      </c>
      <c r="AJ188" s="18">
        <f>X188-AG188</f>
        <v>1500000</v>
      </c>
      <c r="AK188" s="10"/>
      <c r="AL188" s="455">
        <v>0</v>
      </c>
      <c r="AM188" s="458">
        <v>0</v>
      </c>
      <c r="AN188" s="10"/>
    </row>
    <row r="189" spans="1:40" s="467" customFormat="1" x14ac:dyDescent="0.2">
      <c r="A189" s="623"/>
      <c r="B189" s="554"/>
      <c r="N189" s="10"/>
      <c r="P189" s="10"/>
      <c r="Q189" s="10"/>
      <c r="R189" s="10"/>
      <c r="S189" s="156" t="s">
        <v>331</v>
      </c>
      <c r="T189" s="55" t="s">
        <v>447</v>
      </c>
      <c r="U189" s="487">
        <v>0</v>
      </c>
      <c r="V189" s="17">
        <f t="shared" si="195"/>
        <v>0</v>
      </c>
      <c r="W189" s="17">
        <f t="shared" si="195"/>
        <v>0</v>
      </c>
      <c r="X189" s="18">
        <f>SUM(U189:W189)</f>
        <v>0</v>
      </c>
      <c r="Y189" s="21">
        <v>0</v>
      </c>
      <c r="Z189" s="457">
        <v>0</v>
      </c>
      <c r="AA189" s="18">
        <f>SUM(Y189:Z189)</f>
        <v>0</v>
      </c>
      <c r="AB189" s="21">
        <v>0</v>
      </c>
      <c r="AC189" s="457">
        <v>0</v>
      </c>
      <c r="AD189" s="20">
        <f>SUM(AB189:AC189)</f>
        <v>0</v>
      </c>
      <c r="AE189" s="21">
        <v>0</v>
      </c>
      <c r="AF189" s="457">
        <v>0</v>
      </c>
      <c r="AG189" s="18">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
        <v>332</v>
      </c>
      <c r="T190" s="55" t="s">
        <v>448</v>
      </c>
      <c r="U190" s="487">
        <v>0</v>
      </c>
      <c r="V190" s="17">
        <f t="shared" si="195"/>
        <v>0</v>
      </c>
      <c r="W190" s="17">
        <f t="shared" si="195"/>
        <v>0</v>
      </c>
      <c r="X190" s="18">
        <f>SUM(U190:W190)</f>
        <v>0</v>
      </c>
      <c r="Y190" s="21">
        <v>0</v>
      </c>
      <c r="Z190" s="457">
        <v>0</v>
      </c>
      <c r="AA190" s="18">
        <f>SUM(Y190:Z190)</f>
        <v>0</v>
      </c>
      <c r="AB190" s="21">
        <v>0</v>
      </c>
      <c r="AC190" s="457">
        <v>0</v>
      </c>
      <c r="AD190" s="20">
        <f>SUM(AB190:AC190)</f>
        <v>0</v>
      </c>
      <c r="AE190" s="21">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v>3399999</v>
      </c>
      <c r="T191" s="159" t="s">
        <v>132</v>
      </c>
      <c r="U191" s="487">
        <v>0</v>
      </c>
      <c r="V191" s="17">
        <f t="shared" si="195"/>
        <v>0</v>
      </c>
      <c r="W191" s="17">
        <f t="shared" si="195"/>
        <v>0</v>
      </c>
      <c r="X191" s="18">
        <f>SUM(U191:W191)</f>
        <v>0</v>
      </c>
      <c r="Y191" s="21">
        <v>0</v>
      </c>
      <c r="Z191" s="457">
        <v>476550</v>
      </c>
      <c r="AA191" s="18">
        <f>SUM(Y191:Z191)</f>
        <v>476550</v>
      </c>
      <c r="AB191" s="21">
        <v>0</v>
      </c>
      <c r="AC191" s="457">
        <v>476550</v>
      </c>
      <c r="AD191" s="20">
        <f>SUM(AB191:AC191)</f>
        <v>476550</v>
      </c>
      <c r="AE191" s="21">
        <v>0</v>
      </c>
      <c r="AF191" s="457">
        <v>0</v>
      </c>
      <c r="AG191" s="18">
        <f>SUM(AE191:AF191)</f>
        <v>0</v>
      </c>
      <c r="AH191" s="21">
        <f>X191-AA191</f>
        <v>-476550</v>
      </c>
      <c r="AI191" s="17">
        <f>X191-AD191</f>
        <v>-476550</v>
      </c>
      <c r="AJ191" s="18">
        <f>X191-AG191</f>
        <v>0</v>
      </c>
      <c r="AK191" s="10"/>
      <c r="AL191" s="455">
        <v>0</v>
      </c>
      <c r="AM191" s="458">
        <v>0</v>
      </c>
      <c r="AN191" s="10"/>
    </row>
    <row r="192" spans="1:40" s="467" customFormat="1" ht="15.75" x14ac:dyDescent="0.2">
      <c r="A192" s="623"/>
      <c r="B192" s="554"/>
      <c r="N192" s="10"/>
      <c r="P192" s="10"/>
      <c r="Q192" s="10"/>
      <c r="R192" s="10"/>
      <c r="S192" s="448"/>
      <c r="T192" s="449"/>
      <c r="U192" s="256"/>
      <c r="V192" s="193"/>
      <c r="W192" s="193"/>
      <c r="X192" s="207"/>
      <c r="Y192" s="450"/>
      <c r="Z192" s="256"/>
      <c r="AA192" s="207"/>
      <c r="AB192" s="450"/>
      <c r="AC192" s="256"/>
      <c r="AD192" s="193"/>
      <c r="AE192" s="450"/>
      <c r="AF192" s="256"/>
      <c r="AG192" s="207"/>
      <c r="AH192" s="450"/>
      <c r="AI192" s="193"/>
      <c r="AJ192" s="207"/>
      <c r="AK192" s="10"/>
      <c r="AL192" s="213"/>
      <c r="AM192" s="214"/>
      <c r="AN192" s="10"/>
    </row>
    <row r="193" spans="1:40" s="467" customFormat="1" ht="15.75" x14ac:dyDescent="0.2">
      <c r="A193" s="623"/>
      <c r="B193" s="554"/>
      <c r="N193" s="10"/>
      <c r="P193" s="10"/>
      <c r="Q193" s="10"/>
      <c r="R193" s="10"/>
      <c r="S193" s="469">
        <v>4000000</v>
      </c>
      <c r="T193" s="588" t="s">
        <v>333</v>
      </c>
      <c r="U193" s="589">
        <f t="shared" ref="U193:AJ193" si="196">U194</f>
        <v>355892858</v>
      </c>
      <c r="V193" s="590">
        <f t="shared" si="196"/>
        <v>0</v>
      </c>
      <c r="W193" s="590">
        <f t="shared" si="196"/>
        <v>0</v>
      </c>
      <c r="X193" s="465">
        <f t="shared" si="196"/>
        <v>355892858</v>
      </c>
      <c r="Y193" s="464">
        <f t="shared" si="196"/>
        <v>0</v>
      </c>
      <c r="Z193" s="590">
        <f t="shared" si="196"/>
        <v>79674748</v>
      </c>
      <c r="AA193" s="465">
        <f t="shared" si="196"/>
        <v>79674748</v>
      </c>
      <c r="AB193" s="464">
        <f t="shared" si="196"/>
        <v>0</v>
      </c>
      <c r="AC193" s="590">
        <f t="shared" si="196"/>
        <v>79674748</v>
      </c>
      <c r="AD193" s="591">
        <f t="shared" si="196"/>
        <v>79674748</v>
      </c>
      <c r="AE193" s="464">
        <f t="shared" si="196"/>
        <v>0</v>
      </c>
      <c r="AF193" s="590">
        <f t="shared" si="196"/>
        <v>1063000</v>
      </c>
      <c r="AG193" s="465">
        <f t="shared" si="196"/>
        <v>1063000</v>
      </c>
      <c r="AH193" s="464">
        <f t="shared" si="196"/>
        <v>276218110</v>
      </c>
      <c r="AI193" s="590">
        <f t="shared" si="196"/>
        <v>276218110</v>
      </c>
      <c r="AJ193" s="465">
        <f t="shared" si="196"/>
        <v>354829858</v>
      </c>
      <c r="AK193" s="10"/>
      <c r="AL193" s="151">
        <f>AL194</f>
        <v>0</v>
      </c>
      <c r="AM193" s="153">
        <f>AM194</f>
        <v>0</v>
      </c>
      <c r="AN193" s="10"/>
    </row>
    <row r="194" spans="1:40" s="467" customFormat="1" ht="15" x14ac:dyDescent="0.2">
      <c r="A194" s="623"/>
      <c r="B194" s="554"/>
      <c r="N194" s="10"/>
      <c r="P194" s="10"/>
      <c r="Q194" s="10"/>
      <c r="R194" s="10"/>
      <c r="S194" s="34">
        <v>4100000</v>
      </c>
      <c r="T194" s="158" t="s">
        <v>334</v>
      </c>
      <c r="U194" s="157">
        <f t="shared" ref="U194:AJ194" si="197">U195+U203+U205</f>
        <v>355892858</v>
      </c>
      <c r="V194" s="144">
        <f t="shared" si="197"/>
        <v>0</v>
      </c>
      <c r="W194" s="144">
        <f t="shared" si="197"/>
        <v>0</v>
      </c>
      <c r="X194" s="153">
        <f t="shared" si="197"/>
        <v>355892858</v>
      </c>
      <c r="Y194" s="151">
        <f t="shared" si="197"/>
        <v>0</v>
      </c>
      <c r="Z194" s="144">
        <f t="shared" si="197"/>
        <v>79674748</v>
      </c>
      <c r="AA194" s="153">
        <f t="shared" si="197"/>
        <v>79674748</v>
      </c>
      <c r="AB194" s="151">
        <f t="shared" si="197"/>
        <v>0</v>
      </c>
      <c r="AC194" s="144">
        <f t="shared" si="197"/>
        <v>79674748</v>
      </c>
      <c r="AD194" s="152">
        <f t="shared" si="197"/>
        <v>79674748</v>
      </c>
      <c r="AE194" s="151">
        <f t="shared" si="197"/>
        <v>0</v>
      </c>
      <c r="AF194" s="144">
        <f t="shared" si="197"/>
        <v>1063000</v>
      </c>
      <c r="AG194" s="153">
        <f t="shared" si="197"/>
        <v>1063000</v>
      </c>
      <c r="AH194" s="151">
        <f t="shared" si="197"/>
        <v>276218110</v>
      </c>
      <c r="AI194" s="144">
        <f t="shared" si="197"/>
        <v>276218110</v>
      </c>
      <c r="AJ194" s="153">
        <f t="shared" si="197"/>
        <v>354829858</v>
      </c>
      <c r="AK194" s="12"/>
      <c r="AL194" s="151">
        <f>AL195+AL203+AL205</f>
        <v>0</v>
      </c>
      <c r="AM194" s="153">
        <f>AM195+AM203+AM205</f>
        <v>0</v>
      </c>
      <c r="AN194" s="10"/>
    </row>
    <row r="195" spans="1:40" s="467" customFormat="1" x14ac:dyDescent="0.2">
      <c r="A195" s="623"/>
      <c r="B195" s="554"/>
      <c r="N195" s="10"/>
      <c r="P195" s="10"/>
      <c r="Q195" s="10"/>
      <c r="R195" s="10"/>
      <c r="S195" s="155">
        <v>4100100</v>
      </c>
      <c r="T195" s="159" t="s">
        <v>335</v>
      </c>
      <c r="U195" s="19">
        <f t="shared" ref="U195:AJ195" si="198">SUM(U196:U202)</f>
        <v>282124359</v>
      </c>
      <c r="V195" s="17">
        <f t="shared" si="198"/>
        <v>0</v>
      </c>
      <c r="W195" s="17">
        <f t="shared" si="198"/>
        <v>0</v>
      </c>
      <c r="X195" s="18">
        <f t="shared" si="198"/>
        <v>282124359</v>
      </c>
      <c r="Y195" s="21">
        <f t="shared" si="198"/>
        <v>0</v>
      </c>
      <c r="Z195" s="169">
        <f t="shared" si="198"/>
        <v>17864160</v>
      </c>
      <c r="AA195" s="18">
        <f t="shared" si="198"/>
        <v>17864160</v>
      </c>
      <c r="AB195" s="21">
        <f t="shared" si="198"/>
        <v>0</v>
      </c>
      <c r="AC195" s="169">
        <f t="shared" si="198"/>
        <v>17864160</v>
      </c>
      <c r="AD195" s="20">
        <f t="shared" si="198"/>
        <v>17864160</v>
      </c>
      <c r="AE195" s="21">
        <f t="shared" si="198"/>
        <v>0</v>
      </c>
      <c r="AF195" s="169">
        <f t="shared" si="198"/>
        <v>1063000</v>
      </c>
      <c r="AG195" s="18">
        <f t="shared" si="198"/>
        <v>1063000</v>
      </c>
      <c r="AH195" s="21">
        <f t="shared" si="198"/>
        <v>264260199</v>
      </c>
      <c r="AI195" s="17">
        <f t="shared" si="198"/>
        <v>264260199</v>
      </c>
      <c r="AJ195" s="18">
        <f t="shared" si="198"/>
        <v>281061359</v>
      </c>
      <c r="AK195" s="10"/>
      <c r="AL195" s="31">
        <f>SUM(AL196:AL202)</f>
        <v>0</v>
      </c>
      <c r="AM195" s="28">
        <f>SUM(AM196:AM202)</f>
        <v>0</v>
      </c>
      <c r="AN195" s="10"/>
    </row>
    <row r="196" spans="1:40" s="467" customFormat="1" x14ac:dyDescent="0.2">
      <c r="A196" s="623"/>
      <c r="B196" s="554"/>
      <c r="N196" s="10"/>
      <c r="P196" s="10"/>
      <c r="Q196" s="10"/>
      <c r="R196" s="10"/>
      <c r="S196" s="156" t="s">
        <v>336</v>
      </c>
      <c r="T196" s="55" t="s">
        <v>449</v>
      </c>
      <c r="U196" s="487">
        <v>185254982</v>
      </c>
      <c r="V196" s="17">
        <f t="shared" ref="V196:W200" si="199">AL196</f>
        <v>0</v>
      </c>
      <c r="W196" s="17">
        <f t="shared" si="199"/>
        <v>0</v>
      </c>
      <c r="X196" s="18">
        <f t="shared" ref="X196:X202" si="200">SUM(U196:W196)</f>
        <v>185254982</v>
      </c>
      <c r="Y196" s="21">
        <v>0</v>
      </c>
      <c r="Z196" s="457">
        <v>13797645</v>
      </c>
      <c r="AA196" s="18">
        <f t="shared" ref="AA196:AA202" si="201">SUM(Y196:Z196)</f>
        <v>13797645</v>
      </c>
      <c r="AB196" s="21">
        <v>0</v>
      </c>
      <c r="AC196" s="457">
        <v>13797645</v>
      </c>
      <c r="AD196" s="20">
        <f t="shared" ref="AD196:AD202" si="202">SUM(AB196:AC196)</f>
        <v>13797645</v>
      </c>
      <c r="AE196" s="21">
        <v>0</v>
      </c>
      <c r="AF196" s="457">
        <v>463000</v>
      </c>
      <c r="AG196" s="18">
        <f t="shared" ref="AG196:AG202" si="203">SUM(AE196:AF196)</f>
        <v>463000</v>
      </c>
      <c r="AH196" s="21">
        <f t="shared" ref="AH196:AH202" si="204">X196-AA196</f>
        <v>171457337</v>
      </c>
      <c r="AI196" s="17">
        <f t="shared" ref="AI196:AI202" si="205">X196-AD196</f>
        <v>171457337</v>
      </c>
      <c r="AJ196" s="18">
        <f t="shared" ref="AJ196:AJ202" si="206">X196-AG196</f>
        <v>184791982</v>
      </c>
      <c r="AK196" s="10"/>
      <c r="AL196" s="455">
        <v>0</v>
      </c>
      <c r="AM196" s="458">
        <v>0</v>
      </c>
      <c r="AN196" s="10"/>
    </row>
    <row r="197" spans="1:40" s="467" customFormat="1" x14ac:dyDescent="0.2">
      <c r="A197" s="623"/>
      <c r="B197" s="554"/>
      <c r="N197" s="10"/>
      <c r="P197" s="10"/>
      <c r="Q197" s="10"/>
      <c r="R197" s="10"/>
      <c r="S197" s="156" t="s">
        <v>337</v>
      </c>
      <c r="T197" s="55" t="s">
        <v>450</v>
      </c>
      <c r="U197" s="487">
        <v>45805235</v>
      </c>
      <c r="V197" s="17">
        <f t="shared" si="199"/>
        <v>0</v>
      </c>
      <c r="W197" s="17">
        <f t="shared" si="199"/>
        <v>0</v>
      </c>
      <c r="X197" s="18">
        <f t="shared" si="200"/>
        <v>45805235</v>
      </c>
      <c r="Y197" s="21">
        <v>0</v>
      </c>
      <c r="Z197" s="457">
        <v>2867710</v>
      </c>
      <c r="AA197" s="18">
        <f t="shared" si="201"/>
        <v>2867710</v>
      </c>
      <c r="AB197" s="21">
        <v>0</v>
      </c>
      <c r="AC197" s="457">
        <v>2867710</v>
      </c>
      <c r="AD197" s="20">
        <f t="shared" si="202"/>
        <v>2867710</v>
      </c>
      <c r="AE197" s="21">
        <v>0</v>
      </c>
      <c r="AF197" s="457">
        <v>0</v>
      </c>
      <c r="AG197" s="18">
        <f t="shared" si="203"/>
        <v>0</v>
      </c>
      <c r="AH197" s="21">
        <f t="shared" si="204"/>
        <v>42937525</v>
      </c>
      <c r="AI197" s="17">
        <f t="shared" si="205"/>
        <v>42937525</v>
      </c>
      <c r="AJ197" s="18">
        <f t="shared" si="206"/>
        <v>45805235</v>
      </c>
      <c r="AK197" s="10"/>
      <c r="AL197" s="455">
        <v>0</v>
      </c>
      <c r="AM197" s="458">
        <v>0</v>
      </c>
      <c r="AN197" s="10"/>
    </row>
    <row r="198" spans="1:40" s="467" customFormat="1" x14ac:dyDescent="0.2">
      <c r="A198" s="623"/>
      <c r="B198" s="554"/>
      <c r="N198" s="10"/>
      <c r="P198" s="10"/>
      <c r="Q198" s="10"/>
      <c r="R198" s="10"/>
      <c r="S198" s="156" t="s">
        <v>338</v>
      </c>
      <c r="T198" s="55" t="s">
        <v>451</v>
      </c>
      <c r="U198" s="487">
        <v>28507645</v>
      </c>
      <c r="V198" s="17">
        <f t="shared" si="199"/>
        <v>0</v>
      </c>
      <c r="W198" s="17">
        <f t="shared" si="199"/>
        <v>0</v>
      </c>
      <c r="X198" s="18">
        <f t="shared" si="200"/>
        <v>28507645</v>
      </c>
      <c r="Y198" s="21">
        <v>0</v>
      </c>
      <c r="Z198" s="457">
        <v>930000</v>
      </c>
      <c r="AA198" s="18">
        <f t="shared" si="201"/>
        <v>930000</v>
      </c>
      <c r="AB198" s="21">
        <v>0</v>
      </c>
      <c r="AC198" s="457">
        <v>930000</v>
      </c>
      <c r="AD198" s="20">
        <f t="shared" si="202"/>
        <v>930000</v>
      </c>
      <c r="AE198" s="21">
        <v>0</v>
      </c>
      <c r="AF198" s="457">
        <v>600000</v>
      </c>
      <c r="AG198" s="18">
        <f t="shared" si="203"/>
        <v>600000</v>
      </c>
      <c r="AH198" s="21">
        <f t="shared" si="204"/>
        <v>27577645</v>
      </c>
      <c r="AI198" s="17">
        <f t="shared" si="205"/>
        <v>27577645</v>
      </c>
      <c r="AJ198" s="18">
        <f t="shared" si="206"/>
        <v>27907645</v>
      </c>
      <c r="AK198" s="10"/>
      <c r="AL198" s="455">
        <v>0</v>
      </c>
      <c r="AM198" s="458">
        <v>0</v>
      </c>
      <c r="AN198" s="10"/>
    </row>
    <row r="199" spans="1:40" s="467" customFormat="1" x14ac:dyDescent="0.2">
      <c r="A199" s="623"/>
      <c r="B199" s="554"/>
      <c r="N199" s="10"/>
      <c r="P199" s="10"/>
      <c r="Q199" s="10"/>
      <c r="R199" s="10"/>
      <c r="S199" s="156" t="s">
        <v>339</v>
      </c>
      <c r="T199" s="55" t="s">
        <v>452</v>
      </c>
      <c r="U199" s="487">
        <v>13598841</v>
      </c>
      <c r="V199" s="17">
        <f t="shared" si="199"/>
        <v>0</v>
      </c>
      <c r="W199" s="17">
        <f t="shared" si="199"/>
        <v>0</v>
      </c>
      <c r="X199" s="18">
        <f t="shared" si="200"/>
        <v>13598841</v>
      </c>
      <c r="Y199" s="21">
        <v>0</v>
      </c>
      <c r="Z199" s="457">
        <v>30000</v>
      </c>
      <c r="AA199" s="18">
        <f t="shared" si="201"/>
        <v>30000</v>
      </c>
      <c r="AB199" s="21">
        <v>0</v>
      </c>
      <c r="AC199" s="457">
        <v>30000</v>
      </c>
      <c r="AD199" s="20">
        <f t="shared" si="202"/>
        <v>30000</v>
      </c>
      <c r="AE199" s="21">
        <v>0</v>
      </c>
      <c r="AF199" s="457">
        <v>0</v>
      </c>
      <c r="AG199" s="18">
        <f t="shared" si="203"/>
        <v>0</v>
      </c>
      <c r="AH199" s="21">
        <f t="shared" si="204"/>
        <v>13568841</v>
      </c>
      <c r="AI199" s="17">
        <f t="shared" si="205"/>
        <v>13568841</v>
      </c>
      <c r="AJ199" s="18">
        <f t="shared" si="206"/>
        <v>13598841</v>
      </c>
      <c r="AK199" s="10"/>
      <c r="AL199" s="455">
        <v>0</v>
      </c>
      <c r="AM199" s="458">
        <v>0</v>
      </c>
      <c r="AN199" s="10"/>
    </row>
    <row r="200" spans="1:40" s="467" customFormat="1" x14ac:dyDescent="0.2">
      <c r="A200" s="623"/>
      <c r="B200" s="554"/>
      <c r="N200" s="10"/>
      <c r="P200" s="10"/>
      <c r="Q200" s="10"/>
      <c r="R200" s="10"/>
      <c r="S200" s="156" t="s">
        <v>340</v>
      </c>
      <c r="T200" s="55" t="s">
        <v>453</v>
      </c>
      <c r="U200" s="487">
        <v>8957656</v>
      </c>
      <c r="V200" s="17">
        <f t="shared" si="199"/>
        <v>0</v>
      </c>
      <c r="W200" s="17">
        <f t="shared" si="199"/>
        <v>0</v>
      </c>
      <c r="X200" s="18">
        <f t="shared" si="200"/>
        <v>8957656</v>
      </c>
      <c r="Y200" s="21">
        <v>0</v>
      </c>
      <c r="Z200" s="457">
        <v>238805</v>
      </c>
      <c r="AA200" s="18">
        <f t="shared" si="201"/>
        <v>238805</v>
      </c>
      <c r="AB200" s="21">
        <v>0</v>
      </c>
      <c r="AC200" s="457">
        <v>238805</v>
      </c>
      <c r="AD200" s="20">
        <f t="shared" si="202"/>
        <v>238805</v>
      </c>
      <c r="AE200" s="21">
        <v>0</v>
      </c>
      <c r="AF200" s="457">
        <v>0</v>
      </c>
      <c r="AG200" s="18">
        <f t="shared" si="203"/>
        <v>0</v>
      </c>
      <c r="AH200" s="21">
        <f t="shared" si="204"/>
        <v>8718851</v>
      </c>
      <c r="AI200" s="17">
        <f t="shared" si="205"/>
        <v>8718851</v>
      </c>
      <c r="AJ200" s="18">
        <f t="shared" si="206"/>
        <v>8957656</v>
      </c>
      <c r="AK200" s="10"/>
      <c r="AL200" s="455">
        <v>0</v>
      </c>
      <c r="AM200" s="458">
        <v>0</v>
      </c>
      <c r="AN200" s="10"/>
    </row>
    <row r="201" spans="1:40" s="467" customFormat="1" x14ac:dyDescent="0.2">
      <c r="A201" s="623"/>
      <c r="B201" s="554"/>
      <c r="N201" s="10"/>
      <c r="P201" s="10"/>
      <c r="Q201" s="10"/>
      <c r="R201" s="10"/>
      <c r="S201" s="229"/>
      <c r="T201" s="205"/>
      <c r="U201" s="487">
        <v>0</v>
      </c>
      <c r="V201" s="17">
        <f>AL201</f>
        <v>0</v>
      </c>
      <c r="W201" s="17">
        <f>AM201</f>
        <v>0</v>
      </c>
      <c r="X201" s="18">
        <f t="shared" si="200"/>
        <v>0</v>
      </c>
      <c r="Y201" s="21">
        <v>0</v>
      </c>
      <c r="Z201" s="457">
        <v>0</v>
      </c>
      <c r="AA201" s="18">
        <f t="shared" si="201"/>
        <v>0</v>
      </c>
      <c r="AB201" s="21">
        <v>0</v>
      </c>
      <c r="AC201" s="457">
        <v>0</v>
      </c>
      <c r="AD201" s="20">
        <f t="shared" si="202"/>
        <v>0</v>
      </c>
      <c r="AE201" s="21">
        <v>0</v>
      </c>
      <c r="AF201" s="457">
        <v>0</v>
      </c>
      <c r="AG201" s="18">
        <f t="shared" si="203"/>
        <v>0</v>
      </c>
      <c r="AH201" s="21">
        <f t="shared" si="204"/>
        <v>0</v>
      </c>
      <c r="AI201" s="17">
        <f t="shared" si="205"/>
        <v>0</v>
      </c>
      <c r="AJ201" s="18">
        <f t="shared" si="206"/>
        <v>0</v>
      </c>
      <c r="AK201" s="10"/>
      <c r="AL201" s="455">
        <v>0</v>
      </c>
      <c r="AM201" s="458">
        <v>0</v>
      </c>
      <c r="AN201" s="10"/>
    </row>
    <row r="202" spans="1:40" s="467" customFormat="1" x14ac:dyDescent="0.2">
      <c r="A202" s="623"/>
      <c r="B202" s="554"/>
      <c r="N202" s="10"/>
      <c r="P202" s="10"/>
      <c r="Q202" s="10"/>
      <c r="R202" s="10"/>
      <c r="S202" s="229"/>
      <c r="T202" s="205"/>
      <c r="U202" s="487">
        <v>0</v>
      </c>
      <c r="V202" s="17">
        <f>AL202</f>
        <v>0</v>
      </c>
      <c r="W202" s="17">
        <f>AM202</f>
        <v>0</v>
      </c>
      <c r="X202" s="18">
        <f t="shared" si="200"/>
        <v>0</v>
      </c>
      <c r="Y202" s="21">
        <v>0</v>
      </c>
      <c r="Z202" s="457">
        <v>0</v>
      </c>
      <c r="AA202" s="18">
        <f t="shared" si="201"/>
        <v>0</v>
      </c>
      <c r="AB202" s="21">
        <v>0</v>
      </c>
      <c r="AC202" s="457">
        <v>0</v>
      </c>
      <c r="AD202" s="20">
        <f t="shared" si="202"/>
        <v>0</v>
      </c>
      <c r="AE202" s="21">
        <v>0</v>
      </c>
      <c r="AF202" s="457">
        <v>0</v>
      </c>
      <c r="AG202" s="18">
        <f t="shared" si="203"/>
        <v>0</v>
      </c>
      <c r="AH202" s="21">
        <f t="shared" si="204"/>
        <v>0</v>
      </c>
      <c r="AI202" s="17">
        <f t="shared" si="205"/>
        <v>0</v>
      </c>
      <c r="AJ202" s="18">
        <f t="shared" si="206"/>
        <v>0</v>
      </c>
      <c r="AK202" s="10"/>
      <c r="AL202" s="455">
        <v>0</v>
      </c>
      <c r="AM202" s="458">
        <v>0</v>
      </c>
      <c r="AN202" s="10"/>
    </row>
    <row r="203" spans="1:40" s="467" customFormat="1" x14ac:dyDescent="0.2">
      <c r="A203" s="623"/>
      <c r="B203" s="554"/>
      <c r="N203" s="10"/>
      <c r="P203" s="10"/>
      <c r="Q203" s="10"/>
      <c r="R203" s="10"/>
      <c r="S203" s="155">
        <v>4100200</v>
      </c>
      <c r="T203" s="159" t="s">
        <v>341</v>
      </c>
      <c r="U203" s="19">
        <f t="shared" ref="U203:AJ203" si="207">U204</f>
        <v>28768499</v>
      </c>
      <c r="V203" s="17">
        <f t="shared" si="207"/>
        <v>0</v>
      </c>
      <c r="W203" s="17">
        <f t="shared" si="207"/>
        <v>0</v>
      </c>
      <c r="X203" s="18">
        <f t="shared" si="207"/>
        <v>28768499</v>
      </c>
      <c r="Y203" s="21">
        <f t="shared" si="207"/>
        <v>0</v>
      </c>
      <c r="Z203" s="169">
        <f t="shared" si="207"/>
        <v>1593297</v>
      </c>
      <c r="AA203" s="18">
        <f t="shared" si="207"/>
        <v>1593297</v>
      </c>
      <c r="AB203" s="21">
        <f t="shared" si="207"/>
        <v>0</v>
      </c>
      <c r="AC203" s="169">
        <f t="shared" si="207"/>
        <v>1593297</v>
      </c>
      <c r="AD203" s="20">
        <f t="shared" si="207"/>
        <v>1593297</v>
      </c>
      <c r="AE203" s="21">
        <f t="shared" si="207"/>
        <v>0</v>
      </c>
      <c r="AF203" s="169">
        <f t="shared" si="207"/>
        <v>0</v>
      </c>
      <c r="AG203" s="18">
        <f t="shared" si="207"/>
        <v>0</v>
      </c>
      <c r="AH203" s="21">
        <f t="shared" si="207"/>
        <v>27175202</v>
      </c>
      <c r="AI203" s="17">
        <f t="shared" si="207"/>
        <v>27175202</v>
      </c>
      <c r="AJ203" s="18">
        <f t="shared" si="207"/>
        <v>28768499</v>
      </c>
      <c r="AK203" s="10"/>
      <c r="AL203" s="31">
        <f>AL204</f>
        <v>0</v>
      </c>
      <c r="AM203" s="28">
        <f>AM204</f>
        <v>0</v>
      </c>
      <c r="AN203" s="10"/>
    </row>
    <row r="204" spans="1:40" s="467" customFormat="1" x14ac:dyDescent="0.2">
      <c r="A204" s="623"/>
      <c r="B204" s="554"/>
      <c r="N204" s="10"/>
      <c r="P204" s="10"/>
      <c r="Q204" s="10"/>
      <c r="R204" s="10"/>
      <c r="S204" s="156" t="s">
        <v>342</v>
      </c>
      <c r="T204" s="55" t="s">
        <v>454</v>
      </c>
      <c r="U204" s="487">
        <v>28768499</v>
      </c>
      <c r="V204" s="17">
        <f>AL204</f>
        <v>0</v>
      </c>
      <c r="W204" s="17">
        <f>AM204</f>
        <v>0</v>
      </c>
      <c r="X204" s="18">
        <f>SUM(U204:W204)</f>
        <v>28768499</v>
      </c>
      <c r="Y204" s="21">
        <v>0</v>
      </c>
      <c r="Z204" s="457">
        <v>1593297</v>
      </c>
      <c r="AA204" s="18">
        <f>SUM(Y204:Z204)</f>
        <v>1593297</v>
      </c>
      <c r="AB204" s="21">
        <v>0</v>
      </c>
      <c r="AC204" s="457">
        <v>1593297</v>
      </c>
      <c r="AD204" s="20">
        <f>SUM(AB204:AC204)</f>
        <v>1593297</v>
      </c>
      <c r="AE204" s="21">
        <v>0</v>
      </c>
      <c r="AF204" s="457">
        <v>0</v>
      </c>
      <c r="AG204" s="18">
        <f>SUM(AE204:AF204)</f>
        <v>0</v>
      </c>
      <c r="AH204" s="21">
        <f>X204-AA204</f>
        <v>27175202</v>
      </c>
      <c r="AI204" s="17">
        <f>X204-AD204</f>
        <v>27175202</v>
      </c>
      <c r="AJ204" s="18">
        <f>X204-AG204</f>
        <v>28768499</v>
      </c>
      <c r="AK204" s="10"/>
      <c r="AL204" s="455">
        <v>0</v>
      </c>
      <c r="AM204" s="458">
        <v>0</v>
      </c>
      <c r="AN204" s="10"/>
    </row>
    <row r="205" spans="1:40" s="467" customFormat="1" ht="13.5" thickBot="1" x14ac:dyDescent="0.25">
      <c r="A205" s="623"/>
      <c r="B205" s="554"/>
      <c r="N205" s="10"/>
      <c r="P205" s="10"/>
      <c r="Q205" s="10"/>
      <c r="R205" s="10"/>
      <c r="S205" s="624">
        <v>4199999</v>
      </c>
      <c r="T205" s="625" t="s">
        <v>132</v>
      </c>
      <c r="U205" s="626">
        <v>45000000</v>
      </c>
      <c r="V205" s="143">
        <f>AL205</f>
        <v>0</v>
      </c>
      <c r="W205" s="143">
        <f>AM205</f>
        <v>0</v>
      </c>
      <c r="X205" s="148">
        <f>SUM(U205:W205)</f>
        <v>45000000</v>
      </c>
      <c r="Y205" s="147">
        <v>0</v>
      </c>
      <c r="Z205" s="475">
        <v>60217291</v>
      </c>
      <c r="AA205" s="148">
        <f>SUM(Y205:Z205)</f>
        <v>60217291</v>
      </c>
      <c r="AB205" s="147">
        <v>0</v>
      </c>
      <c r="AC205" s="475">
        <v>60217291</v>
      </c>
      <c r="AD205" s="149">
        <f>SUM(AB205:AC205)</f>
        <v>60217291</v>
      </c>
      <c r="AE205" s="147">
        <v>0</v>
      </c>
      <c r="AF205" s="475">
        <v>0</v>
      </c>
      <c r="AG205" s="148">
        <f>SUM(AE205:AF205)</f>
        <v>0</v>
      </c>
      <c r="AH205" s="147">
        <f>X205-AA205</f>
        <v>-15217291</v>
      </c>
      <c r="AI205" s="143">
        <f>X205-AD205</f>
        <v>-15217291</v>
      </c>
      <c r="AJ205" s="148">
        <f>X205-AG205</f>
        <v>45000000</v>
      </c>
      <c r="AK205" s="10"/>
      <c r="AL205" s="471">
        <v>0</v>
      </c>
      <c r="AM205" s="476">
        <v>0</v>
      </c>
      <c r="AN205" s="10"/>
    </row>
    <row r="206" spans="1:40" s="467" customFormat="1" ht="15.75" x14ac:dyDescent="0.2">
      <c r="A206" s="623"/>
      <c r="B206" s="554"/>
      <c r="N206" s="10"/>
      <c r="P206" s="10"/>
      <c r="Q206" s="10"/>
      <c r="R206" s="10"/>
      <c r="S206" s="627"/>
      <c r="T206" s="628"/>
      <c r="U206" s="265"/>
      <c r="V206" s="208"/>
      <c r="W206" s="208"/>
      <c r="X206" s="209"/>
      <c r="Y206" s="629"/>
      <c r="Z206" s="265"/>
      <c r="AA206" s="209"/>
      <c r="AB206" s="208"/>
      <c r="AC206" s="265"/>
      <c r="AD206" s="208"/>
      <c r="AE206" s="629"/>
      <c r="AF206" s="265"/>
      <c r="AG206" s="209"/>
      <c r="AH206" s="629"/>
      <c r="AI206" s="208"/>
      <c r="AJ206" s="209"/>
      <c r="AK206" s="10"/>
      <c r="AL206" s="630"/>
      <c r="AM206" s="631"/>
      <c r="AN206" s="10"/>
    </row>
    <row r="207" spans="1:40" s="467" customFormat="1" ht="19.5" x14ac:dyDescent="0.2">
      <c r="A207" s="623"/>
      <c r="B207" s="554"/>
      <c r="N207" s="10"/>
      <c r="P207" s="10"/>
      <c r="Q207" s="10"/>
      <c r="R207" s="10"/>
      <c r="S207" s="632" t="s">
        <v>343</v>
      </c>
      <c r="T207" s="633" t="s">
        <v>344</v>
      </c>
      <c r="U207" s="589">
        <f t="shared" ref="U207:AJ207" si="208">U209</f>
        <v>0</v>
      </c>
      <c r="V207" s="590">
        <f t="shared" si="208"/>
        <v>0</v>
      </c>
      <c r="W207" s="590">
        <f t="shared" si="208"/>
        <v>0</v>
      </c>
      <c r="X207" s="465">
        <f t="shared" si="208"/>
        <v>0</v>
      </c>
      <c r="Y207" s="464">
        <f t="shared" si="208"/>
        <v>0</v>
      </c>
      <c r="Z207" s="634">
        <f t="shared" si="208"/>
        <v>0</v>
      </c>
      <c r="AA207" s="465">
        <f t="shared" si="208"/>
        <v>0</v>
      </c>
      <c r="AB207" s="589">
        <f t="shared" si="208"/>
        <v>0</v>
      </c>
      <c r="AC207" s="634">
        <f t="shared" si="208"/>
        <v>0</v>
      </c>
      <c r="AD207" s="591">
        <f t="shared" si="208"/>
        <v>0</v>
      </c>
      <c r="AE207" s="464">
        <f t="shared" si="208"/>
        <v>0</v>
      </c>
      <c r="AF207" s="634">
        <f t="shared" si="208"/>
        <v>0</v>
      </c>
      <c r="AG207" s="465">
        <f t="shared" si="208"/>
        <v>0</v>
      </c>
      <c r="AH207" s="464">
        <f t="shared" si="208"/>
        <v>0</v>
      </c>
      <c r="AI207" s="590">
        <f t="shared" si="208"/>
        <v>0</v>
      </c>
      <c r="AJ207" s="465">
        <f t="shared" si="208"/>
        <v>0</v>
      </c>
      <c r="AK207" s="10"/>
      <c r="AL207" s="464">
        <f>AL209</f>
        <v>0</v>
      </c>
      <c r="AM207" s="465">
        <f>AM209</f>
        <v>0</v>
      </c>
      <c r="AN207" s="10"/>
    </row>
    <row r="208" spans="1:40" s="467" customFormat="1" ht="15.75" x14ac:dyDescent="0.2">
      <c r="A208" s="623"/>
      <c r="B208" s="554"/>
      <c r="N208" s="10"/>
      <c r="P208" s="10"/>
      <c r="Q208" s="10"/>
      <c r="R208" s="10"/>
      <c r="S208" s="635"/>
      <c r="T208" s="636"/>
      <c r="U208" s="256"/>
      <c r="V208" s="193"/>
      <c r="W208" s="193"/>
      <c r="X208" s="207"/>
      <c r="Y208" s="450"/>
      <c r="Z208" s="256"/>
      <c r="AA208" s="207"/>
      <c r="AB208" s="193"/>
      <c r="AC208" s="256"/>
      <c r="AD208" s="193"/>
      <c r="AE208" s="450"/>
      <c r="AF208" s="256"/>
      <c r="AG208" s="207"/>
      <c r="AH208" s="450"/>
      <c r="AI208" s="193"/>
      <c r="AJ208" s="207"/>
      <c r="AK208" s="10"/>
      <c r="AL208" s="637"/>
      <c r="AM208" s="638"/>
      <c r="AN208" s="10"/>
    </row>
    <row r="209" spans="1:40" s="467" customFormat="1" ht="15.75" x14ac:dyDescent="0.2">
      <c r="A209" s="623"/>
      <c r="B209" s="554"/>
      <c r="N209" s="10"/>
      <c r="P209" s="10"/>
      <c r="Q209" s="10"/>
      <c r="R209" s="10"/>
      <c r="S209" s="639">
        <v>5000000</v>
      </c>
      <c r="T209" s="640" t="s">
        <v>480</v>
      </c>
      <c r="U209" s="589">
        <f t="shared" ref="U209:AJ209" si="209">U210</f>
        <v>0</v>
      </c>
      <c r="V209" s="590">
        <f t="shared" si="209"/>
        <v>0</v>
      </c>
      <c r="W209" s="590">
        <f t="shared" si="209"/>
        <v>0</v>
      </c>
      <c r="X209" s="465">
        <f t="shared" si="209"/>
        <v>0</v>
      </c>
      <c r="Y209" s="464">
        <f t="shared" si="209"/>
        <v>0</v>
      </c>
      <c r="Z209" s="634">
        <f t="shared" si="209"/>
        <v>0</v>
      </c>
      <c r="AA209" s="465">
        <f t="shared" si="209"/>
        <v>0</v>
      </c>
      <c r="AB209" s="589">
        <f t="shared" si="209"/>
        <v>0</v>
      </c>
      <c r="AC209" s="634">
        <f t="shared" si="209"/>
        <v>0</v>
      </c>
      <c r="AD209" s="591">
        <f t="shared" si="209"/>
        <v>0</v>
      </c>
      <c r="AE209" s="464">
        <f t="shared" si="209"/>
        <v>0</v>
      </c>
      <c r="AF209" s="634">
        <f t="shared" si="209"/>
        <v>0</v>
      </c>
      <c r="AG209" s="465">
        <f t="shared" si="209"/>
        <v>0</v>
      </c>
      <c r="AH209" s="464">
        <f t="shared" si="209"/>
        <v>0</v>
      </c>
      <c r="AI209" s="590">
        <f t="shared" si="209"/>
        <v>0</v>
      </c>
      <c r="AJ209" s="465">
        <f t="shared" si="209"/>
        <v>0</v>
      </c>
      <c r="AK209" s="10"/>
      <c r="AL209" s="151">
        <f>AL210</f>
        <v>0</v>
      </c>
      <c r="AM209" s="153">
        <f>AM210</f>
        <v>0</v>
      </c>
      <c r="AN209" s="10"/>
    </row>
    <row r="210" spans="1:40" s="467" customFormat="1" ht="15" x14ac:dyDescent="0.2">
      <c r="A210" s="623"/>
      <c r="B210" s="554"/>
      <c r="N210" s="10"/>
      <c r="P210" s="10"/>
      <c r="Q210" s="10"/>
      <c r="R210" s="10"/>
      <c r="S210" s="258">
        <v>5100000</v>
      </c>
      <c r="T210" s="259" t="s">
        <v>345</v>
      </c>
      <c r="U210" s="157">
        <f t="shared" ref="U210:AJ210" si="210">U211+U218</f>
        <v>0</v>
      </c>
      <c r="V210" s="144">
        <f t="shared" si="210"/>
        <v>0</v>
      </c>
      <c r="W210" s="144">
        <f t="shared" si="210"/>
        <v>0</v>
      </c>
      <c r="X210" s="153">
        <f t="shared" si="210"/>
        <v>0</v>
      </c>
      <c r="Y210" s="151">
        <f t="shared" si="210"/>
        <v>0</v>
      </c>
      <c r="Z210" s="263">
        <f t="shared" si="210"/>
        <v>0</v>
      </c>
      <c r="AA210" s="153">
        <f t="shared" si="210"/>
        <v>0</v>
      </c>
      <c r="AB210" s="157">
        <f t="shared" si="210"/>
        <v>0</v>
      </c>
      <c r="AC210" s="263">
        <f t="shared" si="210"/>
        <v>0</v>
      </c>
      <c r="AD210" s="152">
        <f t="shared" si="210"/>
        <v>0</v>
      </c>
      <c r="AE210" s="151">
        <f t="shared" si="210"/>
        <v>0</v>
      </c>
      <c r="AF210" s="263">
        <f t="shared" si="210"/>
        <v>0</v>
      </c>
      <c r="AG210" s="153">
        <f t="shared" si="210"/>
        <v>0</v>
      </c>
      <c r="AH210" s="151">
        <f t="shared" si="210"/>
        <v>0</v>
      </c>
      <c r="AI210" s="144">
        <f t="shared" si="210"/>
        <v>0</v>
      </c>
      <c r="AJ210" s="153">
        <f t="shared" si="210"/>
        <v>0</v>
      </c>
      <c r="AK210" s="10"/>
      <c r="AL210" s="151">
        <f>AL211+AL218</f>
        <v>0</v>
      </c>
      <c r="AM210" s="153">
        <f>AM211+AM218</f>
        <v>0</v>
      </c>
      <c r="AN210" s="10"/>
    </row>
    <row r="211" spans="1:40" s="467" customFormat="1" x14ac:dyDescent="0.2">
      <c r="A211" s="623"/>
      <c r="B211" s="554"/>
      <c r="N211" s="10"/>
      <c r="P211" s="10"/>
      <c r="Q211" s="10"/>
      <c r="R211" s="10"/>
      <c r="S211" s="260">
        <v>5100100</v>
      </c>
      <c r="T211" s="261" t="s">
        <v>346</v>
      </c>
      <c r="U211" s="19">
        <f t="shared" ref="U211:AJ211" si="211">SUM(U212:U217)</f>
        <v>0</v>
      </c>
      <c r="V211" s="17">
        <f t="shared" si="211"/>
        <v>0</v>
      </c>
      <c r="W211" s="17">
        <f t="shared" si="211"/>
        <v>0</v>
      </c>
      <c r="X211" s="18">
        <f t="shared" si="211"/>
        <v>0</v>
      </c>
      <c r="Y211" s="21">
        <f t="shared" si="211"/>
        <v>0</v>
      </c>
      <c r="Z211" s="169">
        <f t="shared" si="211"/>
        <v>0</v>
      </c>
      <c r="AA211" s="18">
        <f t="shared" si="211"/>
        <v>0</v>
      </c>
      <c r="AB211" s="19">
        <f t="shared" si="211"/>
        <v>0</v>
      </c>
      <c r="AC211" s="169">
        <f t="shared" si="211"/>
        <v>0</v>
      </c>
      <c r="AD211" s="20">
        <f t="shared" si="211"/>
        <v>0</v>
      </c>
      <c r="AE211" s="21">
        <f t="shared" si="211"/>
        <v>0</v>
      </c>
      <c r="AF211" s="169">
        <f t="shared" si="211"/>
        <v>0</v>
      </c>
      <c r="AG211" s="18">
        <f t="shared" si="211"/>
        <v>0</v>
      </c>
      <c r="AH211" s="21">
        <f t="shared" si="211"/>
        <v>0</v>
      </c>
      <c r="AI211" s="17">
        <f t="shared" si="211"/>
        <v>0</v>
      </c>
      <c r="AJ211" s="18">
        <f t="shared" si="211"/>
        <v>0</v>
      </c>
      <c r="AK211" s="12"/>
      <c r="AL211" s="31">
        <f>SUM(AL212:AL217)</f>
        <v>0</v>
      </c>
      <c r="AM211" s="28">
        <f>SUM(AM212:AM217)</f>
        <v>0</v>
      </c>
      <c r="AN211" s="10"/>
    </row>
    <row r="212" spans="1:40" s="467" customFormat="1" x14ac:dyDescent="0.2">
      <c r="A212" s="623"/>
      <c r="B212" s="554"/>
      <c r="N212" s="10"/>
      <c r="P212" s="10"/>
      <c r="Q212" s="10"/>
      <c r="R212" s="10"/>
      <c r="S212" s="262" t="s">
        <v>347</v>
      </c>
      <c r="T212" s="641" t="s">
        <v>449</v>
      </c>
      <c r="U212" s="487">
        <v>0</v>
      </c>
      <c r="V212" s="17">
        <f t="shared" ref="V212:W218" si="212">AL212</f>
        <v>0</v>
      </c>
      <c r="W212" s="17">
        <f t="shared" si="212"/>
        <v>0</v>
      </c>
      <c r="X212" s="18">
        <f t="shared" ref="X212:X218" si="213">SUM(U212:W212)</f>
        <v>0</v>
      </c>
      <c r="Y212" s="21">
        <v>0</v>
      </c>
      <c r="Z212" s="457">
        <v>0</v>
      </c>
      <c r="AA212" s="18">
        <f t="shared" ref="AA212:AA218" si="214">SUM(Y212:Z212)</f>
        <v>0</v>
      </c>
      <c r="AB212" s="19">
        <v>0</v>
      </c>
      <c r="AC212" s="457">
        <v>0</v>
      </c>
      <c r="AD212" s="20">
        <f t="shared" ref="AD212:AD218" si="215">SUM(AB212:AC212)</f>
        <v>0</v>
      </c>
      <c r="AE212" s="21">
        <v>0</v>
      </c>
      <c r="AF212" s="457">
        <v>0</v>
      </c>
      <c r="AG212" s="18">
        <f t="shared" ref="AG212:AG218" si="216">SUM(AE212:AF212)</f>
        <v>0</v>
      </c>
      <c r="AH212" s="21">
        <f t="shared" ref="AH212:AH218" si="217">X212-AA212</f>
        <v>0</v>
      </c>
      <c r="AI212" s="17">
        <f t="shared" ref="AI212:AI218" si="218">X212-AD212</f>
        <v>0</v>
      </c>
      <c r="AJ212" s="18">
        <f t="shared" ref="AJ212:AJ218" si="219">X212-AG212</f>
        <v>0</v>
      </c>
      <c r="AK212" s="10"/>
      <c r="AL212" s="455">
        <v>0</v>
      </c>
      <c r="AM212" s="458">
        <v>0</v>
      </c>
      <c r="AN212" s="10"/>
    </row>
    <row r="213" spans="1:40" s="467" customFormat="1" x14ac:dyDescent="0.2">
      <c r="A213" s="623"/>
      <c r="B213" s="554"/>
      <c r="N213" s="10"/>
      <c r="P213" s="10"/>
      <c r="Q213" s="10"/>
      <c r="R213" s="10"/>
      <c r="S213" s="262" t="s">
        <v>348</v>
      </c>
      <c r="T213" s="641" t="s">
        <v>450</v>
      </c>
      <c r="U213" s="487">
        <v>0</v>
      </c>
      <c r="V213" s="17">
        <f t="shared" si="212"/>
        <v>0</v>
      </c>
      <c r="W213" s="17">
        <f t="shared" si="212"/>
        <v>0</v>
      </c>
      <c r="X213" s="18">
        <f t="shared" si="213"/>
        <v>0</v>
      </c>
      <c r="Y213" s="21">
        <v>0</v>
      </c>
      <c r="Z213" s="457">
        <v>0</v>
      </c>
      <c r="AA213" s="18">
        <f t="shared" si="214"/>
        <v>0</v>
      </c>
      <c r="AB213" s="19">
        <v>0</v>
      </c>
      <c r="AC213" s="457">
        <v>0</v>
      </c>
      <c r="AD213" s="20">
        <f t="shared" si="215"/>
        <v>0</v>
      </c>
      <c r="AE213" s="21">
        <v>0</v>
      </c>
      <c r="AF213" s="457">
        <v>0</v>
      </c>
      <c r="AG213" s="18">
        <f t="shared" si="216"/>
        <v>0</v>
      </c>
      <c r="AH213" s="21">
        <f t="shared" si="217"/>
        <v>0</v>
      </c>
      <c r="AI213" s="17">
        <f t="shared" si="218"/>
        <v>0</v>
      </c>
      <c r="AJ213" s="18">
        <f t="shared" si="219"/>
        <v>0</v>
      </c>
      <c r="AK213" s="10"/>
      <c r="AL213" s="455">
        <v>0</v>
      </c>
      <c r="AM213" s="458">
        <v>0</v>
      </c>
      <c r="AN213" s="10"/>
    </row>
    <row r="214" spans="1:40" s="467" customFormat="1" x14ac:dyDescent="0.2">
      <c r="A214" s="623"/>
      <c r="B214" s="554"/>
      <c r="N214" s="10"/>
      <c r="P214" s="10"/>
      <c r="Q214" s="10"/>
      <c r="R214" s="10"/>
      <c r="S214" s="262" t="s">
        <v>349</v>
      </c>
      <c r="T214" s="641" t="s">
        <v>451</v>
      </c>
      <c r="U214" s="487">
        <v>0</v>
      </c>
      <c r="V214" s="17">
        <f t="shared" si="212"/>
        <v>0</v>
      </c>
      <c r="W214" s="17">
        <f t="shared" si="212"/>
        <v>0</v>
      </c>
      <c r="X214" s="18">
        <f t="shared" si="213"/>
        <v>0</v>
      </c>
      <c r="Y214" s="21">
        <v>0</v>
      </c>
      <c r="Z214" s="457">
        <v>0</v>
      </c>
      <c r="AA214" s="18">
        <f t="shared" si="214"/>
        <v>0</v>
      </c>
      <c r="AB214" s="19">
        <v>0</v>
      </c>
      <c r="AC214" s="457">
        <v>0</v>
      </c>
      <c r="AD214" s="20">
        <f t="shared" si="215"/>
        <v>0</v>
      </c>
      <c r="AE214" s="21">
        <v>0</v>
      </c>
      <c r="AF214" s="457">
        <v>0</v>
      </c>
      <c r="AG214" s="18">
        <f t="shared" si="216"/>
        <v>0</v>
      </c>
      <c r="AH214" s="21">
        <f t="shared" si="217"/>
        <v>0</v>
      </c>
      <c r="AI214" s="17">
        <f t="shared" si="218"/>
        <v>0</v>
      </c>
      <c r="AJ214" s="18">
        <f t="shared" si="219"/>
        <v>0</v>
      </c>
      <c r="AK214" s="10"/>
      <c r="AL214" s="455">
        <v>0</v>
      </c>
      <c r="AM214" s="458">
        <v>0</v>
      </c>
      <c r="AN214" s="10"/>
    </row>
    <row r="215" spans="1:40" s="467" customFormat="1" x14ac:dyDescent="0.2">
      <c r="A215" s="623"/>
      <c r="B215" s="554"/>
      <c r="N215" s="10"/>
      <c r="P215" s="10"/>
      <c r="Q215" s="10"/>
      <c r="R215" s="10"/>
      <c r="S215" s="262" t="s">
        <v>350</v>
      </c>
      <c r="T215" s="641" t="s">
        <v>452</v>
      </c>
      <c r="U215" s="487">
        <v>0</v>
      </c>
      <c r="V215" s="17">
        <f t="shared" si="212"/>
        <v>0</v>
      </c>
      <c r="W215" s="17">
        <f t="shared" si="212"/>
        <v>0</v>
      </c>
      <c r="X215" s="18">
        <f t="shared" si="213"/>
        <v>0</v>
      </c>
      <c r="Y215" s="21">
        <v>0</v>
      </c>
      <c r="Z215" s="457">
        <v>0</v>
      </c>
      <c r="AA215" s="18">
        <f t="shared" si="214"/>
        <v>0</v>
      </c>
      <c r="AB215" s="19">
        <v>0</v>
      </c>
      <c r="AC215" s="457">
        <v>0</v>
      </c>
      <c r="AD215" s="20">
        <f t="shared" si="215"/>
        <v>0</v>
      </c>
      <c r="AE215" s="21">
        <v>0</v>
      </c>
      <c r="AF215" s="457">
        <v>0</v>
      </c>
      <c r="AG215" s="18">
        <f t="shared" si="216"/>
        <v>0</v>
      </c>
      <c r="AH215" s="21">
        <f t="shared" si="217"/>
        <v>0</v>
      </c>
      <c r="AI215" s="17">
        <f t="shared" si="218"/>
        <v>0</v>
      </c>
      <c r="AJ215" s="18">
        <f t="shared" si="219"/>
        <v>0</v>
      </c>
      <c r="AK215" s="10"/>
      <c r="AL215" s="455">
        <v>0</v>
      </c>
      <c r="AM215" s="458">
        <v>0</v>
      </c>
      <c r="AN215" s="10"/>
    </row>
    <row r="216" spans="1:40" s="467" customFormat="1" x14ac:dyDescent="0.2">
      <c r="A216" s="623"/>
      <c r="B216" s="554"/>
      <c r="N216" s="10"/>
      <c r="P216" s="10"/>
      <c r="Q216" s="10"/>
      <c r="R216" s="10"/>
      <c r="S216" s="262" t="s">
        <v>351</v>
      </c>
      <c r="T216" s="641" t="s">
        <v>453</v>
      </c>
      <c r="U216" s="487">
        <v>0</v>
      </c>
      <c r="V216" s="17">
        <f t="shared" si="212"/>
        <v>0</v>
      </c>
      <c r="W216" s="17">
        <f t="shared" si="212"/>
        <v>0</v>
      </c>
      <c r="X216" s="18">
        <f t="shared" si="213"/>
        <v>0</v>
      </c>
      <c r="Y216" s="21">
        <v>0</v>
      </c>
      <c r="Z216" s="457">
        <v>0</v>
      </c>
      <c r="AA216" s="18">
        <f t="shared" si="214"/>
        <v>0</v>
      </c>
      <c r="AB216" s="19">
        <v>0</v>
      </c>
      <c r="AC216" s="457">
        <v>0</v>
      </c>
      <c r="AD216" s="20">
        <f t="shared" si="215"/>
        <v>0</v>
      </c>
      <c r="AE216" s="21">
        <v>0</v>
      </c>
      <c r="AF216" s="457">
        <v>0</v>
      </c>
      <c r="AG216" s="18">
        <f t="shared" si="216"/>
        <v>0</v>
      </c>
      <c r="AH216" s="21">
        <f t="shared" si="217"/>
        <v>0</v>
      </c>
      <c r="AI216" s="17">
        <f t="shared" si="218"/>
        <v>0</v>
      </c>
      <c r="AJ216" s="18">
        <f t="shared" si="219"/>
        <v>0</v>
      </c>
      <c r="AK216" s="10"/>
      <c r="AL216" s="455">
        <v>0</v>
      </c>
      <c r="AM216" s="458">
        <v>0</v>
      </c>
      <c r="AN216" s="10"/>
    </row>
    <row r="217" spans="1:40" s="467" customFormat="1" x14ac:dyDescent="0.2">
      <c r="A217" s="623"/>
      <c r="B217" s="554"/>
      <c r="N217" s="10"/>
      <c r="P217" s="10"/>
      <c r="Q217" s="10"/>
      <c r="R217" s="10"/>
      <c r="S217" s="262" t="s">
        <v>352</v>
      </c>
      <c r="T217" s="641" t="s">
        <v>455</v>
      </c>
      <c r="U217" s="487">
        <v>0</v>
      </c>
      <c r="V217" s="17">
        <f t="shared" si="212"/>
        <v>0</v>
      </c>
      <c r="W217" s="17">
        <f t="shared" si="212"/>
        <v>0</v>
      </c>
      <c r="X217" s="18">
        <f t="shared" si="213"/>
        <v>0</v>
      </c>
      <c r="Y217" s="21">
        <v>0</v>
      </c>
      <c r="Z217" s="457">
        <v>0</v>
      </c>
      <c r="AA217" s="18">
        <f t="shared" si="214"/>
        <v>0</v>
      </c>
      <c r="AB217" s="19">
        <v>0</v>
      </c>
      <c r="AC217" s="457">
        <v>0</v>
      </c>
      <c r="AD217" s="20">
        <f t="shared" si="215"/>
        <v>0</v>
      </c>
      <c r="AE217" s="21">
        <v>0</v>
      </c>
      <c r="AF217" s="457">
        <v>0</v>
      </c>
      <c r="AG217" s="18">
        <f t="shared" si="216"/>
        <v>0</v>
      </c>
      <c r="AH217" s="21">
        <f t="shared" si="217"/>
        <v>0</v>
      </c>
      <c r="AI217" s="17">
        <f t="shared" si="218"/>
        <v>0</v>
      </c>
      <c r="AJ217" s="18">
        <f t="shared" si="219"/>
        <v>0</v>
      </c>
      <c r="AK217" s="10"/>
      <c r="AL217" s="455">
        <v>0</v>
      </c>
      <c r="AM217" s="458">
        <v>0</v>
      </c>
      <c r="AN217" s="10"/>
    </row>
    <row r="218" spans="1:40" s="467" customFormat="1" ht="15" thickBot="1" x14ac:dyDescent="0.25">
      <c r="A218" s="623"/>
      <c r="B218" s="554"/>
      <c r="N218" s="10"/>
      <c r="P218" s="10"/>
      <c r="Q218" s="10"/>
      <c r="R218" s="10"/>
      <c r="S218" s="642">
        <v>5199999</v>
      </c>
      <c r="T218" s="641" t="s">
        <v>132</v>
      </c>
      <c r="U218" s="626">
        <v>0</v>
      </c>
      <c r="V218" s="143">
        <f t="shared" si="212"/>
        <v>0</v>
      </c>
      <c r="W218" s="143">
        <f t="shared" si="212"/>
        <v>0</v>
      </c>
      <c r="X218" s="148">
        <f t="shared" si="213"/>
        <v>0</v>
      </c>
      <c r="Y218" s="147">
        <v>0</v>
      </c>
      <c r="Z218" s="475">
        <v>0</v>
      </c>
      <c r="AA218" s="148">
        <f t="shared" si="214"/>
        <v>0</v>
      </c>
      <c r="AB218" s="239">
        <v>0</v>
      </c>
      <c r="AC218" s="475">
        <v>0</v>
      </c>
      <c r="AD218" s="149">
        <f t="shared" si="215"/>
        <v>0</v>
      </c>
      <c r="AE218" s="147">
        <v>0</v>
      </c>
      <c r="AF218" s="475">
        <v>0</v>
      </c>
      <c r="AG218" s="148">
        <f t="shared" si="216"/>
        <v>0</v>
      </c>
      <c r="AH218" s="147">
        <f t="shared" si="217"/>
        <v>0</v>
      </c>
      <c r="AI218" s="143">
        <f t="shared" si="218"/>
        <v>0</v>
      </c>
      <c r="AJ218" s="148">
        <f t="shared" si="219"/>
        <v>0</v>
      </c>
      <c r="AK218" s="10"/>
      <c r="AL218" s="455">
        <v>0</v>
      </c>
      <c r="AM218" s="458">
        <v>0</v>
      </c>
      <c r="AN218" s="10"/>
    </row>
    <row r="219" spans="1:40" s="467" customFormat="1" ht="16.5" thickBot="1" x14ac:dyDescent="0.25">
      <c r="A219" s="623"/>
      <c r="B219" s="554"/>
      <c r="N219" s="10"/>
      <c r="P219" s="10"/>
      <c r="Q219" s="10"/>
      <c r="R219" s="10"/>
      <c r="S219" s="643"/>
      <c r="T219" s="357"/>
      <c r="U219" s="266"/>
      <c r="V219" s="192"/>
      <c r="W219" s="192"/>
      <c r="X219" s="192"/>
      <c r="Y219" s="192"/>
      <c r="Z219" s="266"/>
      <c r="AA219" s="192"/>
      <c r="AB219" s="192"/>
      <c r="AC219" s="266"/>
      <c r="AD219" s="192"/>
      <c r="AE219" s="192"/>
      <c r="AF219" s="266"/>
      <c r="AG219" s="192"/>
      <c r="AH219" s="644"/>
      <c r="AI219" s="192"/>
      <c r="AJ219" s="210"/>
      <c r="AK219" s="12"/>
      <c r="AL219" s="645"/>
      <c r="AM219" s="646"/>
      <c r="AN219" s="10"/>
    </row>
    <row r="220" spans="1:40" s="467" customFormat="1" ht="19.5" x14ac:dyDescent="0.2">
      <c r="A220" s="623"/>
      <c r="B220" s="554"/>
      <c r="N220" s="10"/>
      <c r="P220" s="10"/>
      <c r="Q220" s="10"/>
      <c r="R220" s="10"/>
      <c r="S220" s="438" t="s">
        <v>353</v>
      </c>
      <c r="T220" s="439" t="s">
        <v>354</v>
      </c>
      <c r="U220" s="440">
        <f t="shared" ref="U220:AJ220" si="220">U222+U227</f>
        <v>0</v>
      </c>
      <c r="V220" s="441">
        <f t="shared" si="220"/>
        <v>0</v>
      </c>
      <c r="W220" s="441">
        <f t="shared" si="220"/>
        <v>0</v>
      </c>
      <c r="X220" s="444">
        <f t="shared" si="220"/>
        <v>0</v>
      </c>
      <c r="Y220" s="443">
        <f t="shared" si="220"/>
        <v>0</v>
      </c>
      <c r="Z220" s="647">
        <f t="shared" si="220"/>
        <v>0</v>
      </c>
      <c r="AA220" s="444">
        <f t="shared" si="220"/>
        <v>0</v>
      </c>
      <c r="AB220" s="443">
        <f t="shared" si="220"/>
        <v>0</v>
      </c>
      <c r="AC220" s="647">
        <f t="shared" si="220"/>
        <v>0</v>
      </c>
      <c r="AD220" s="444">
        <f t="shared" si="220"/>
        <v>0</v>
      </c>
      <c r="AE220" s="443">
        <f t="shared" si="220"/>
        <v>0</v>
      </c>
      <c r="AF220" s="647">
        <f t="shared" si="220"/>
        <v>0</v>
      </c>
      <c r="AG220" s="444">
        <f t="shared" si="220"/>
        <v>0</v>
      </c>
      <c r="AH220" s="443">
        <f t="shared" si="220"/>
        <v>0</v>
      </c>
      <c r="AI220" s="441">
        <f t="shared" si="220"/>
        <v>0</v>
      </c>
      <c r="AJ220" s="442">
        <f t="shared" si="220"/>
        <v>0</v>
      </c>
      <c r="AK220" s="648"/>
      <c r="AL220" s="443">
        <f>AL222+AL227</f>
        <v>0</v>
      </c>
      <c r="AM220" s="442">
        <f>AM222+AM227</f>
        <v>0</v>
      </c>
      <c r="AN220" s="10"/>
    </row>
    <row r="221" spans="1:40" s="467" customFormat="1" ht="15.75" x14ac:dyDescent="0.2">
      <c r="A221" s="623"/>
      <c r="B221" s="554"/>
      <c r="N221" s="10"/>
      <c r="P221" s="10"/>
      <c r="Q221" s="10"/>
      <c r="R221" s="10"/>
      <c r="S221" s="448"/>
      <c r="T221" s="649"/>
      <c r="U221" s="256"/>
      <c r="V221" s="193"/>
      <c r="W221" s="193"/>
      <c r="X221" s="193"/>
      <c r="Y221" s="193"/>
      <c r="Z221" s="256"/>
      <c r="AA221" s="193"/>
      <c r="AB221" s="193"/>
      <c r="AC221" s="256"/>
      <c r="AD221" s="193"/>
      <c r="AE221" s="193"/>
      <c r="AF221" s="256"/>
      <c r="AG221" s="193"/>
      <c r="AH221" s="450"/>
      <c r="AI221" s="193"/>
      <c r="AJ221" s="207"/>
      <c r="AK221" s="10"/>
      <c r="AL221" s="213"/>
      <c r="AM221" s="214"/>
      <c r="AN221" s="10"/>
    </row>
    <row r="222" spans="1:40" s="467" customFormat="1" ht="15" x14ac:dyDescent="0.2">
      <c r="A222" s="623"/>
      <c r="B222" s="554"/>
      <c r="N222" s="10"/>
      <c r="P222" s="10"/>
      <c r="Q222" s="10"/>
      <c r="R222" s="10"/>
      <c r="S222" s="34">
        <v>7001000</v>
      </c>
      <c r="T222" s="158" t="s">
        <v>355</v>
      </c>
      <c r="U222" s="257">
        <f t="shared" ref="U222:AJ222" si="221">SUM(U223:U225)</f>
        <v>0</v>
      </c>
      <c r="V222" s="144">
        <f t="shared" si="221"/>
        <v>0</v>
      </c>
      <c r="W222" s="144">
        <f t="shared" si="221"/>
        <v>0</v>
      </c>
      <c r="X222" s="152">
        <f t="shared" si="221"/>
        <v>0</v>
      </c>
      <c r="Y222" s="151">
        <f t="shared" si="221"/>
        <v>0</v>
      </c>
      <c r="Z222" s="263">
        <f t="shared" si="221"/>
        <v>0</v>
      </c>
      <c r="AA222" s="152">
        <f t="shared" si="221"/>
        <v>0</v>
      </c>
      <c r="AB222" s="151">
        <f t="shared" si="221"/>
        <v>0</v>
      </c>
      <c r="AC222" s="263">
        <f t="shared" si="221"/>
        <v>0</v>
      </c>
      <c r="AD222" s="152">
        <f t="shared" si="221"/>
        <v>0</v>
      </c>
      <c r="AE222" s="151">
        <f t="shared" si="221"/>
        <v>0</v>
      </c>
      <c r="AF222" s="263">
        <f t="shared" si="221"/>
        <v>0</v>
      </c>
      <c r="AG222" s="152">
        <f t="shared" si="221"/>
        <v>0</v>
      </c>
      <c r="AH222" s="151">
        <f t="shared" si="221"/>
        <v>0</v>
      </c>
      <c r="AI222" s="144">
        <f t="shared" si="221"/>
        <v>0</v>
      </c>
      <c r="AJ222" s="153">
        <f t="shared" si="221"/>
        <v>0</v>
      </c>
      <c r="AK222" s="10"/>
      <c r="AL222" s="151">
        <f>SUM(AL223:AL225)</f>
        <v>0</v>
      </c>
      <c r="AM222" s="153">
        <f>SUM(AM223:AM225)</f>
        <v>0</v>
      </c>
      <c r="AN222" s="10"/>
    </row>
    <row r="223" spans="1:40" s="467" customFormat="1" x14ac:dyDescent="0.2">
      <c r="A223" s="623"/>
      <c r="B223" s="554"/>
      <c r="N223" s="10"/>
      <c r="P223" s="10"/>
      <c r="Q223" s="10"/>
      <c r="R223" s="10"/>
      <c r="S223" s="155">
        <v>7001100</v>
      </c>
      <c r="T223" s="159" t="s">
        <v>356</v>
      </c>
      <c r="U223" s="487">
        <v>0</v>
      </c>
      <c r="V223" s="17">
        <f t="shared" ref="V223:W225" si="222">AL223</f>
        <v>0</v>
      </c>
      <c r="W223" s="17">
        <f t="shared" si="222"/>
        <v>0</v>
      </c>
      <c r="X223" s="20">
        <f>SUM(U223:W223)</f>
        <v>0</v>
      </c>
      <c r="Y223" s="21">
        <v>0</v>
      </c>
      <c r="Z223" s="457">
        <v>0</v>
      </c>
      <c r="AA223" s="20">
        <f>SUM(Y223:Z223)</f>
        <v>0</v>
      </c>
      <c r="AB223" s="21">
        <v>0</v>
      </c>
      <c r="AC223" s="457">
        <v>0</v>
      </c>
      <c r="AD223" s="20">
        <f>SUM(AB223:AC223)</f>
        <v>0</v>
      </c>
      <c r="AE223" s="21">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v>7001200</v>
      </c>
      <c r="T224" s="159" t="s">
        <v>357</v>
      </c>
      <c r="U224" s="487">
        <v>0</v>
      </c>
      <c r="V224" s="17">
        <f t="shared" si="222"/>
        <v>0</v>
      </c>
      <c r="W224" s="17">
        <f t="shared" si="222"/>
        <v>0</v>
      </c>
      <c r="X224" s="20">
        <f>SUM(U224:W224)</f>
        <v>0</v>
      </c>
      <c r="Y224" s="21">
        <v>0</v>
      </c>
      <c r="Z224" s="457">
        <v>0</v>
      </c>
      <c r="AA224" s="20">
        <f>SUM(Y224:Z224)</f>
        <v>0</v>
      </c>
      <c r="AB224" s="21">
        <v>0</v>
      </c>
      <c r="AC224" s="457">
        <v>0</v>
      </c>
      <c r="AD224" s="20">
        <f>SUM(AB224:AC224)</f>
        <v>0</v>
      </c>
      <c r="AE224" s="21">
        <v>0</v>
      </c>
      <c r="AF224" s="457">
        <v>0</v>
      </c>
      <c r="AG224" s="20">
        <f>SUM(AE224:AF224)</f>
        <v>0</v>
      </c>
      <c r="AH224" s="21">
        <f>X224-AA224</f>
        <v>0</v>
      </c>
      <c r="AI224" s="17">
        <f>X224-AD224</f>
        <v>0</v>
      </c>
      <c r="AJ224" s="18">
        <f>X224-AG224</f>
        <v>0</v>
      </c>
      <c r="AK224" s="10"/>
      <c r="AL224" s="455">
        <v>0</v>
      </c>
      <c r="AM224" s="458">
        <v>0</v>
      </c>
      <c r="AN224" s="10"/>
    </row>
    <row r="225" spans="1:70" s="467" customFormat="1" x14ac:dyDescent="0.2">
      <c r="A225" s="623"/>
      <c r="B225" s="554"/>
      <c r="N225" s="10"/>
      <c r="P225" s="10"/>
      <c r="Q225" s="10"/>
      <c r="R225" s="10"/>
      <c r="S225" s="155">
        <v>7001999</v>
      </c>
      <c r="T225" s="159" t="s">
        <v>132</v>
      </c>
      <c r="U225" s="487">
        <v>0</v>
      </c>
      <c r="V225" s="17">
        <f t="shared" si="222"/>
        <v>0</v>
      </c>
      <c r="W225" s="17">
        <f t="shared" si="222"/>
        <v>0</v>
      </c>
      <c r="X225" s="20">
        <f>SUM(U225:W225)</f>
        <v>0</v>
      </c>
      <c r="Y225" s="21">
        <v>0</v>
      </c>
      <c r="Z225" s="457">
        <v>0</v>
      </c>
      <c r="AA225" s="20">
        <f>SUM(Y225:Z225)</f>
        <v>0</v>
      </c>
      <c r="AB225" s="21">
        <v>0</v>
      </c>
      <c r="AC225" s="457">
        <v>0</v>
      </c>
      <c r="AD225" s="20">
        <f>SUM(AB225:AC225)</f>
        <v>0</v>
      </c>
      <c r="AE225" s="21">
        <v>0</v>
      </c>
      <c r="AF225" s="457">
        <v>0</v>
      </c>
      <c r="AG225" s="20">
        <f>SUM(AE225:AF225)</f>
        <v>0</v>
      </c>
      <c r="AH225" s="21">
        <f>X225-AA225</f>
        <v>0</v>
      </c>
      <c r="AI225" s="17">
        <f>X225-AD225</f>
        <v>0</v>
      </c>
      <c r="AJ225" s="18">
        <f>X225-AG225</f>
        <v>0</v>
      </c>
      <c r="AK225" s="10"/>
      <c r="AL225" s="455">
        <v>0</v>
      </c>
      <c r="AM225" s="458">
        <v>0</v>
      </c>
      <c r="AN225" s="10"/>
    </row>
    <row r="226" spans="1:70" s="467" customFormat="1" ht="15.75" x14ac:dyDescent="0.2">
      <c r="A226" s="623"/>
      <c r="B226" s="554"/>
      <c r="N226" s="10"/>
      <c r="P226" s="10"/>
      <c r="Q226" s="10"/>
      <c r="R226" s="10"/>
      <c r="S226" s="448"/>
      <c r="T226" s="649"/>
      <c r="U226" s="256"/>
      <c r="V226" s="193"/>
      <c r="W226" s="193"/>
      <c r="X226" s="193"/>
      <c r="Y226" s="193"/>
      <c r="Z226" s="256"/>
      <c r="AA226" s="193"/>
      <c r="AB226" s="193"/>
      <c r="AC226" s="256"/>
      <c r="AD226" s="193"/>
      <c r="AE226" s="193"/>
      <c r="AF226" s="256"/>
      <c r="AG226" s="193"/>
      <c r="AH226" s="450"/>
      <c r="AI226" s="193"/>
      <c r="AJ226" s="207"/>
      <c r="AK226" s="12"/>
      <c r="AL226" s="213"/>
      <c r="AM226" s="214"/>
      <c r="AN226" s="10"/>
    </row>
    <row r="227" spans="1:70" s="467" customFormat="1" ht="15" x14ac:dyDescent="0.2">
      <c r="A227" s="623"/>
      <c r="B227" s="554"/>
      <c r="N227" s="10"/>
      <c r="P227" s="10"/>
      <c r="Q227" s="10"/>
      <c r="R227" s="10"/>
      <c r="S227" s="34">
        <v>7002001</v>
      </c>
      <c r="T227" s="158" t="s">
        <v>358</v>
      </c>
      <c r="U227" s="257">
        <f t="shared" ref="U227:AJ227" si="223">SUM(U228:U230)</f>
        <v>0</v>
      </c>
      <c r="V227" s="144">
        <f t="shared" si="223"/>
        <v>0</v>
      </c>
      <c r="W227" s="144">
        <f t="shared" si="223"/>
        <v>0</v>
      </c>
      <c r="X227" s="152">
        <f t="shared" si="223"/>
        <v>0</v>
      </c>
      <c r="Y227" s="151">
        <f t="shared" si="223"/>
        <v>0</v>
      </c>
      <c r="Z227" s="263">
        <f t="shared" si="223"/>
        <v>0</v>
      </c>
      <c r="AA227" s="152">
        <f t="shared" si="223"/>
        <v>0</v>
      </c>
      <c r="AB227" s="151">
        <f t="shared" si="223"/>
        <v>0</v>
      </c>
      <c r="AC227" s="263">
        <f t="shared" si="223"/>
        <v>0</v>
      </c>
      <c r="AD227" s="152">
        <f t="shared" si="223"/>
        <v>0</v>
      </c>
      <c r="AE227" s="151">
        <f t="shared" si="223"/>
        <v>0</v>
      </c>
      <c r="AF227" s="263">
        <f t="shared" si="223"/>
        <v>0</v>
      </c>
      <c r="AG227" s="152">
        <f t="shared" si="223"/>
        <v>0</v>
      </c>
      <c r="AH227" s="151">
        <f t="shared" si="223"/>
        <v>0</v>
      </c>
      <c r="AI227" s="144">
        <f t="shared" si="223"/>
        <v>0</v>
      </c>
      <c r="AJ227" s="153">
        <f t="shared" si="223"/>
        <v>0</v>
      </c>
      <c r="AK227" s="12"/>
      <c r="AL227" s="151">
        <f>SUM(AL228:AL230)</f>
        <v>0</v>
      </c>
      <c r="AM227" s="153">
        <f>SUM(AM228:AM230)</f>
        <v>0</v>
      </c>
      <c r="AN227" s="10"/>
    </row>
    <row r="228" spans="1:70" s="467" customFormat="1" x14ac:dyDescent="0.2">
      <c r="A228" s="623"/>
      <c r="B228" s="554"/>
      <c r="N228" s="10"/>
      <c r="P228" s="10"/>
      <c r="Q228" s="10"/>
      <c r="R228" s="10"/>
      <c r="S228" s="155">
        <v>7002100</v>
      </c>
      <c r="T228" s="159" t="s">
        <v>359</v>
      </c>
      <c r="U228" s="487">
        <v>0</v>
      </c>
      <c r="V228" s="17">
        <f t="shared" ref="V228:W230" si="224">AL228</f>
        <v>0</v>
      </c>
      <c r="W228" s="17">
        <f t="shared" si="224"/>
        <v>0</v>
      </c>
      <c r="X228" s="20">
        <f>SUM(U228:W228)</f>
        <v>0</v>
      </c>
      <c r="Y228" s="21">
        <v>0</v>
      </c>
      <c r="Z228" s="457">
        <v>0</v>
      </c>
      <c r="AA228" s="20">
        <f>SUM(Y228:Z228)</f>
        <v>0</v>
      </c>
      <c r="AB228" s="21">
        <v>0</v>
      </c>
      <c r="AC228" s="457">
        <v>0</v>
      </c>
      <c r="AD228" s="20">
        <f>SUM(AB228:AC228)</f>
        <v>0</v>
      </c>
      <c r="AE228" s="21">
        <v>0</v>
      </c>
      <c r="AF228" s="457">
        <v>0</v>
      </c>
      <c r="AG228" s="20">
        <f>SUM(AE228:AF228)</f>
        <v>0</v>
      </c>
      <c r="AH228" s="21">
        <f>X228-AA228</f>
        <v>0</v>
      </c>
      <c r="AI228" s="17">
        <f>X228-AD228</f>
        <v>0</v>
      </c>
      <c r="AJ228" s="18">
        <f>X228-AG228</f>
        <v>0</v>
      </c>
      <c r="AK228" s="10"/>
      <c r="AL228" s="455">
        <v>0</v>
      </c>
      <c r="AM228" s="458">
        <v>0</v>
      </c>
      <c r="AN228" s="10"/>
    </row>
    <row r="229" spans="1:70" s="467" customFormat="1" x14ac:dyDescent="0.2">
      <c r="A229" s="623"/>
      <c r="B229" s="554"/>
      <c r="N229" s="10"/>
      <c r="P229" s="10"/>
      <c r="Q229" s="10"/>
      <c r="R229" s="10"/>
      <c r="S229" s="155">
        <v>7002200</v>
      </c>
      <c r="T229" s="159" t="s">
        <v>357</v>
      </c>
      <c r="U229" s="487">
        <v>0</v>
      </c>
      <c r="V229" s="17">
        <f t="shared" si="224"/>
        <v>0</v>
      </c>
      <c r="W229" s="17">
        <f t="shared" si="224"/>
        <v>0</v>
      </c>
      <c r="X229" s="20">
        <f>SUM(U229:W229)</f>
        <v>0</v>
      </c>
      <c r="Y229" s="21">
        <v>0</v>
      </c>
      <c r="Z229" s="457">
        <v>0</v>
      </c>
      <c r="AA229" s="20">
        <f>SUM(Y229:Z229)</f>
        <v>0</v>
      </c>
      <c r="AB229" s="21">
        <v>0</v>
      </c>
      <c r="AC229" s="457">
        <v>0</v>
      </c>
      <c r="AD229" s="20">
        <f>SUM(AB229:AC229)</f>
        <v>0</v>
      </c>
      <c r="AE229" s="21">
        <v>0</v>
      </c>
      <c r="AF229" s="457">
        <v>0</v>
      </c>
      <c r="AG229" s="20">
        <f>SUM(AE229:AF229)</f>
        <v>0</v>
      </c>
      <c r="AH229" s="21">
        <f>X229-AA229</f>
        <v>0</v>
      </c>
      <c r="AI229" s="17">
        <f>X229-AD229</f>
        <v>0</v>
      </c>
      <c r="AJ229" s="18">
        <f>X229-AG229</f>
        <v>0</v>
      </c>
      <c r="AK229" s="10"/>
      <c r="AL229" s="455">
        <v>0</v>
      </c>
      <c r="AM229" s="458">
        <v>0</v>
      </c>
      <c r="AN229" s="10"/>
    </row>
    <row r="230" spans="1:70" s="467" customFormat="1" ht="13.5" thickBot="1" x14ac:dyDescent="0.25">
      <c r="A230" s="623"/>
      <c r="B230" s="554"/>
      <c r="N230" s="10"/>
      <c r="P230" s="10"/>
      <c r="Q230" s="10"/>
      <c r="R230" s="10"/>
      <c r="S230" s="624">
        <v>7002999</v>
      </c>
      <c r="T230" s="625" t="s">
        <v>132</v>
      </c>
      <c r="U230" s="626">
        <v>0</v>
      </c>
      <c r="V230" s="143">
        <f t="shared" si="224"/>
        <v>0</v>
      </c>
      <c r="W230" s="143">
        <f t="shared" si="224"/>
        <v>0</v>
      </c>
      <c r="X230" s="149">
        <f>SUM(U230:W230)</f>
        <v>0</v>
      </c>
      <c r="Y230" s="147">
        <v>0</v>
      </c>
      <c r="Z230" s="475">
        <v>0</v>
      </c>
      <c r="AA230" s="149">
        <f>SUM(Y230:Z230)</f>
        <v>0</v>
      </c>
      <c r="AB230" s="147">
        <v>0</v>
      </c>
      <c r="AC230" s="475">
        <v>0</v>
      </c>
      <c r="AD230" s="149">
        <f>SUM(AB230:AC230)</f>
        <v>0</v>
      </c>
      <c r="AE230" s="147">
        <v>0</v>
      </c>
      <c r="AF230" s="475">
        <v>0</v>
      </c>
      <c r="AG230" s="149">
        <f>SUM(AE230:AF230)</f>
        <v>0</v>
      </c>
      <c r="AH230" s="147">
        <f>X230-AA230</f>
        <v>0</v>
      </c>
      <c r="AI230" s="143">
        <f>X230-AD230</f>
        <v>0</v>
      </c>
      <c r="AJ230" s="148">
        <f>X230-AG230</f>
        <v>0</v>
      </c>
      <c r="AK230" s="10"/>
      <c r="AL230" s="650">
        <v>0</v>
      </c>
      <c r="AM230" s="651">
        <v>0</v>
      </c>
      <c r="AN230" s="10"/>
    </row>
    <row r="231" spans="1:70" s="467" customFormat="1" ht="15.75" x14ac:dyDescent="0.2">
      <c r="A231" s="623"/>
      <c r="B231" s="554"/>
      <c r="N231" s="10"/>
      <c r="P231" s="10"/>
      <c r="Q231" s="10"/>
      <c r="R231" s="10"/>
      <c r="S231" s="627"/>
      <c r="T231" s="628"/>
      <c r="U231" s="265"/>
      <c r="V231" s="208"/>
      <c r="W231" s="208"/>
      <c r="X231" s="208"/>
      <c r="Y231" s="208"/>
      <c r="Z231" s="265"/>
      <c r="AA231" s="208"/>
      <c r="AB231" s="208"/>
      <c r="AC231" s="265"/>
      <c r="AD231" s="208"/>
      <c r="AE231" s="208"/>
      <c r="AF231" s="265"/>
      <c r="AG231" s="208"/>
      <c r="AH231" s="629"/>
      <c r="AI231" s="208"/>
      <c r="AJ231" s="209"/>
      <c r="AK231" s="10"/>
      <c r="AL231" s="652"/>
      <c r="AM231" s="653"/>
      <c r="AN231" s="10"/>
    </row>
    <row r="232" spans="1:70" s="467" customFormat="1" ht="19.5" x14ac:dyDescent="0.2">
      <c r="A232" s="623"/>
      <c r="B232" s="554"/>
      <c r="N232" s="10"/>
      <c r="P232" s="10"/>
      <c r="Q232" s="10"/>
      <c r="R232" s="10"/>
      <c r="S232" s="654" t="s">
        <v>360</v>
      </c>
      <c r="T232" s="655" t="s">
        <v>72</v>
      </c>
      <c r="U232" s="589">
        <f t="shared" ref="U232:AJ232" si="225">U234</f>
        <v>121563100</v>
      </c>
      <c r="V232" s="590">
        <f t="shared" si="225"/>
        <v>0</v>
      </c>
      <c r="W232" s="590">
        <f t="shared" si="225"/>
        <v>0</v>
      </c>
      <c r="X232" s="591">
        <f t="shared" si="225"/>
        <v>121563100</v>
      </c>
      <c r="Y232" s="464">
        <f t="shared" si="225"/>
        <v>0</v>
      </c>
      <c r="Z232" s="634">
        <f t="shared" si="225"/>
        <v>0</v>
      </c>
      <c r="AA232" s="591">
        <f t="shared" si="225"/>
        <v>0</v>
      </c>
      <c r="AB232" s="464">
        <f t="shared" si="225"/>
        <v>0</v>
      </c>
      <c r="AC232" s="634">
        <f t="shared" si="225"/>
        <v>0</v>
      </c>
      <c r="AD232" s="591">
        <f t="shared" si="225"/>
        <v>0</v>
      </c>
      <c r="AE232" s="464">
        <f t="shared" si="225"/>
        <v>0</v>
      </c>
      <c r="AF232" s="634">
        <f t="shared" si="225"/>
        <v>0</v>
      </c>
      <c r="AG232" s="591">
        <f t="shared" si="225"/>
        <v>0</v>
      </c>
      <c r="AH232" s="464">
        <f t="shared" si="225"/>
        <v>121563100</v>
      </c>
      <c r="AI232" s="590">
        <f t="shared" si="225"/>
        <v>121563100</v>
      </c>
      <c r="AJ232" s="465">
        <f t="shared" si="225"/>
        <v>121563100</v>
      </c>
      <c r="AK232" s="648"/>
      <c r="AL232" s="464">
        <f>AL234</f>
        <v>0</v>
      </c>
      <c r="AM232" s="465">
        <f>AM234</f>
        <v>0</v>
      </c>
      <c r="AN232" s="10"/>
    </row>
    <row r="233" spans="1:70" s="467" customFormat="1" ht="15.75" x14ac:dyDescent="0.2">
      <c r="A233" s="623"/>
      <c r="B233" s="554"/>
      <c r="N233" s="10"/>
      <c r="P233" s="10"/>
      <c r="Q233" s="10"/>
      <c r="R233" s="10"/>
      <c r="S233" s="448"/>
      <c r="T233" s="649"/>
      <c r="U233" s="256"/>
      <c r="V233" s="193"/>
      <c r="W233" s="193"/>
      <c r="X233" s="193"/>
      <c r="Y233" s="193"/>
      <c r="Z233" s="256"/>
      <c r="AA233" s="193"/>
      <c r="AB233" s="193"/>
      <c r="AC233" s="256"/>
      <c r="AD233" s="193"/>
      <c r="AE233" s="193"/>
      <c r="AF233" s="256"/>
      <c r="AG233" s="193"/>
      <c r="AH233" s="450"/>
      <c r="AI233" s="193"/>
      <c r="AJ233" s="207"/>
      <c r="AK233" s="10"/>
      <c r="AL233" s="213"/>
      <c r="AM233" s="214"/>
      <c r="AN233" s="10"/>
    </row>
    <row r="234" spans="1:70" s="467" customFormat="1" ht="15" x14ac:dyDescent="0.2">
      <c r="A234" s="623"/>
      <c r="B234" s="554"/>
      <c r="N234" s="10"/>
      <c r="P234" s="10"/>
      <c r="Q234" s="10"/>
      <c r="R234" s="10"/>
      <c r="S234" s="34">
        <v>8000000</v>
      </c>
      <c r="T234" s="158" t="s">
        <v>361</v>
      </c>
      <c r="U234" s="157">
        <f t="shared" ref="U234:AJ234" si="226">U235+U243</f>
        <v>121563100</v>
      </c>
      <c r="V234" s="144">
        <f t="shared" si="226"/>
        <v>0</v>
      </c>
      <c r="W234" s="144">
        <f t="shared" si="226"/>
        <v>0</v>
      </c>
      <c r="X234" s="152">
        <f t="shared" si="226"/>
        <v>121563100</v>
      </c>
      <c r="Y234" s="151">
        <f t="shared" si="226"/>
        <v>0</v>
      </c>
      <c r="Z234" s="263">
        <f t="shared" si="226"/>
        <v>0</v>
      </c>
      <c r="AA234" s="152">
        <f t="shared" si="226"/>
        <v>0</v>
      </c>
      <c r="AB234" s="151">
        <f t="shared" si="226"/>
        <v>0</v>
      </c>
      <c r="AC234" s="263">
        <f t="shared" si="226"/>
        <v>0</v>
      </c>
      <c r="AD234" s="152">
        <f t="shared" si="226"/>
        <v>0</v>
      </c>
      <c r="AE234" s="151">
        <f t="shared" si="226"/>
        <v>0</v>
      </c>
      <c r="AF234" s="263">
        <f t="shared" si="226"/>
        <v>0</v>
      </c>
      <c r="AG234" s="152">
        <f t="shared" si="226"/>
        <v>0</v>
      </c>
      <c r="AH234" s="151">
        <f t="shared" si="226"/>
        <v>121563100</v>
      </c>
      <c r="AI234" s="144">
        <f t="shared" si="226"/>
        <v>121563100</v>
      </c>
      <c r="AJ234" s="153">
        <f t="shared" si="226"/>
        <v>121563100</v>
      </c>
      <c r="AK234" s="10"/>
      <c r="AL234" s="151">
        <f>AL235+AL243</f>
        <v>0</v>
      </c>
      <c r="AM234" s="153">
        <f>AM235+AM243</f>
        <v>0</v>
      </c>
      <c r="AN234" s="10"/>
    </row>
    <row r="235" spans="1:70" s="467" customFormat="1" x14ac:dyDescent="0.2">
      <c r="A235" s="623"/>
      <c r="B235" s="554"/>
      <c r="N235" s="10"/>
      <c r="P235" s="10"/>
      <c r="Q235" s="10"/>
      <c r="R235" s="10"/>
      <c r="S235" s="155">
        <v>8001000</v>
      </c>
      <c r="T235" s="159" t="s">
        <v>362</v>
      </c>
      <c r="U235" s="268">
        <f t="shared" ref="U235:AJ235" si="227">SUM(U236:U241)</f>
        <v>0</v>
      </c>
      <c r="V235" s="17">
        <f t="shared" si="227"/>
        <v>0</v>
      </c>
      <c r="W235" s="17">
        <f t="shared" si="227"/>
        <v>0</v>
      </c>
      <c r="X235" s="20">
        <f t="shared" si="227"/>
        <v>0</v>
      </c>
      <c r="Y235" s="21">
        <f t="shared" si="227"/>
        <v>0</v>
      </c>
      <c r="Z235" s="264">
        <f t="shared" si="227"/>
        <v>0</v>
      </c>
      <c r="AA235" s="20">
        <f t="shared" si="227"/>
        <v>0</v>
      </c>
      <c r="AB235" s="21">
        <f t="shared" si="227"/>
        <v>0</v>
      </c>
      <c r="AC235" s="264">
        <f t="shared" si="227"/>
        <v>0</v>
      </c>
      <c r="AD235" s="20">
        <f t="shared" si="227"/>
        <v>0</v>
      </c>
      <c r="AE235" s="21">
        <f t="shared" si="227"/>
        <v>0</v>
      </c>
      <c r="AF235" s="264">
        <f t="shared" si="227"/>
        <v>0</v>
      </c>
      <c r="AG235" s="20">
        <f t="shared" si="227"/>
        <v>0</v>
      </c>
      <c r="AH235" s="21">
        <f t="shared" si="227"/>
        <v>0</v>
      </c>
      <c r="AI235" s="17">
        <f t="shared" si="227"/>
        <v>0</v>
      </c>
      <c r="AJ235" s="18">
        <f t="shared" si="227"/>
        <v>0</v>
      </c>
      <c r="AK235" s="10"/>
      <c r="AL235" s="31">
        <f>SUM(AL236:AL241)</f>
        <v>0</v>
      </c>
      <c r="AM235" s="28">
        <f>SUM(AM236:AM241)</f>
        <v>0</v>
      </c>
      <c r="AN235" s="10"/>
    </row>
    <row r="236" spans="1:70" s="467" customFormat="1" x14ac:dyDescent="0.2">
      <c r="A236" s="623"/>
      <c r="B236" s="554"/>
      <c r="N236" s="10"/>
      <c r="P236" s="10"/>
      <c r="Q236" s="10"/>
      <c r="R236" s="10"/>
      <c r="S236" s="156" t="s">
        <v>363</v>
      </c>
      <c r="T236" s="205" t="s">
        <v>364</v>
      </c>
      <c r="U236" s="487">
        <v>0</v>
      </c>
      <c r="V236" s="17">
        <f t="shared" ref="V236:W241" si="228">AL236</f>
        <v>0</v>
      </c>
      <c r="W236" s="17">
        <f t="shared" si="228"/>
        <v>0</v>
      </c>
      <c r="X236" s="20">
        <f t="shared" ref="X236:X241" si="229">SUM(U236:W236)</f>
        <v>0</v>
      </c>
      <c r="Y236" s="21">
        <v>0</v>
      </c>
      <c r="Z236" s="457">
        <v>0</v>
      </c>
      <c r="AA236" s="20">
        <f t="shared" ref="AA236:AA241" si="230">SUM(Y236:Z236)</f>
        <v>0</v>
      </c>
      <c r="AB236" s="21">
        <v>0</v>
      </c>
      <c r="AC236" s="457">
        <v>0</v>
      </c>
      <c r="AD236" s="20">
        <f t="shared" ref="AD236:AD241" si="231">SUM(AB236:AC236)</f>
        <v>0</v>
      </c>
      <c r="AE236" s="21">
        <v>0</v>
      </c>
      <c r="AF236" s="457">
        <v>0</v>
      </c>
      <c r="AG236" s="20">
        <f t="shared" ref="AG236:AG241" si="232">SUM(AE236:AF236)</f>
        <v>0</v>
      </c>
      <c r="AH236" s="21">
        <f t="shared" ref="AH236:AH241" si="233">X236-AA236</f>
        <v>0</v>
      </c>
      <c r="AI236" s="17">
        <f t="shared" ref="AI236:AI241" si="234">X236-AD236</f>
        <v>0</v>
      </c>
      <c r="AJ236" s="18">
        <f t="shared" ref="AJ236:AJ241" si="235">X236-AG236</f>
        <v>0</v>
      </c>
      <c r="AK236" s="10"/>
      <c r="AL236" s="455">
        <v>0</v>
      </c>
      <c r="AM236" s="458">
        <v>0</v>
      </c>
      <c r="AN236" s="10"/>
    </row>
    <row r="237" spans="1:70" s="467" customFormat="1" x14ac:dyDescent="0.2">
      <c r="A237" s="623"/>
      <c r="B237" s="554"/>
      <c r="N237" s="10"/>
      <c r="P237" s="10"/>
      <c r="Q237" s="10"/>
      <c r="R237" s="10"/>
      <c r="S237" s="156" t="s">
        <v>365</v>
      </c>
      <c r="T237" s="205" t="s">
        <v>366</v>
      </c>
      <c r="U237" s="487">
        <v>0</v>
      </c>
      <c r="V237" s="17">
        <f t="shared" si="228"/>
        <v>0</v>
      </c>
      <c r="W237" s="17">
        <f t="shared" si="228"/>
        <v>0</v>
      </c>
      <c r="X237" s="20">
        <f t="shared" si="229"/>
        <v>0</v>
      </c>
      <c r="Y237" s="21">
        <v>0</v>
      </c>
      <c r="Z237" s="457">
        <v>0</v>
      </c>
      <c r="AA237" s="20">
        <f t="shared" si="230"/>
        <v>0</v>
      </c>
      <c r="AB237" s="21">
        <v>0</v>
      </c>
      <c r="AC237" s="457">
        <v>0</v>
      </c>
      <c r="AD237" s="20">
        <f t="shared" si="231"/>
        <v>0</v>
      </c>
      <c r="AE237" s="21">
        <v>0</v>
      </c>
      <c r="AF237" s="457">
        <v>0</v>
      </c>
      <c r="AG237" s="20">
        <f t="shared" si="232"/>
        <v>0</v>
      </c>
      <c r="AH237" s="21">
        <f t="shared" si="233"/>
        <v>0</v>
      </c>
      <c r="AI237" s="17">
        <f t="shared" si="234"/>
        <v>0</v>
      </c>
      <c r="AJ237" s="18">
        <f t="shared" si="235"/>
        <v>0</v>
      </c>
      <c r="AK237" s="10"/>
      <c r="AL237" s="455">
        <v>0</v>
      </c>
      <c r="AM237" s="458">
        <v>0</v>
      </c>
      <c r="AN237" s="10"/>
    </row>
    <row r="238" spans="1:70" s="467" customFormat="1" x14ac:dyDescent="0.2">
      <c r="A238" s="623"/>
      <c r="B238" s="554"/>
      <c r="N238" s="10"/>
      <c r="P238" s="10"/>
      <c r="Q238" s="10"/>
      <c r="R238" s="10"/>
      <c r="S238" s="156" t="s">
        <v>367</v>
      </c>
      <c r="T238" s="205" t="s">
        <v>368</v>
      </c>
      <c r="U238" s="487">
        <v>0</v>
      </c>
      <c r="V238" s="17">
        <f t="shared" si="228"/>
        <v>0</v>
      </c>
      <c r="W238" s="17">
        <f t="shared" si="228"/>
        <v>0</v>
      </c>
      <c r="X238" s="20">
        <f t="shared" si="229"/>
        <v>0</v>
      </c>
      <c r="Y238" s="21">
        <v>0</v>
      </c>
      <c r="Z238" s="457">
        <v>0</v>
      </c>
      <c r="AA238" s="20">
        <f t="shared" si="230"/>
        <v>0</v>
      </c>
      <c r="AB238" s="21">
        <v>0</v>
      </c>
      <c r="AC238" s="457">
        <v>0</v>
      </c>
      <c r="AD238" s="20">
        <f t="shared" si="231"/>
        <v>0</v>
      </c>
      <c r="AE238" s="21">
        <v>0</v>
      </c>
      <c r="AF238" s="457">
        <v>0</v>
      </c>
      <c r="AG238" s="20">
        <f t="shared" si="232"/>
        <v>0</v>
      </c>
      <c r="AH238" s="21">
        <f t="shared" si="233"/>
        <v>0</v>
      </c>
      <c r="AI238" s="17">
        <f t="shared" si="234"/>
        <v>0</v>
      </c>
      <c r="AJ238" s="18">
        <f t="shared" si="235"/>
        <v>0</v>
      </c>
      <c r="AK238" s="10"/>
      <c r="AL238" s="455">
        <v>0</v>
      </c>
      <c r="AM238" s="458">
        <v>0</v>
      </c>
      <c r="AN238" s="10"/>
    </row>
    <row r="239" spans="1:70" s="467" customFormat="1" x14ac:dyDescent="0.2">
      <c r="A239" s="623"/>
      <c r="B239" s="554"/>
      <c r="N239" s="10"/>
      <c r="P239" s="10"/>
      <c r="Q239" s="10"/>
      <c r="S239" s="156" t="s">
        <v>369</v>
      </c>
      <c r="T239" s="205" t="s">
        <v>370</v>
      </c>
      <c r="U239" s="487">
        <v>0</v>
      </c>
      <c r="V239" s="17">
        <f t="shared" si="228"/>
        <v>0</v>
      </c>
      <c r="W239" s="17">
        <f t="shared" si="228"/>
        <v>0</v>
      </c>
      <c r="X239" s="20">
        <f t="shared" si="229"/>
        <v>0</v>
      </c>
      <c r="Y239" s="21">
        <v>0</v>
      </c>
      <c r="Z239" s="457">
        <v>0</v>
      </c>
      <c r="AA239" s="20">
        <f t="shared" si="230"/>
        <v>0</v>
      </c>
      <c r="AB239" s="21">
        <v>0</v>
      </c>
      <c r="AC239" s="457">
        <v>0</v>
      </c>
      <c r="AD239" s="20">
        <f t="shared" si="231"/>
        <v>0</v>
      </c>
      <c r="AE239" s="21">
        <v>0</v>
      </c>
      <c r="AF239" s="457">
        <v>0</v>
      </c>
      <c r="AG239" s="20">
        <f t="shared" si="232"/>
        <v>0</v>
      </c>
      <c r="AH239" s="21">
        <f t="shared" si="233"/>
        <v>0</v>
      </c>
      <c r="AI239" s="17">
        <f t="shared" si="234"/>
        <v>0</v>
      </c>
      <c r="AJ239" s="18">
        <f t="shared" si="235"/>
        <v>0</v>
      </c>
      <c r="AK239" s="10"/>
      <c r="AL239" s="455">
        <v>0</v>
      </c>
      <c r="AM239" s="458">
        <v>0</v>
      </c>
      <c r="AN239" s="10"/>
    </row>
    <row r="240" spans="1:70" x14ac:dyDescent="0.2">
      <c r="A240" s="623"/>
      <c r="B240" s="554"/>
      <c r="C240" s="467"/>
      <c r="D240" s="467"/>
      <c r="E240" s="467"/>
      <c r="F240" s="467"/>
      <c r="G240" s="467"/>
      <c r="H240" s="467"/>
      <c r="I240" s="467"/>
      <c r="J240" s="467"/>
      <c r="K240" s="467"/>
      <c r="L240" s="467"/>
      <c r="M240" s="467"/>
      <c r="N240" s="10"/>
      <c r="O240" s="467"/>
      <c r="P240" s="10"/>
      <c r="Q240" s="10"/>
      <c r="S240" s="156" t="s">
        <v>371</v>
      </c>
      <c r="T240" s="205" t="s">
        <v>372</v>
      </c>
      <c r="U240" s="487">
        <v>0</v>
      </c>
      <c r="V240" s="17">
        <f t="shared" si="228"/>
        <v>0</v>
      </c>
      <c r="W240" s="17">
        <f t="shared" si="228"/>
        <v>0</v>
      </c>
      <c r="X240" s="20">
        <f t="shared" si="229"/>
        <v>0</v>
      </c>
      <c r="Y240" s="21">
        <v>0</v>
      </c>
      <c r="Z240" s="457">
        <v>0</v>
      </c>
      <c r="AA240" s="20">
        <f t="shared" si="230"/>
        <v>0</v>
      </c>
      <c r="AB240" s="21">
        <v>0</v>
      </c>
      <c r="AC240" s="457">
        <v>0</v>
      </c>
      <c r="AD240" s="20">
        <f t="shared" si="231"/>
        <v>0</v>
      </c>
      <c r="AE240" s="21">
        <v>0</v>
      </c>
      <c r="AF240" s="457">
        <v>0</v>
      </c>
      <c r="AG240" s="20">
        <f t="shared" si="232"/>
        <v>0</v>
      </c>
      <c r="AH240" s="21">
        <f t="shared" si="233"/>
        <v>0</v>
      </c>
      <c r="AI240" s="17">
        <f t="shared" si="234"/>
        <v>0</v>
      </c>
      <c r="AJ240" s="18">
        <f t="shared" si="235"/>
        <v>0</v>
      </c>
      <c r="AK240" s="10"/>
      <c r="AL240" s="455">
        <v>0</v>
      </c>
      <c r="AM240" s="458">
        <v>0</v>
      </c>
      <c r="BB240" s="467"/>
      <c r="BC240" s="467"/>
      <c r="BD240" s="467"/>
      <c r="BE240" s="467"/>
      <c r="BM240" s="467"/>
      <c r="BN240" s="467"/>
      <c r="BO240" s="467"/>
      <c r="BP240" s="467"/>
      <c r="BQ240" s="467"/>
      <c r="BR240" s="467"/>
    </row>
    <row r="241" spans="1:70" ht="14.25" x14ac:dyDescent="0.2">
      <c r="A241" s="623"/>
      <c r="B241" s="554"/>
      <c r="C241" s="467"/>
      <c r="D241" s="467"/>
      <c r="E241" s="467"/>
      <c r="F241" s="467"/>
      <c r="G241" s="467"/>
      <c r="H241" s="467"/>
      <c r="I241" s="467"/>
      <c r="J241" s="467"/>
      <c r="K241" s="467"/>
      <c r="L241" s="467"/>
      <c r="M241" s="467"/>
      <c r="N241" s="10"/>
      <c r="O241" s="467"/>
      <c r="P241" s="10"/>
      <c r="Q241" s="10"/>
      <c r="S241" s="656">
        <v>8001999</v>
      </c>
      <c r="T241" s="55" t="s">
        <v>132</v>
      </c>
      <c r="U241" s="487">
        <v>0</v>
      </c>
      <c r="V241" s="17">
        <f t="shared" si="228"/>
        <v>0</v>
      </c>
      <c r="W241" s="17">
        <f t="shared" si="228"/>
        <v>0</v>
      </c>
      <c r="X241" s="20">
        <f t="shared" si="229"/>
        <v>0</v>
      </c>
      <c r="Y241" s="21">
        <v>0</v>
      </c>
      <c r="Z241" s="457">
        <v>0</v>
      </c>
      <c r="AA241" s="20">
        <f t="shared" si="230"/>
        <v>0</v>
      </c>
      <c r="AB241" s="21">
        <v>0</v>
      </c>
      <c r="AC241" s="457">
        <v>0</v>
      </c>
      <c r="AD241" s="20">
        <f t="shared" si="231"/>
        <v>0</v>
      </c>
      <c r="AE241" s="21">
        <v>0</v>
      </c>
      <c r="AF241" s="457">
        <v>0</v>
      </c>
      <c r="AG241" s="20">
        <f t="shared" si="232"/>
        <v>0</v>
      </c>
      <c r="AH241" s="21">
        <f t="shared" si="233"/>
        <v>0</v>
      </c>
      <c r="AI241" s="17">
        <f t="shared" si="234"/>
        <v>0</v>
      </c>
      <c r="AJ241" s="18">
        <f t="shared" si="23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c r="T242" s="649"/>
      <c r="U242" s="256"/>
      <c r="V242" s="193"/>
      <c r="W242" s="193"/>
      <c r="X242" s="193"/>
      <c r="Y242" s="193"/>
      <c r="Z242" s="256"/>
      <c r="AA242" s="193"/>
      <c r="AB242" s="193"/>
      <c r="AC242" s="256"/>
      <c r="AD242" s="193"/>
      <c r="AE242" s="193"/>
      <c r="AF242" s="256"/>
      <c r="AG242" s="193"/>
      <c r="AH242" s="450"/>
      <c r="AI242" s="193"/>
      <c r="AJ242" s="207"/>
      <c r="AK242" s="10"/>
      <c r="AL242" s="213"/>
      <c r="AM242" s="214"/>
    </row>
    <row r="243" spans="1:70" x14ac:dyDescent="0.2">
      <c r="A243" s="623"/>
      <c r="B243" s="554"/>
      <c r="C243" s="467"/>
      <c r="D243" s="467"/>
      <c r="E243" s="467"/>
      <c r="F243" s="467"/>
      <c r="G243" s="467"/>
      <c r="H243" s="467"/>
      <c r="I243" s="467"/>
      <c r="J243" s="467"/>
      <c r="K243" s="467"/>
      <c r="L243" s="467"/>
      <c r="M243" s="467"/>
      <c r="N243" s="10"/>
      <c r="O243" s="467"/>
      <c r="P243" s="10"/>
      <c r="Q243" s="10"/>
      <c r="S243" s="155">
        <v>8002001</v>
      </c>
      <c r="T243" s="159" t="s">
        <v>373</v>
      </c>
      <c r="U243" s="268">
        <f t="shared" ref="U243:AJ243" si="236">SUM(U244:U256)</f>
        <v>121563100</v>
      </c>
      <c r="V243" s="17">
        <f t="shared" si="236"/>
        <v>0</v>
      </c>
      <c r="W243" s="17">
        <f t="shared" si="236"/>
        <v>0</v>
      </c>
      <c r="X243" s="20">
        <f t="shared" si="236"/>
        <v>121563100</v>
      </c>
      <c r="Y243" s="21">
        <f t="shared" si="236"/>
        <v>0</v>
      </c>
      <c r="Z243" s="264">
        <f t="shared" si="236"/>
        <v>0</v>
      </c>
      <c r="AA243" s="20">
        <f t="shared" si="236"/>
        <v>0</v>
      </c>
      <c r="AB243" s="21">
        <f t="shared" si="236"/>
        <v>0</v>
      </c>
      <c r="AC243" s="264">
        <f t="shared" si="236"/>
        <v>0</v>
      </c>
      <c r="AD243" s="20">
        <f t="shared" si="236"/>
        <v>0</v>
      </c>
      <c r="AE243" s="21">
        <f t="shared" si="236"/>
        <v>0</v>
      </c>
      <c r="AF243" s="264">
        <f t="shared" si="236"/>
        <v>0</v>
      </c>
      <c r="AG243" s="20">
        <f t="shared" si="236"/>
        <v>0</v>
      </c>
      <c r="AH243" s="21">
        <f t="shared" si="236"/>
        <v>121563100</v>
      </c>
      <c r="AI243" s="17">
        <f t="shared" si="236"/>
        <v>121563100</v>
      </c>
      <c r="AJ243" s="18">
        <f t="shared" si="236"/>
        <v>121563100</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
        <v>374</v>
      </c>
      <c r="T244" s="205" t="s">
        <v>608</v>
      </c>
      <c r="U244" s="487">
        <v>120000000</v>
      </c>
      <c r="V244" s="17">
        <f t="shared" ref="V244:W256" si="237">AL244</f>
        <v>0</v>
      </c>
      <c r="W244" s="17">
        <f t="shared" si="237"/>
        <v>0</v>
      </c>
      <c r="X244" s="20">
        <f t="shared" ref="X244:X256" si="238">SUM(U244:W244)</f>
        <v>120000000</v>
      </c>
      <c r="Y244" s="21">
        <v>0</v>
      </c>
      <c r="Z244" s="457">
        <v>0</v>
      </c>
      <c r="AA244" s="20">
        <f t="shared" ref="AA244:AA256" si="239">SUM(Y244:Z244)</f>
        <v>0</v>
      </c>
      <c r="AB244" s="21">
        <v>0</v>
      </c>
      <c r="AC244" s="457">
        <v>0</v>
      </c>
      <c r="AD244" s="20">
        <f t="shared" ref="AD244:AD256" si="240">SUM(AB244:AC244)</f>
        <v>0</v>
      </c>
      <c r="AE244" s="21">
        <v>0</v>
      </c>
      <c r="AF244" s="457">
        <v>0</v>
      </c>
      <c r="AG244" s="20">
        <f t="shared" ref="AG244:AG256" si="241">SUM(AE244:AF244)</f>
        <v>0</v>
      </c>
      <c r="AH244" s="21">
        <f t="shared" ref="AH244:AH256" si="242">X244-AA244</f>
        <v>120000000</v>
      </c>
      <c r="AI244" s="17">
        <f t="shared" ref="AI244:AI256" si="243">X244-AD244</f>
        <v>120000000</v>
      </c>
      <c r="AJ244" s="18">
        <f t="shared" ref="AJ244:AJ256" si="244">X244-AG244</f>
        <v>120000000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
        <v>376</v>
      </c>
      <c r="T245" s="205" t="s">
        <v>503</v>
      </c>
      <c r="U245" s="487">
        <v>0</v>
      </c>
      <c r="V245" s="17">
        <f t="shared" si="237"/>
        <v>0</v>
      </c>
      <c r="W245" s="17">
        <f t="shared" si="237"/>
        <v>0</v>
      </c>
      <c r="X245" s="20">
        <f t="shared" si="238"/>
        <v>0</v>
      </c>
      <c r="Y245" s="21">
        <v>0</v>
      </c>
      <c r="Z245" s="457">
        <v>0</v>
      </c>
      <c r="AA245" s="20">
        <f t="shared" si="239"/>
        <v>0</v>
      </c>
      <c r="AB245" s="21">
        <v>0</v>
      </c>
      <c r="AC245" s="457">
        <v>0</v>
      </c>
      <c r="AD245" s="20">
        <f t="shared" si="240"/>
        <v>0</v>
      </c>
      <c r="AE245" s="21">
        <v>0</v>
      </c>
      <c r="AF245" s="457">
        <v>0</v>
      </c>
      <c r="AG245" s="20">
        <f t="shared" si="241"/>
        <v>0</v>
      </c>
      <c r="AH245" s="21">
        <f t="shared" si="242"/>
        <v>0</v>
      </c>
      <c r="AI245" s="17">
        <f t="shared" si="243"/>
        <v>0</v>
      </c>
      <c r="AJ245" s="18">
        <f t="shared" si="244"/>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
        <v>377</v>
      </c>
      <c r="T246" s="205" t="s">
        <v>504</v>
      </c>
      <c r="U246" s="487">
        <v>0</v>
      </c>
      <c r="V246" s="17">
        <f t="shared" si="237"/>
        <v>0</v>
      </c>
      <c r="W246" s="17">
        <f t="shared" si="237"/>
        <v>0</v>
      </c>
      <c r="X246" s="20">
        <f t="shared" si="238"/>
        <v>0</v>
      </c>
      <c r="Y246" s="21">
        <v>0</v>
      </c>
      <c r="Z246" s="457">
        <v>0</v>
      </c>
      <c r="AA246" s="20">
        <f t="shared" si="239"/>
        <v>0</v>
      </c>
      <c r="AB246" s="21">
        <v>0</v>
      </c>
      <c r="AC246" s="457">
        <v>0</v>
      </c>
      <c r="AD246" s="20">
        <f t="shared" si="240"/>
        <v>0</v>
      </c>
      <c r="AE246" s="21">
        <v>0</v>
      </c>
      <c r="AF246" s="457">
        <v>0</v>
      </c>
      <c r="AG246" s="20">
        <f t="shared" si="241"/>
        <v>0</v>
      </c>
      <c r="AH246" s="21">
        <f t="shared" si="242"/>
        <v>0</v>
      </c>
      <c r="AI246" s="17">
        <f t="shared" si="243"/>
        <v>0</v>
      </c>
      <c r="AJ246" s="18">
        <f t="shared" si="244"/>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
        <v>378</v>
      </c>
      <c r="T247" s="205" t="s">
        <v>505</v>
      </c>
      <c r="U247" s="487">
        <v>0</v>
      </c>
      <c r="V247" s="17">
        <f t="shared" si="237"/>
        <v>0</v>
      </c>
      <c r="W247" s="17">
        <f t="shared" si="237"/>
        <v>0</v>
      </c>
      <c r="X247" s="20">
        <f t="shared" si="238"/>
        <v>0</v>
      </c>
      <c r="Y247" s="21">
        <v>0</v>
      </c>
      <c r="Z247" s="457">
        <v>0</v>
      </c>
      <c r="AA247" s="20">
        <f t="shared" si="239"/>
        <v>0</v>
      </c>
      <c r="AB247" s="21">
        <v>0</v>
      </c>
      <c r="AC247" s="457">
        <v>0</v>
      </c>
      <c r="AD247" s="20">
        <f t="shared" si="240"/>
        <v>0</v>
      </c>
      <c r="AE247" s="21">
        <v>0</v>
      </c>
      <c r="AF247" s="457">
        <v>0</v>
      </c>
      <c r="AG247" s="20">
        <f t="shared" si="241"/>
        <v>0</v>
      </c>
      <c r="AH247" s="21">
        <f t="shared" si="242"/>
        <v>0</v>
      </c>
      <c r="AI247" s="17">
        <f t="shared" si="243"/>
        <v>0</v>
      </c>
      <c r="AJ247" s="18">
        <f t="shared" si="244"/>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
        <v>379</v>
      </c>
      <c r="T248" s="205" t="s">
        <v>506</v>
      </c>
      <c r="U248" s="487">
        <v>0</v>
      </c>
      <c r="V248" s="17">
        <f t="shared" si="237"/>
        <v>0</v>
      </c>
      <c r="W248" s="17">
        <f t="shared" si="237"/>
        <v>0</v>
      </c>
      <c r="X248" s="20">
        <f t="shared" si="238"/>
        <v>0</v>
      </c>
      <c r="Y248" s="21">
        <v>0</v>
      </c>
      <c r="Z248" s="457">
        <v>0</v>
      </c>
      <c r="AA248" s="20">
        <f t="shared" si="239"/>
        <v>0</v>
      </c>
      <c r="AB248" s="21">
        <v>0</v>
      </c>
      <c r="AC248" s="457">
        <v>0</v>
      </c>
      <c r="AD248" s="20">
        <f t="shared" si="240"/>
        <v>0</v>
      </c>
      <c r="AE248" s="21">
        <v>0</v>
      </c>
      <c r="AF248" s="457">
        <v>0</v>
      </c>
      <c r="AG248" s="20">
        <f t="shared" si="241"/>
        <v>0</v>
      </c>
      <c r="AH248" s="21">
        <f t="shared" si="242"/>
        <v>0</v>
      </c>
      <c r="AI248" s="17">
        <f t="shared" si="243"/>
        <v>0</v>
      </c>
      <c r="AJ248" s="18">
        <f t="shared" si="244"/>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
        <v>380</v>
      </c>
      <c r="T249" s="205" t="s">
        <v>507</v>
      </c>
      <c r="U249" s="487">
        <v>0</v>
      </c>
      <c r="V249" s="17">
        <f t="shared" si="237"/>
        <v>0</v>
      </c>
      <c r="W249" s="17">
        <f t="shared" si="237"/>
        <v>0</v>
      </c>
      <c r="X249" s="20">
        <f t="shared" si="238"/>
        <v>0</v>
      </c>
      <c r="Y249" s="21">
        <v>0</v>
      </c>
      <c r="Z249" s="457">
        <v>0</v>
      </c>
      <c r="AA249" s="20">
        <f t="shared" si="239"/>
        <v>0</v>
      </c>
      <c r="AB249" s="21">
        <v>0</v>
      </c>
      <c r="AC249" s="457">
        <v>0</v>
      </c>
      <c r="AD249" s="20">
        <f t="shared" si="240"/>
        <v>0</v>
      </c>
      <c r="AE249" s="21">
        <v>0</v>
      </c>
      <c r="AF249" s="457">
        <v>0</v>
      </c>
      <c r="AG249" s="20">
        <f t="shared" si="241"/>
        <v>0</v>
      </c>
      <c r="AH249" s="21">
        <f t="shared" si="242"/>
        <v>0</v>
      </c>
      <c r="AI249" s="17">
        <f t="shared" si="243"/>
        <v>0</v>
      </c>
      <c r="AJ249" s="18">
        <f t="shared" si="244"/>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
        <v>381</v>
      </c>
      <c r="T250" s="205" t="s">
        <v>508</v>
      </c>
      <c r="U250" s="487">
        <v>0</v>
      </c>
      <c r="V250" s="17">
        <f t="shared" ref="V250:W254" si="245">AL250</f>
        <v>0</v>
      </c>
      <c r="W250" s="17">
        <f t="shared" si="245"/>
        <v>0</v>
      </c>
      <c r="X250" s="20">
        <f>SUM(U250:W250)</f>
        <v>0</v>
      </c>
      <c r="Y250" s="21">
        <v>0</v>
      </c>
      <c r="Z250" s="457">
        <v>0</v>
      </c>
      <c r="AA250" s="20">
        <f>SUM(Y250:Z250)</f>
        <v>0</v>
      </c>
      <c r="AB250" s="21">
        <v>0</v>
      </c>
      <c r="AC250" s="457">
        <v>0</v>
      </c>
      <c r="AD250" s="20">
        <f>SUM(AB250:AC250)</f>
        <v>0</v>
      </c>
      <c r="AE250" s="21">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
        <v>483</v>
      </c>
      <c r="T251" s="205" t="s">
        <v>509</v>
      </c>
      <c r="U251" s="487">
        <v>0</v>
      </c>
      <c r="V251" s="17">
        <f t="shared" si="245"/>
        <v>0</v>
      </c>
      <c r="W251" s="17">
        <f t="shared" si="245"/>
        <v>0</v>
      </c>
      <c r="X251" s="20">
        <f>SUM(U251:W251)</f>
        <v>0</v>
      </c>
      <c r="Y251" s="21">
        <v>0</v>
      </c>
      <c r="Z251" s="457">
        <v>0</v>
      </c>
      <c r="AA251" s="20">
        <f>SUM(Y251:Z251)</f>
        <v>0</v>
      </c>
      <c r="AB251" s="21">
        <v>0</v>
      </c>
      <c r="AC251" s="457">
        <v>0</v>
      </c>
      <c r="AD251" s="20">
        <f>SUM(AB251:AC251)</f>
        <v>0</v>
      </c>
      <c r="AE251" s="21">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
        <v>484</v>
      </c>
      <c r="T252" s="205" t="s">
        <v>510</v>
      </c>
      <c r="U252" s="487">
        <v>0</v>
      </c>
      <c r="V252" s="17">
        <f t="shared" si="245"/>
        <v>0</v>
      </c>
      <c r="W252" s="17">
        <f t="shared" si="245"/>
        <v>0</v>
      </c>
      <c r="X252" s="20">
        <f>SUM(U252:W252)</f>
        <v>0</v>
      </c>
      <c r="Y252" s="21">
        <v>0</v>
      </c>
      <c r="Z252" s="457">
        <v>0</v>
      </c>
      <c r="AA252" s="20">
        <f>SUM(Y252:Z252)</f>
        <v>0</v>
      </c>
      <c r="AB252" s="21">
        <v>0</v>
      </c>
      <c r="AC252" s="457">
        <v>0</v>
      </c>
      <c r="AD252" s="20">
        <f>SUM(AB252:AC252)</f>
        <v>0</v>
      </c>
      <c r="AE252" s="21">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
        <v>485</v>
      </c>
      <c r="T253" s="205" t="s">
        <v>511</v>
      </c>
      <c r="U253" s="487">
        <v>0</v>
      </c>
      <c r="V253" s="17">
        <f t="shared" si="245"/>
        <v>0</v>
      </c>
      <c r="W253" s="17">
        <f t="shared" si="245"/>
        <v>0</v>
      </c>
      <c r="X253" s="20">
        <f>SUM(U253:W253)</f>
        <v>0</v>
      </c>
      <c r="Y253" s="21">
        <v>0</v>
      </c>
      <c r="Z253" s="457">
        <v>0</v>
      </c>
      <c r="AA253" s="20">
        <f>SUM(Y253:Z253)</f>
        <v>0</v>
      </c>
      <c r="AB253" s="21">
        <v>0</v>
      </c>
      <c r="AC253" s="457">
        <v>0</v>
      </c>
      <c r="AD253" s="20">
        <f>SUM(AB253:AC253)</f>
        <v>0</v>
      </c>
      <c r="AE253" s="21">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
        <v>486</v>
      </c>
      <c r="T254" s="205" t="s">
        <v>488</v>
      </c>
      <c r="U254" s="487">
        <v>0</v>
      </c>
      <c r="V254" s="17">
        <f t="shared" si="245"/>
        <v>0</v>
      </c>
      <c r="W254" s="17">
        <f t="shared" si="245"/>
        <v>0</v>
      </c>
      <c r="X254" s="20">
        <f>SUM(U254:W254)</f>
        <v>0</v>
      </c>
      <c r="Y254" s="21">
        <v>0</v>
      </c>
      <c r="Z254" s="457">
        <v>0</v>
      </c>
      <c r="AA254" s="20">
        <f>SUM(Y254:Z254)</f>
        <v>0</v>
      </c>
      <c r="AB254" s="21">
        <v>0</v>
      </c>
      <c r="AC254" s="457">
        <v>0</v>
      </c>
      <c r="AD254" s="20">
        <f>SUM(AB254:AC254)</f>
        <v>0</v>
      </c>
      <c r="AE254" s="21">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
        <v>487</v>
      </c>
      <c r="T255" s="205" t="s">
        <v>489</v>
      </c>
      <c r="U255" s="487"/>
      <c r="V255" s="17">
        <f t="shared" si="237"/>
        <v>0</v>
      </c>
      <c r="W255" s="17">
        <f t="shared" si="237"/>
        <v>0</v>
      </c>
      <c r="X255" s="20">
        <f t="shared" si="238"/>
        <v>0</v>
      </c>
      <c r="Y255" s="21">
        <v>0</v>
      </c>
      <c r="Z255" s="457">
        <v>0</v>
      </c>
      <c r="AA255" s="20">
        <f t="shared" si="239"/>
        <v>0</v>
      </c>
      <c r="AB255" s="21">
        <v>0</v>
      </c>
      <c r="AC255" s="457">
        <v>0</v>
      </c>
      <c r="AD255" s="20">
        <f t="shared" si="240"/>
        <v>0</v>
      </c>
      <c r="AE255" s="21">
        <v>0</v>
      </c>
      <c r="AF255" s="457">
        <v>0</v>
      </c>
      <c r="AG255" s="20">
        <f t="shared" si="241"/>
        <v>0</v>
      </c>
      <c r="AH255" s="21">
        <f t="shared" si="242"/>
        <v>0</v>
      </c>
      <c r="AI255" s="17">
        <f t="shared" si="243"/>
        <v>0</v>
      </c>
      <c r="AJ255" s="18">
        <f t="shared" si="244"/>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v>8002999</v>
      </c>
      <c r="T256" s="658" t="s">
        <v>132</v>
      </c>
      <c r="U256" s="626">
        <v>1563100</v>
      </c>
      <c r="V256" s="143">
        <f t="shared" si="237"/>
        <v>0</v>
      </c>
      <c r="W256" s="143">
        <f t="shared" si="237"/>
        <v>0</v>
      </c>
      <c r="X256" s="149">
        <f t="shared" si="238"/>
        <v>1563100</v>
      </c>
      <c r="Y256" s="147">
        <v>0</v>
      </c>
      <c r="Z256" s="475">
        <v>0</v>
      </c>
      <c r="AA256" s="149">
        <f t="shared" si="239"/>
        <v>0</v>
      </c>
      <c r="AB256" s="147">
        <v>0</v>
      </c>
      <c r="AC256" s="475">
        <v>0</v>
      </c>
      <c r="AD256" s="149">
        <f t="shared" si="240"/>
        <v>0</v>
      </c>
      <c r="AE256" s="147">
        <v>0</v>
      </c>
      <c r="AF256" s="475">
        <v>0</v>
      </c>
      <c r="AG256" s="149">
        <f t="shared" si="241"/>
        <v>0</v>
      </c>
      <c r="AH256" s="147">
        <f t="shared" si="242"/>
        <v>1563100</v>
      </c>
      <c r="AI256" s="143">
        <f t="shared" si="243"/>
        <v>1563100</v>
      </c>
      <c r="AJ256" s="148">
        <f t="shared" si="244"/>
        <v>1563100</v>
      </c>
      <c r="AK256" s="10"/>
      <c r="AL256" s="471">
        <v>0</v>
      </c>
      <c r="AM256" s="476">
        <v>0</v>
      </c>
    </row>
    <row r="257" spans="15:39" ht="16.5" thickBot="1" x14ac:dyDescent="0.25">
      <c r="O257" s="467"/>
      <c r="S257" s="643"/>
      <c r="T257" s="357"/>
      <c r="U257" s="192"/>
      <c r="V257" s="192"/>
      <c r="W257" s="192"/>
      <c r="X257" s="192"/>
      <c r="Y257" s="192"/>
      <c r="Z257" s="192"/>
      <c r="AA257" s="192"/>
      <c r="AB257" s="192"/>
      <c r="AC257" s="192"/>
      <c r="AD257" s="192"/>
      <c r="AE257" s="192"/>
      <c r="AF257" s="192"/>
      <c r="AG257" s="192"/>
      <c r="AH257" s="192"/>
      <c r="AI257" s="192"/>
      <c r="AJ257" s="210"/>
      <c r="AK257" s="12"/>
      <c r="AL257" s="661"/>
      <c r="AM257" s="662"/>
    </row>
    <row r="258" spans="15:39" ht="20.25" thickBot="1" x14ac:dyDescent="0.25">
      <c r="S258" s="663" t="s">
        <v>382</v>
      </c>
      <c r="T258" s="664" t="s">
        <v>137</v>
      </c>
      <c r="U258" s="415">
        <f t="shared" ref="U258:AJ258" si="246">+(C10+C17+C108)-(U10+U207+U220+U232)</f>
        <v>0</v>
      </c>
      <c r="V258" s="415">
        <f t="shared" si="246"/>
        <v>0</v>
      </c>
      <c r="W258" s="415">
        <f t="shared" si="246"/>
        <v>0</v>
      </c>
      <c r="X258" s="415">
        <f t="shared" si="246"/>
        <v>0</v>
      </c>
      <c r="Y258" s="415">
        <f t="shared" si="246"/>
        <v>0</v>
      </c>
      <c r="Z258" s="415">
        <f t="shared" si="246"/>
        <v>-43398310</v>
      </c>
      <c r="AA258" s="415">
        <f t="shared" si="246"/>
        <v>-43398310</v>
      </c>
      <c r="AB258" s="415">
        <f t="shared" si="246"/>
        <v>0</v>
      </c>
      <c r="AC258" s="415">
        <f t="shared" si="246"/>
        <v>-104110043</v>
      </c>
      <c r="AD258" s="415">
        <f t="shared" si="246"/>
        <v>-104110043</v>
      </c>
      <c r="AE258" s="415">
        <f t="shared" si="246"/>
        <v>3314189135</v>
      </c>
      <c r="AF258" s="415">
        <f t="shared" si="246"/>
        <v>3219925459</v>
      </c>
      <c r="AG258" s="415">
        <f t="shared" si="246"/>
        <v>-155121697</v>
      </c>
      <c r="AH258" s="415">
        <f t="shared" si="246"/>
        <v>-3270790825</v>
      </c>
      <c r="AI258" s="415">
        <f t="shared" si="246"/>
        <v>-3270937113</v>
      </c>
      <c r="AJ258" s="665">
        <f t="shared" si="246"/>
        <v>-3476379315</v>
      </c>
      <c r="AK258" s="10"/>
      <c r="AL258" s="415">
        <v>0</v>
      </c>
      <c r="AM258" s="416">
        <v>0</v>
      </c>
    </row>
    <row r="259" spans="15:39" ht="17.25" thickBot="1" x14ac:dyDescent="0.25">
      <c r="S259" s="982" t="s">
        <v>383</v>
      </c>
      <c r="T259" s="983"/>
      <c r="U259" s="145">
        <f t="shared" ref="U259:AJ259" si="247">+SUMIF($T$8:$T$256,$T$33,U8:U256)</f>
        <v>91581965</v>
      </c>
      <c r="V259" s="133">
        <f t="shared" si="247"/>
        <v>0</v>
      </c>
      <c r="W259" s="133">
        <f t="shared" si="247"/>
        <v>0</v>
      </c>
      <c r="X259" s="146">
        <f t="shared" si="247"/>
        <v>91581965</v>
      </c>
      <c r="Y259" s="145">
        <f t="shared" si="247"/>
        <v>0</v>
      </c>
      <c r="Z259" s="133">
        <f t="shared" si="247"/>
        <v>145453491</v>
      </c>
      <c r="AA259" s="146">
        <f t="shared" si="247"/>
        <v>145453491</v>
      </c>
      <c r="AB259" s="145">
        <f t="shared" si="247"/>
        <v>0</v>
      </c>
      <c r="AC259" s="133">
        <f t="shared" si="247"/>
        <v>145453491</v>
      </c>
      <c r="AD259" s="146">
        <f t="shared" si="247"/>
        <v>145453491</v>
      </c>
      <c r="AE259" s="145">
        <f t="shared" si="247"/>
        <v>0</v>
      </c>
      <c r="AF259" s="133">
        <f t="shared" si="247"/>
        <v>22670543</v>
      </c>
      <c r="AG259" s="146">
        <f t="shared" si="247"/>
        <v>22670543</v>
      </c>
      <c r="AH259" s="145">
        <f t="shared" si="247"/>
        <v>-53871526</v>
      </c>
      <c r="AI259" s="133">
        <f t="shared" si="247"/>
        <v>-53871526</v>
      </c>
      <c r="AJ259" s="134">
        <f t="shared" si="247"/>
        <v>68911422</v>
      </c>
      <c r="AK259" s="12"/>
      <c r="AL259" s="145">
        <f>+SUMIF(AK8:AK256,AK33,AL8:AL256)</f>
        <v>0</v>
      </c>
      <c r="AM259" s="134">
        <f>+SUMIF(AL8:AL256,AL33,AM8:AM256)</f>
        <v>0</v>
      </c>
    </row>
  </sheetData>
  <sheetProtection password="C637" sheet="1" objects="1" scenarios="1"/>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pageMargins left="0.59055118110236227" right="0.59055118110236227" top="0.43307086614173229" bottom="0.39370078740157483" header="0.23622047244094491" footer="0.23622047244094491"/>
  <pageSetup paperSize="5"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1"/>
  <sheetViews>
    <sheetView showGridLines="0" topLeftCell="AA1" zoomScale="90" zoomScaleNormal="90" workbookViewId="0">
      <selection activeCell="AG8" sqref="AG8"/>
    </sheetView>
  </sheetViews>
  <sheetFormatPr baseColWidth="10" defaultColWidth="0" defaultRowHeight="12.75" x14ac:dyDescent="0.2"/>
  <cols>
    <col min="1" max="1" width="12.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7.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t="str">
        <f>IF(SUM(C12:C15)=0,"",IF(SUM(H12:H15)=SUM(C12:C15),"OJO - EN LA DISPONIBILIDAD INICIAL, NI EL RECONOCIMIENTO NI EL RECAUDO PUEDEN SER IGUALES AL PRESUPUESTO INICIAL, haga click en la celda B8 para mas información",""))</f>
        <v/>
      </c>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2</v>
      </c>
      <c r="AP2" s="349" t="s">
        <v>8</v>
      </c>
      <c r="AQ2" s="350"/>
      <c r="AR2" s="4"/>
      <c r="AS2" s="4"/>
      <c r="AT2" s="4"/>
      <c r="AU2" s="4"/>
      <c r="AV2" s="4"/>
      <c r="AW2" s="4"/>
      <c r="AX2" s="4"/>
      <c r="AY2" s="4"/>
      <c r="AZ2" s="5"/>
      <c r="BB2" s="952" t="s">
        <v>423</v>
      </c>
      <c r="BC2" s="969"/>
      <c r="BD2" s="69" t="s">
        <v>409</v>
      </c>
      <c r="BE2" s="347" t="str">
        <f>+L3</f>
        <v>FEBRERO</v>
      </c>
      <c r="BF2" s="340"/>
      <c r="BG2" s="952" t="s">
        <v>424</v>
      </c>
      <c r="BH2" s="969"/>
      <c r="BI2" s="969"/>
      <c r="BJ2" s="69" t="s">
        <v>409</v>
      </c>
      <c r="BK2" s="347" t="str">
        <f>+BE2</f>
        <v>FEBRERO</v>
      </c>
      <c r="BM2" s="952" t="s">
        <v>424</v>
      </c>
      <c r="BN2" s="969"/>
      <c r="BO2" s="969"/>
      <c r="BP2" s="69" t="s">
        <v>409</v>
      </c>
      <c r="BQ2" s="347" t="str">
        <f>+BK2</f>
        <v>FEBRERO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384</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FEBRERO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66"/>
      <c r="BJ4" s="66"/>
      <c r="BK4" s="364"/>
      <c r="BL4" s="9"/>
      <c r="BM4" s="362"/>
      <c r="BN4" s="365"/>
      <c r="BO4" s="365"/>
      <c r="BP4" s="67"/>
      <c r="BQ4" s="366"/>
    </row>
    <row r="5" spans="1:69" ht="31.5" thickBot="1" x14ac:dyDescent="0.3">
      <c r="A5" s="945" t="s">
        <v>19</v>
      </c>
      <c r="B5" s="947" t="str">
        <f>IF(SUM(C8:N125)=0,"DESCRIPCIÓN",IF(I10&gt;0,"DESCRIPCIÓN",IF(MARZO!I10=0,"OJO - RECUERDE RECAUDAR LA DISPONIBLIDAD INICIAL EN ESTE TRIMESTRE, haga clik en H9 para ampliar la información","")))</f>
        <v>DESCRIPCIÓN</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980" t="s">
        <v>34</v>
      </c>
      <c r="BH5" s="977" t="str">
        <f>+CONCATENATE("ACUMULADO ",N3)</f>
        <v>ACUMULADO 2014</v>
      </c>
      <c r="BI5" s="978"/>
      <c r="BJ5" s="978" t="str">
        <f>+BG2</f>
        <v>INFORMACION DE GASTOS CONSOLIDAR INFORME DECRETO 2193</v>
      </c>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FEBRERO</v>
      </c>
      <c r="AS6" s="387" t="str">
        <f>AR6</f>
        <v>FEBRERO</v>
      </c>
      <c r="AT6" s="387" t="str">
        <f>AR6</f>
        <v>FEBRERO</v>
      </c>
      <c r="AU6" s="387" t="s">
        <v>16</v>
      </c>
      <c r="AV6" s="387" t="s">
        <v>31</v>
      </c>
      <c r="AW6" s="387"/>
      <c r="AX6" s="387"/>
      <c r="AY6" s="387" t="s">
        <v>16</v>
      </c>
      <c r="AZ6" s="388" t="s">
        <v>31</v>
      </c>
      <c r="BB6" s="389"/>
      <c r="BC6" s="390" t="s">
        <v>47</v>
      </c>
      <c r="BD6" s="391" t="s">
        <v>48</v>
      </c>
      <c r="BE6" s="392" t="s">
        <v>49</v>
      </c>
      <c r="BF6" s="393"/>
      <c r="BG6" s="981"/>
      <c r="BH6" s="394" t="s">
        <v>47</v>
      </c>
      <c r="BI6" s="394" t="s">
        <v>50</v>
      </c>
      <c r="BJ6" s="394" t="s">
        <v>51</v>
      </c>
      <c r="BK6" s="395"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47594445</v>
      </c>
      <c r="AS7" s="401">
        <f>L22</f>
        <v>10572449</v>
      </c>
      <c r="AT7" s="15"/>
      <c r="AU7" s="402">
        <f t="shared" ref="AU7:AU17" si="0">IF(AQ7=0," ",AR7/AQ7)</f>
        <v>0.20215253613093451</v>
      </c>
      <c r="AV7" s="402">
        <f t="shared" ref="AV7:AV17" si="1">IF(AQ7=0," ",AS7/AQ7)</f>
        <v>4.490539554489946E-2</v>
      </c>
      <c r="AW7" s="401">
        <f>I23/AO$2*12+I24</f>
        <v>232858875</v>
      </c>
      <c r="AX7" s="401">
        <f>L23/AO$2*12+L24</f>
        <v>10726899</v>
      </c>
      <c r="AY7" s="401">
        <f t="shared" ref="AY7:AY16" si="2">AW7-AQ7</f>
        <v>-2579403</v>
      </c>
      <c r="AZ7" s="403">
        <f t="shared" ref="AZ7:AZ16" si="3">AX7-AQ7</f>
        <v>-224711379</v>
      </c>
      <c r="BB7" s="404" t="s">
        <v>55</v>
      </c>
      <c r="BC7" s="72">
        <f>F10</f>
        <v>133074115</v>
      </c>
      <c r="BD7" s="73">
        <f>I10</f>
        <v>133074115</v>
      </c>
      <c r="BE7" s="74">
        <f>K10</f>
        <v>133074115</v>
      </c>
      <c r="BF7" s="75"/>
      <c r="BG7" s="76" t="s">
        <v>56</v>
      </c>
      <c r="BH7" s="77">
        <f>+SUM(BH8:BH11)</f>
        <v>3088228778</v>
      </c>
      <c r="BI7" s="77">
        <f>+SUM(BI8:BI11)</f>
        <v>481327274</v>
      </c>
      <c r="BJ7" s="77">
        <f>+SUM(BJ8:BJ11)</f>
        <v>481325673</v>
      </c>
      <c r="BK7" s="78">
        <f>+SUM(BK8:BK11)</f>
        <v>261915627</v>
      </c>
      <c r="BM7" s="79" t="s">
        <v>56</v>
      </c>
      <c r="BN7" s="80">
        <f>BN8+BN15+BN22</f>
        <v>3088228778</v>
      </c>
      <c r="BO7" s="81">
        <f>BO8+BO15+BO22</f>
        <v>481327274</v>
      </c>
      <c r="BP7" s="81">
        <f>BP8+BP15+BP22</f>
        <v>481325673</v>
      </c>
      <c r="BQ7" s="82">
        <f>BQ8+BQ15+BQ22</f>
        <v>261915627</v>
      </c>
    </row>
    <row r="8" spans="1:69" s="10" customFormat="1" ht="24" thickBot="1" x14ac:dyDescent="0.3">
      <c r="A8" s="405">
        <f>+IF(ENERO!A8=0,"",ENERO!A8)</f>
        <v>1</v>
      </c>
      <c r="B8" s="670" t="str">
        <f>+IF(ENERO!B8=0,"",ENERO!B8)</f>
        <v>INGRESOS</v>
      </c>
      <c r="C8" s="407">
        <f>C10+C17+C108</f>
        <v>3631501012</v>
      </c>
      <c r="D8" s="407">
        <f t="shared" ref="D8:N8" si="4">D10+D17+D108</f>
        <v>0</v>
      </c>
      <c r="E8" s="407">
        <f t="shared" si="4"/>
        <v>33074115</v>
      </c>
      <c r="F8" s="407">
        <f t="shared" si="4"/>
        <v>3664575127</v>
      </c>
      <c r="G8" s="407">
        <f t="shared" si="4"/>
        <v>317311877</v>
      </c>
      <c r="H8" s="407">
        <f t="shared" si="4"/>
        <v>453991648</v>
      </c>
      <c r="I8" s="407">
        <f t="shared" si="4"/>
        <v>771303525</v>
      </c>
      <c r="J8" s="407">
        <f t="shared" si="4"/>
        <v>256453856</v>
      </c>
      <c r="K8" s="407">
        <f t="shared" si="4"/>
        <v>399065644</v>
      </c>
      <c r="L8" s="407">
        <f t="shared" si="4"/>
        <v>655519500</v>
      </c>
      <c r="M8" s="407">
        <f t="shared" si="4"/>
        <v>2893271602</v>
      </c>
      <c r="N8" s="408">
        <f t="shared" si="4"/>
        <v>3009055627</v>
      </c>
      <c r="O8" s="409"/>
      <c r="P8" s="410">
        <f>P10+P17+P108</f>
        <v>0</v>
      </c>
      <c r="Q8" s="408">
        <f>Q10+Q17+Q108</f>
        <v>33074115</v>
      </c>
      <c r="S8" s="206" t="str">
        <f>+IF(ENERO!S8=0,"",ENERO!S8)</f>
        <v/>
      </c>
      <c r="T8" s="411" t="str">
        <f>+IF(ENERO!T8=0,"",ENERO!T8)</f>
        <v>GASTOS</v>
      </c>
      <c r="U8" s="412">
        <f t="shared" ref="U8:AM8" si="5">U10+U207+U220+U232</f>
        <v>3631501012</v>
      </c>
      <c r="V8" s="413">
        <f t="shared" si="5"/>
        <v>0</v>
      </c>
      <c r="W8" s="413">
        <f t="shared" si="5"/>
        <v>33074115</v>
      </c>
      <c r="X8" s="414">
        <f t="shared" si="5"/>
        <v>3664575127</v>
      </c>
      <c r="Y8" s="415">
        <f t="shared" si="5"/>
        <v>360710187</v>
      </c>
      <c r="Z8" s="413">
        <f t="shared" si="5"/>
        <v>327519708</v>
      </c>
      <c r="AA8" s="414">
        <f t="shared" si="5"/>
        <v>688229895</v>
      </c>
      <c r="AB8" s="415">
        <f t="shared" si="5"/>
        <v>360563899</v>
      </c>
      <c r="AC8" s="413">
        <f t="shared" si="5"/>
        <v>327664395</v>
      </c>
      <c r="AD8" s="414">
        <f t="shared" si="5"/>
        <v>688228294</v>
      </c>
      <c r="AE8" s="415">
        <f t="shared" si="5"/>
        <v>155121697</v>
      </c>
      <c r="AF8" s="413">
        <f t="shared" si="5"/>
        <v>344887110</v>
      </c>
      <c r="AG8" s="414">
        <f t="shared" si="5"/>
        <v>500008807</v>
      </c>
      <c r="AH8" s="415">
        <f t="shared" si="5"/>
        <v>2976345232</v>
      </c>
      <c r="AI8" s="413">
        <f t="shared" si="5"/>
        <v>2976346833</v>
      </c>
      <c r="AJ8" s="416">
        <f t="shared" si="5"/>
        <v>3164566320</v>
      </c>
      <c r="AL8" s="417">
        <f t="shared" si="5"/>
        <v>0</v>
      </c>
      <c r="AM8" s="418">
        <f t="shared" si="5"/>
        <v>33074115</v>
      </c>
      <c r="AO8" s="23"/>
      <c r="AP8" s="13" t="s">
        <v>58</v>
      </c>
      <c r="AQ8" s="14">
        <f>F25</f>
        <v>2553198704</v>
      </c>
      <c r="AR8" s="14">
        <f>I25</f>
        <v>484264957</v>
      </c>
      <c r="AS8" s="14">
        <f>L25</f>
        <v>419063954</v>
      </c>
      <c r="AT8" s="15"/>
      <c r="AU8" s="419">
        <f t="shared" si="0"/>
        <v>0.18966990553509228</v>
      </c>
      <c r="AV8" s="419">
        <f t="shared" si="1"/>
        <v>0.1641329181874753</v>
      </c>
      <c r="AW8" s="14">
        <f>I26/AO$2*12+I27</f>
        <v>2513683472</v>
      </c>
      <c r="AX8" s="14">
        <f>L26/AO$2*12+L27</f>
        <v>2122477454</v>
      </c>
      <c r="AY8" s="14">
        <f t="shared" si="2"/>
        <v>-39515232</v>
      </c>
      <c r="AZ8" s="420">
        <f t="shared" si="3"/>
        <v>-430721250</v>
      </c>
      <c r="BB8" s="167" t="s">
        <v>59</v>
      </c>
      <c r="BC8" s="83">
        <f>BC9+BC19</f>
        <v>3365478520</v>
      </c>
      <c r="BD8" s="84">
        <f>BD9+BD19</f>
        <v>537395918</v>
      </c>
      <c r="BE8" s="85">
        <f>BE9+BE19</f>
        <v>241289381</v>
      </c>
      <c r="BF8" s="75"/>
      <c r="BG8" s="86" t="s">
        <v>60</v>
      </c>
      <c r="BH8" s="87">
        <f>BN9+BN13</f>
        <v>2162482035</v>
      </c>
      <c r="BI8" s="87">
        <f>BO9+BO13</f>
        <v>382737448</v>
      </c>
      <c r="BJ8" s="87">
        <f>BP9+BP13</f>
        <v>382737448</v>
      </c>
      <c r="BK8" s="88">
        <f>BQ9+BQ13</f>
        <v>231234926</v>
      </c>
      <c r="BM8" s="89" t="s">
        <v>61</v>
      </c>
      <c r="BN8" s="90">
        <f>BN9+BN14+BN13</f>
        <v>2337716990</v>
      </c>
      <c r="BO8" s="87">
        <f>BO9+BO14+BO13</f>
        <v>397948974</v>
      </c>
      <c r="BP8" s="87">
        <f>BP9+BP14+BP13</f>
        <v>397947374</v>
      </c>
      <c r="BQ8" s="88">
        <f>BQ9+BQ14+BQ13</f>
        <v>232798826</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228176373</v>
      </c>
      <c r="AR9" s="14">
        <f>I28+I75</f>
        <v>14795490</v>
      </c>
      <c r="AS9" s="14">
        <f>L28+L75</f>
        <v>14795490</v>
      </c>
      <c r="AT9" s="15"/>
      <c r="AU9" s="429">
        <f t="shared" si="0"/>
        <v>6.4842340183924305E-2</v>
      </c>
      <c r="AV9" s="429">
        <f t="shared" si="1"/>
        <v>6.4842340183924305E-2</v>
      </c>
      <c r="AW9" s="430">
        <f>(I30+I33+I36+I76)/AO$2*12+I31+I34+I37+I38+I39+I40+I77</f>
        <v>88772940</v>
      </c>
      <c r="AX9" s="430">
        <f>(L30+L33+L36+L76)/AO$2*12+L31+L34+L37+L38+L39+L40+L77</f>
        <v>88772940</v>
      </c>
      <c r="AY9" s="430">
        <f t="shared" si="2"/>
        <v>-139403433</v>
      </c>
      <c r="AZ9" s="431">
        <f t="shared" si="3"/>
        <v>-139403433</v>
      </c>
      <c r="BB9" s="432" t="s">
        <v>456</v>
      </c>
      <c r="BC9" s="91">
        <f>BC10+BC18</f>
        <v>3250299491</v>
      </c>
      <c r="BD9" s="92">
        <f>BD10+BD18</f>
        <v>473499789</v>
      </c>
      <c r="BE9" s="93">
        <f>BE10+BE18</f>
        <v>178492957</v>
      </c>
      <c r="BF9" s="94"/>
      <c r="BG9" s="95" t="s">
        <v>64</v>
      </c>
      <c r="BH9" s="96">
        <f t="shared" ref="BH9:BK10" si="6">BN14</f>
        <v>175234955</v>
      </c>
      <c r="BI9" s="96">
        <f t="shared" si="6"/>
        <v>15211526</v>
      </c>
      <c r="BJ9" s="96">
        <f t="shared" si="6"/>
        <v>15209926</v>
      </c>
      <c r="BK9" s="97">
        <f t="shared" si="6"/>
        <v>1563900</v>
      </c>
      <c r="BM9" s="164" t="s">
        <v>65</v>
      </c>
      <c r="BN9" s="98">
        <f>SUM(BN10:BN12)</f>
        <v>1595742067</v>
      </c>
      <c r="BO9" s="96">
        <f>SUM(BO10:BO12)</f>
        <v>233270077</v>
      </c>
      <c r="BP9" s="96">
        <f>SUM(BP10:BP12)</f>
        <v>233270077</v>
      </c>
      <c r="BQ9" s="97">
        <f>SUM(BQ10:BQ12)</f>
        <v>117746435</v>
      </c>
    </row>
    <row r="10" spans="1:69" s="10" customFormat="1" ht="19.5" x14ac:dyDescent="0.2">
      <c r="A10" s="433">
        <f>+IF(ENERO!A10=0,"",ENERO!A10)</f>
        <v>10</v>
      </c>
      <c r="B10" s="434" t="str">
        <f>+IF(ENERO!B10=0,"",ENERO!B10)</f>
        <v>DISPONIBILIDAD INICIAL</v>
      </c>
      <c r="C10" s="215">
        <f t="shared" ref="C10:N10" si="7">SUM(C12:C15)</f>
        <v>100000000</v>
      </c>
      <c r="D10" s="435">
        <f t="shared" si="7"/>
        <v>0</v>
      </c>
      <c r="E10" s="435">
        <f t="shared" si="7"/>
        <v>33074115</v>
      </c>
      <c r="F10" s="216">
        <f t="shared" si="7"/>
        <v>133074115</v>
      </c>
      <c r="G10" s="436">
        <f t="shared" si="7"/>
        <v>0</v>
      </c>
      <c r="H10" s="435">
        <f t="shared" si="7"/>
        <v>133074115</v>
      </c>
      <c r="I10" s="437">
        <f t="shared" si="7"/>
        <v>133074115</v>
      </c>
      <c r="J10" s="215">
        <f t="shared" si="7"/>
        <v>0</v>
      </c>
      <c r="K10" s="435">
        <f t="shared" si="7"/>
        <v>133074115</v>
      </c>
      <c r="L10" s="216">
        <f t="shared" si="7"/>
        <v>133074115</v>
      </c>
      <c r="M10" s="215">
        <f t="shared" si="7"/>
        <v>0</v>
      </c>
      <c r="N10" s="216">
        <f t="shared" si="7"/>
        <v>0</v>
      </c>
      <c r="O10" s="15"/>
      <c r="P10" s="215">
        <f>SUM(P12:P15)</f>
        <v>0</v>
      </c>
      <c r="Q10" s="216">
        <f>SUM(Q12:Q15)</f>
        <v>33074115</v>
      </c>
      <c r="S10" s="438" t="str">
        <f>+IF(ENERO!S10=0,"",ENERO!S10)</f>
        <v>A</v>
      </c>
      <c r="T10" s="434" t="str">
        <f>+IF(ENERO!T10=0,"",ENERO!T10)</f>
        <v>GASTOS DE FUNCIONAMIENTO</v>
      </c>
      <c r="U10" s="443">
        <f t="shared" ref="U10:AJ10" si="8">U12+U110+U170+U193</f>
        <v>3509937912</v>
      </c>
      <c r="V10" s="441">
        <f t="shared" si="8"/>
        <v>1563100</v>
      </c>
      <c r="W10" s="441">
        <f t="shared" si="8"/>
        <v>33074115</v>
      </c>
      <c r="X10" s="442">
        <f t="shared" si="8"/>
        <v>3544575127</v>
      </c>
      <c r="Y10" s="443">
        <f t="shared" si="8"/>
        <v>360710187</v>
      </c>
      <c r="Z10" s="441">
        <f t="shared" si="8"/>
        <v>308500216</v>
      </c>
      <c r="AA10" s="444">
        <f t="shared" si="8"/>
        <v>669210403</v>
      </c>
      <c r="AB10" s="443">
        <f t="shared" si="8"/>
        <v>360563899</v>
      </c>
      <c r="AC10" s="441">
        <f t="shared" si="8"/>
        <v>308644903</v>
      </c>
      <c r="AD10" s="442">
        <f t="shared" si="8"/>
        <v>669208802</v>
      </c>
      <c r="AE10" s="443">
        <f t="shared" si="8"/>
        <v>155121697</v>
      </c>
      <c r="AF10" s="441">
        <f t="shared" si="8"/>
        <v>344887110</v>
      </c>
      <c r="AG10" s="442">
        <f t="shared" si="8"/>
        <v>500008807</v>
      </c>
      <c r="AH10" s="443">
        <f t="shared" si="8"/>
        <v>2875364724</v>
      </c>
      <c r="AI10" s="441">
        <f t="shared" si="8"/>
        <v>2875366325</v>
      </c>
      <c r="AJ10" s="442">
        <f t="shared" si="8"/>
        <v>3044566320</v>
      </c>
      <c r="AL10" s="445">
        <f>AL12+AL110+AL170+AL193</f>
        <v>1563100</v>
      </c>
      <c r="AM10" s="446">
        <f>AM12+AM110+AM170+AM193</f>
        <v>33074115</v>
      </c>
      <c r="AO10" s="428"/>
      <c r="AP10" s="13" t="s">
        <v>67</v>
      </c>
      <c r="AQ10" s="14">
        <f>F87</f>
        <v>0</v>
      </c>
      <c r="AR10" s="14">
        <f>I87</f>
        <v>0</v>
      </c>
      <c r="AS10" s="14">
        <f>L87</f>
        <v>0</v>
      </c>
      <c r="AT10" s="15"/>
      <c r="AU10" s="429" t="str">
        <f t="shared" si="0"/>
        <v xml:space="preserve"> </v>
      </c>
      <c r="AV10" s="429" t="str">
        <f t="shared" si="1"/>
        <v xml:space="preserve"> </v>
      </c>
      <c r="AW10" s="430">
        <f>I43/AO$2*12+I44</f>
        <v>0</v>
      </c>
      <c r="AX10" s="430">
        <f>L43/AO$2*12+L44</f>
        <v>0</v>
      </c>
      <c r="AY10" s="430">
        <f t="shared" si="2"/>
        <v>0</v>
      </c>
      <c r="AZ10" s="431">
        <f t="shared" si="3"/>
        <v>0</v>
      </c>
      <c r="BB10" s="447" t="s">
        <v>457</v>
      </c>
      <c r="BC10" s="91">
        <f>BC11+BC12+BC13+BC14+BC16+BC17+BC15</f>
        <v>3250299491</v>
      </c>
      <c r="BD10" s="92">
        <f>BD11+BD12+BD13+BD14+BD16+BD17+BD15</f>
        <v>473499789</v>
      </c>
      <c r="BE10" s="93">
        <f>BE11+BE12+BE13+BE14+BE16+BE17+BE15</f>
        <v>178492957</v>
      </c>
      <c r="BF10" s="94"/>
      <c r="BG10" s="86" t="s">
        <v>68</v>
      </c>
      <c r="BH10" s="99">
        <f t="shared" si="6"/>
        <v>552744299</v>
      </c>
      <c r="BI10" s="99">
        <f t="shared" si="6"/>
        <v>63061343</v>
      </c>
      <c r="BJ10" s="99">
        <f t="shared" si="6"/>
        <v>63061342</v>
      </c>
      <c r="BK10" s="100">
        <f t="shared" si="6"/>
        <v>21497609</v>
      </c>
      <c r="BM10" s="161" t="s">
        <v>470</v>
      </c>
      <c r="BN10" s="101">
        <f>X17+X66</f>
        <v>1269481968</v>
      </c>
      <c r="BO10" s="99">
        <f>AA17+AA66</f>
        <v>207743805</v>
      </c>
      <c r="BP10" s="99">
        <f>AD17+AD66</f>
        <v>207743805</v>
      </c>
      <c r="BQ10" s="100">
        <f>AF17+AF66</f>
        <v>106051436</v>
      </c>
    </row>
    <row r="11" spans="1:69" s="10" customFormat="1" ht="25.5" x14ac:dyDescent="0.2">
      <c r="A11" s="421"/>
      <c r="B11" s="422"/>
      <c r="C11" s="423"/>
      <c r="D11" s="423"/>
      <c r="E11" s="423"/>
      <c r="F11" s="423"/>
      <c r="G11" s="423"/>
      <c r="H11" s="423"/>
      <c r="I11" s="423"/>
      <c r="J11" s="423"/>
      <c r="K11" s="423"/>
      <c r="L11" s="423"/>
      <c r="M11" s="423"/>
      <c r="N11" s="424"/>
      <c r="O11" s="409"/>
      <c r="P11" s="425"/>
      <c r="Q11" s="424"/>
      <c r="S11" s="448"/>
      <c r="T11" s="649"/>
      <c r="U11" s="450"/>
      <c r="V11" s="193"/>
      <c r="W11" s="193"/>
      <c r="X11" s="207"/>
      <c r="Y11" s="450"/>
      <c r="Z11" s="193"/>
      <c r="AA11" s="193"/>
      <c r="AB11" s="450"/>
      <c r="AC11" s="193"/>
      <c r="AD11" s="207"/>
      <c r="AE11" s="450"/>
      <c r="AF11" s="193"/>
      <c r="AG11" s="207"/>
      <c r="AH11" s="450"/>
      <c r="AI11" s="193"/>
      <c r="AJ11" s="207"/>
      <c r="AL11" s="451"/>
      <c r="AM11" s="452"/>
      <c r="AO11" s="453" t="s">
        <v>13</v>
      </c>
      <c r="AP11" s="717" t="s">
        <v>592</v>
      </c>
      <c r="AQ11" s="14">
        <f>F88</f>
        <v>0</v>
      </c>
      <c r="AR11" s="14">
        <f>I88</f>
        <v>0</v>
      </c>
      <c r="AS11" s="14">
        <f>L88</f>
        <v>0</v>
      </c>
      <c r="AT11" s="454">
        <f>AO2/12</f>
        <v>0.16666666666666666</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405883703</v>
      </c>
      <c r="BE11" s="93">
        <f>K26</f>
        <v>170216104</v>
      </c>
      <c r="BF11" s="94"/>
      <c r="BG11" s="86" t="s">
        <v>69</v>
      </c>
      <c r="BH11" s="102">
        <f>BN22</f>
        <v>197767489</v>
      </c>
      <c r="BI11" s="102">
        <f>BO22</f>
        <v>20316957</v>
      </c>
      <c r="BJ11" s="102">
        <f>BP22</f>
        <v>20316957</v>
      </c>
      <c r="BK11" s="103">
        <f>BQ22</f>
        <v>7619192</v>
      </c>
      <c r="BM11" s="162" t="s">
        <v>471</v>
      </c>
      <c r="BN11" s="104">
        <f>X18+X67</f>
        <v>136976782</v>
      </c>
      <c r="BO11" s="102">
        <f>AA18+AA67</f>
        <v>17531064</v>
      </c>
      <c r="BP11" s="102">
        <f>AD18+AD67</f>
        <v>17531064</v>
      </c>
      <c r="BQ11" s="103">
        <f>AF18+AF67</f>
        <v>8847937</v>
      </c>
    </row>
    <row r="12" spans="1:69" s="10" customFormat="1" ht="25.5" x14ac:dyDescent="0.2">
      <c r="A12" s="203">
        <f>+IF(ENERO!A12=0,"",ENERO!A12)</f>
        <v>1001</v>
      </c>
      <c r="B12" s="251" t="str">
        <f>+IF(ENERO!B12=0,"",ENERO!B12)</f>
        <v>Bienestar Social (Caja, Bancos, Inversiones Tempor.) a Dic-31-2013</v>
      </c>
      <c r="C12" s="283">
        <f>+ENERO!C12</f>
        <v>0</v>
      </c>
      <c r="D12" s="456">
        <f>ENERO!D12+FEBRERO!P12</f>
        <v>0</v>
      </c>
      <c r="E12" s="456">
        <f>ENERO!E12+FEBRERO!Q12</f>
        <v>0</v>
      </c>
      <c r="F12" s="170">
        <f>SUM(C12:E12)</f>
        <v>0</v>
      </c>
      <c r="G12" s="283">
        <f>ENERO!I12</f>
        <v>0</v>
      </c>
      <c r="H12" s="457">
        <v>0</v>
      </c>
      <c r="I12" s="170">
        <f>SUM(G12:H12)</f>
        <v>0</v>
      </c>
      <c r="J12" s="283">
        <f>ENERO!L12</f>
        <v>0</v>
      </c>
      <c r="K12" s="154">
        <f>+H12</f>
        <v>0</v>
      </c>
      <c r="L12" s="170">
        <f>SUM(J12:K12)</f>
        <v>0</v>
      </c>
      <c r="M12" s="283">
        <f>F12-I12</f>
        <v>0</v>
      </c>
      <c r="N12" s="170">
        <f>F12-L12</f>
        <v>0</v>
      </c>
      <c r="O12" s="365"/>
      <c r="P12" s="455">
        <v>0</v>
      </c>
      <c r="Q12" s="458">
        <v>0</v>
      </c>
      <c r="S12" s="459">
        <f>+IF(ENERO!S12=0,"",ENERO!S12)</f>
        <v>1000000</v>
      </c>
      <c r="T12" s="675" t="str">
        <f>+IF(ENERO!T12=0,"",ENERO!T12)</f>
        <v>GASTOS DE PERSONAL</v>
      </c>
      <c r="U12" s="445">
        <f t="shared" ref="U12:AJ12" si="9">U14+U63</f>
        <v>2360005696</v>
      </c>
      <c r="V12" s="462">
        <f t="shared" si="9"/>
        <v>0</v>
      </c>
      <c r="W12" s="462">
        <f t="shared" si="9"/>
        <v>18324110</v>
      </c>
      <c r="X12" s="446">
        <f t="shared" si="9"/>
        <v>2378329806</v>
      </c>
      <c r="Y12" s="445">
        <f t="shared" si="9"/>
        <v>191380289</v>
      </c>
      <c r="Z12" s="462">
        <f t="shared" si="9"/>
        <v>247181501</v>
      </c>
      <c r="AA12" s="463">
        <f t="shared" si="9"/>
        <v>438561790</v>
      </c>
      <c r="AB12" s="445">
        <f t="shared" si="9"/>
        <v>191379589</v>
      </c>
      <c r="AC12" s="462">
        <f t="shared" si="9"/>
        <v>247180601</v>
      </c>
      <c r="AD12" s="446">
        <f t="shared" si="9"/>
        <v>438560190</v>
      </c>
      <c r="AE12" s="445">
        <f t="shared" si="9"/>
        <v>131475796</v>
      </c>
      <c r="AF12" s="462">
        <f t="shared" si="9"/>
        <v>249515375</v>
      </c>
      <c r="AG12" s="446">
        <f t="shared" si="9"/>
        <v>380991171</v>
      </c>
      <c r="AH12" s="445">
        <f t="shared" si="9"/>
        <v>1939768016</v>
      </c>
      <c r="AI12" s="462">
        <f t="shared" si="9"/>
        <v>1939769616</v>
      </c>
      <c r="AJ12" s="446">
        <f t="shared" si="9"/>
        <v>1997338635</v>
      </c>
      <c r="AK12" s="12"/>
      <c r="AL12" s="464">
        <f>AL14+AL63</f>
        <v>0</v>
      </c>
      <c r="AM12" s="465">
        <f>AM14+AM63</f>
        <v>18324110</v>
      </c>
      <c r="AO12" s="453"/>
      <c r="AP12" s="717"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37052886</v>
      </c>
      <c r="BE12" s="93">
        <f>K23</f>
        <v>2300</v>
      </c>
      <c r="BF12" s="94"/>
      <c r="BG12" s="466" t="s">
        <v>412</v>
      </c>
      <c r="BH12" s="102">
        <f>BN25</f>
        <v>310892858</v>
      </c>
      <c r="BI12" s="17">
        <f>BO25</f>
        <v>42429638</v>
      </c>
      <c r="BJ12" s="102">
        <f>BP25</f>
        <v>42429638</v>
      </c>
      <c r="BK12" s="103">
        <f>BQ25</f>
        <v>18000</v>
      </c>
      <c r="BM12" s="163" t="s">
        <v>472</v>
      </c>
      <c r="BN12" s="104">
        <f>X16+X65-X81-X33-BN10-BN11</f>
        <v>189283317</v>
      </c>
      <c r="BO12" s="102">
        <f>AA16+AA65-AA81-AA33-BO10-BO11</f>
        <v>7995208</v>
      </c>
      <c r="BP12" s="102">
        <f>AD16+AD65-AD81-AD33-BP10-BP11</f>
        <v>7995208</v>
      </c>
      <c r="BQ12" s="103">
        <f>AF16+AF65-AF81-AF33-BQ10-BQ11</f>
        <v>2847062</v>
      </c>
    </row>
    <row r="13" spans="1:69" s="10" customFormat="1" ht="25.5" x14ac:dyDescent="0.25">
      <c r="A13" s="203">
        <f>+IF(ENERO!A13=0,"",ENERO!A13)</f>
        <v>1002</v>
      </c>
      <c r="B13" s="251" t="str">
        <f>+IF(ENERO!B13=0,"",ENERO!B13)</f>
        <v>Fondo Vivienda (Caja, Bancos, Inversiones Tempor.) a Dic-31-2013</v>
      </c>
      <c r="C13" s="283">
        <f>+ENERO!C13</f>
        <v>0</v>
      </c>
      <c r="D13" s="456">
        <f>ENERO!D13+FEBRERO!P13</f>
        <v>0</v>
      </c>
      <c r="E13" s="456">
        <f>ENERO!E13+FEBRERO!Q13</f>
        <v>0</v>
      </c>
      <c r="F13" s="170">
        <f>SUM(C13:E13)</f>
        <v>0</v>
      </c>
      <c r="G13" s="283">
        <f>ENERO!I13</f>
        <v>0</v>
      </c>
      <c r="H13" s="457">
        <v>0</v>
      </c>
      <c r="I13" s="170">
        <f>SUM(G13:H13)</f>
        <v>0</v>
      </c>
      <c r="J13" s="283">
        <f>ENERO!L13</f>
        <v>0</v>
      </c>
      <c r="K13" s="154">
        <f>+H13</f>
        <v>0</v>
      </c>
      <c r="L13" s="170">
        <f>SUM(J13:K13)</f>
        <v>0</v>
      </c>
      <c r="M13" s="283">
        <f>F13-I13</f>
        <v>0</v>
      </c>
      <c r="N13" s="170">
        <f>F13-L13</f>
        <v>0</v>
      </c>
      <c r="O13" s="467"/>
      <c r="P13" s="455">
        <v>0</v>
      </c>
      <c r="Q13" s="458">
        <v>0</v>
      </c>
      <c r="S13" s="448"/>
      <c r="T13" s="649"/>
      <c r="U13" s="450"/>
      <c r="V13" s="193"/>
      <c r="W13" s="193"/>
      <c r="X13" s="207"/>
      <c r="Y13" s="450"/>
      <c r="Z13" s="193"/>
      <c r="AA13" s="193"/>
      <c r="AB13" s="450"/>
      <c r="AC13" s="193"/>
      <c r="AD13" s="207"/>
      <c r="AE13" s="450"/>
      <c r="AF13" s="193"/>
      <c r="AG13" s="207"/>
      <c r="AH13" s="450"/>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
        <v>227076373</v>
      </c>
      <c r="BD13" s="106">
        <f>+I30+I33+I36</f>
        <v>0</v>
      </c>
      <c r="BE13" s="107">
        <f>+K30+K33+K36</f>
        <v>0</v>
      </c>
      <c r="BF13" s="108"/>
      <c r="BG13" s="109" t="s">
        <v>72</v>
      </c>
      <c r="BH13" s="102">
        <f t="shared" ref="BH13:BK15" si="10">BN29</f>
        <v>120000000</v>
      </c>
      <c r="BI13" s="102">
        <f t="shared" si="10"/>
        <v>19019492</v>
      </c>
      <c r="BJ13" s="102">
        <f t="shared" si="10"/>
        <v>19019492</v>
      </c>
      <c r="BK13" s="103">
        <f t="shared" si="10"/>
        <v>0</v>
      </c>
      <c r="BM13" s="166" t="s">
        <v>473</v>
      </c>
      <c r="BN13" s="101">
        <f>X43-X55+X57-X61+X90-X102+X104-X108</f>
        <v>566739968</v>
      </c>
      <c r="BO13" s="99">
        <f>AA43-AA55+AA57-AA61+AA90-AA102+AA104-AA108</f>
        <v>149467371</v>
      </c>
      <c r="BP13" s="99">
        <f>AD43-AD55+AD57-AD61+AD90-AD102+AD104-AD108</f>
        <v>149467371</v>
      </c>
      <c r="BQ13" s="100">
        <f>AF43-AF55+AF57-AF61+AF90-AF102+AF104-AF108</f>
        <v>113488491</v>
      </c>
    </row>
    <row r="14" spans="1:69" s="10" customFormat="1" ht="15.75" x14ac:dyDescent="0.25">
      <c r="A14" s="203">
        <f>+IF(ENERO!A14=0,"",ENERO!A14)</f>
        <v>1003</v>
      </c>
      <c r="B14" s="251" t="str">
        <f>+IF(ENERO!B14=0,"",ENERO!B14)</f>
        <v>Fondos Comunes y Especiales (Caja, Bancos, Invers. Tempor.) a Dic-31-2013</v>
      </c>
      <c r="C14" s="283">
        <f>+ENERO!C14</f>
        <v>80000000</v>
      </c>
      <c r="D14" s="456">
        <f>ENERO!D14+FEBRERO!P14</f>
        <v>0</v>
      </c>
      <c r="E14" s="456">
        <f>ENERO!E14+FEBRERO!Q14</f>
        <v>33074115</v>
      </c>
      <c r="F14" s="170">
        <f>SUM(C14:E14)</f>
        <v>113074115</v>
      </c>
      <c r="G14" s="283">
        <f>ENERO!I14</f>
        <v>0</v>
      </c>
      <c r="H14" s="457">
        <v>113074115</v>
      </c>
      <c r="I14" s="170">
        <f>SUM(G14:H14)</f>
        <v>113074115</v>
      </c>
      <c r="J14" s="283">
        <f>ENERO!L14</f>
        <v>0</v>
      </c>
      <c r="K14" s="154">
        <f>+H14</f>
        <v>113074115</v>
      </c>
      <c r="L14" s="170">
        <f>SUM(J14:K14)</f>
        <v>113074115</v>
      </c>
      <c r="M14" s="283">
        <f>F14-I14</f>
        <v>0</v>
      </c>
      <c r="N14" s="170">
        <f>F14-L14</f>
        <v>0</v>
      </c>
      <c r="O14" s="467"/>
      <c r="P14" s="455">
        <v>0</v>
      </c>
      <c r="Q14" s="458">
        <v>33074115</v>
      </c>
      <c r="S14" s="469">
        <f>+IF(ENERO!S14=0,"",ENERO!S14)</f>
        <v>1010000</v>
      </c>
      <c r="T14" s="676" t="str">
        <f>+IF(ENERO!T14=0,"",ENERO!T14)</f>
        <v>Gastos de Administración</v>
      </c>
      <c r="U14" s="151">
        <f t="shared" ref="U14:AJ14" si="11">U16+U35+U43+U57</f>
        <v>703883287</v>
      </c>
      <c r="V14" s="144">
        <f t="shared" si="11"/>
        <v>-5657703</v>
      </c>
      <c r="W14" s="144">
        <f t="shared" si="11"/>
        <v>0</v>
      </c>
      <c r="X14" s="153">
        <f t="shared" si="11"/>
        <v>698225584</v>
      </c>
      <c r="Y14" s="151">
        <f t="shared" si="11"/>
        <v>45389334</v>
      </c>
      <c r="Z14" s="144">
        <f t="shared" si="11"/>
        <v>74812243</v>
      </c>
      <c r="AA14" s="152">
        <f t="shared" si="11"/>
        <v>120201577</v>
      </c>
      <c r="AB14" s="151">
        <f t="shared" si="11"/>
        <v>45389334</v>
      </c>
      <c r="AC14" s="144">
        <f t="shared" si="11"/>
        <v>74811443</v>
      </c>
      <c r="AD14" s="153">
        <f t="shared" si="11"/>
        <v>120200777</v>
      </c>
      <c r="AE14" s="151">
        <f t="shared" si="11"/>
        <v>29966197</v>
      </c>
      <c r="AF14" s="144">
        <f t="shared" si="11"/>
        <v>71048815</v>
      </c>
      <c r="AG14" s="153">
        <f t="shared" si="11"/>
        <v>101015012</v>
      </c>
      <c r="AH14" s="151">
        <f t="shared" si="11"/>
        <v>578024007</v>
      </c>
      <c r="AI14" s="144">
        <f t="shared" si="11"/>
        <v>578024807</v>
      </c>
      <c r="AJ14" s="153">
        <f t="shared" si="11"/>
        <v>597210572</v>
      </c>
      <c r="AK14" s="12"/>
      <c r="AL14" s="151">
        <f>AL16+AL35+AL43+AL57</f>
        <v>-5657703</v>
      </c>
      <c r="AM14" s="153">
        <f>AM16+AM35+AM43+AM57</f>
        <v>0</v>
      </c>
      <c r="AO14" s="23"/>
      <c r="AP14" s="13" t="s">
        <v>75</v>
      </c>
      <c r="AQ14" s="14">
        <f>F19-AQ7-AQ8-AQ9-AQ10-AQ11-AQ12-AQ13</f>
        <v>513235270</v>
      </c>
      <c r="AR14" s="14">
        <f>I19-AR7-AR8-AR9-AR10-AR11-AR12-AR13</f>
        <v>90837830</v>
      </c>
      <c r="AS14" s="14">
        <f>L19-AS7-AS8-AS9-AS10-AS11-AS12-AS13</f>
        <v>77276804</v>
      </c>
      <c r="AT14" s="467"/>
      <c r="AU14" s="429">
        <f t="shared" si="0"/>
        <v>0.17699062264368542</v>
      </c>
      <c r="AV14" s="429">
        <f t="shared" si="1"/>
        <v>0.1505679919464615</v>
      </c>
      <c r="AW14" s="430">
        <f>(I41+I46+I49+I52+I55+I58+I61+I64+I67+I70+I73+I78+I81+I82+I83+I86+I87+I93)/AO$2*12+I47+I50+I53+I56+I59+I62+I65+I68+I71+I74</f>
        <v>489157025</v>
      </c>
      <c r="AX14" s="430">
        <f>(L41+L46+L49+L52+L55+L58+L61+L64+L67+L70+L73+L78+L81+L82+L83+L86+L87+L93)/AO$2*12+L47+L50+L53+L56+L59+L62+L65+L68+L71+L74</f>
        <v>407790869</v>
      </c>
      <c r="AY14" s="430">
        <f t="shared" si="2"/>
        <v>-24078245</v>
      </c>
      <c r="AZ14" s="431">
        <f t="shared" si="3"/>
        <v>-105444401</v>
      </c>
      <c r="BB14" s="468" t="s">
        <v>461</v>
      </c>
      <c r="BC14" s="110">
        <f>+F64</f>
        <v>40103182</v>
      </c>
      <c r="BD14" s="111">
        <f>+I64</f>
        <v>8509054</v>
      </c>
      <c r="BE14" s="112">
        <f>K64</f>
        <v>-197100</v>
      </c>
      <c r="BF14" s="113"/>
      <c r="BG14" s="109" t="s">
        <v>76</v>
      </c>
      <c r="BH14" s="99">
        <f t="shared" si="10"/>
        <v>0</v>
      </c>
      <c r="BI14" s="99">
        <f t="shared" si="10"/>
        <v>0</v>
      </c>
      <c r="BJ14" s="99">
        <f t="shared" si="10"/>
        <v>0</v>
      </c>
      <c r="BK14" s="100">
        <f t="shared" si="10"/>
        <v>0</v>
      </c>
      <c r="BM14" s="165" t="s">
        <v>469</v>
      </c>
      <c r="BN14" s="104">
        <f>X35-X41+X83-X88</f>
        <v>175234955</v>
      </c>
      <c r="BO14" s="102">
        <f>AA35-AA41+AA83-AA88</f>
        <v>15211526</v>
      </c>
      <c r="BP14" s="102">
        <f>AD35-AD41+AD83-AD88</f>
        <v>15209926</v>
      </c>
      <c r="BQ14" s="103">
        <f>AF35-AF41+AF83-AF88</f>
        <v>1563900</v>
      </c>
    </row>
    <row r="15" spans="1:69" s="10" customFormat="1" ht="16.5" thickBot="1" x14ac:dyDescent="0.3">
      <c r="A15" s="204">
        <f>+IF(ENERO!A15=0,"",ENERO!A15)</f>
        <v>1004</v>
      </c>
      <c r="B15" s="677" t="str">
        <f>+IF(ENERO!B15=0,"",ENERO!B15)</f>
        <v>Cesantias Ley 50/1990 a Dic-31-2013</v>
      </c>
      <c r="C15" s="474">
        <f>+ENERO!C15</f>
        <v>20000000</v>
      </c>
      <c r="D15" s="472">
        <f>ENERO!D15+FEBRERO!P15</f>
        <v>0</v>
      </c>
      <c r="E15" s="472">
        <f>ENERO!E15+FEBRERO!Q15</f>
        <v>0</v>
      </c>
      <c r="F15" s="473">
        <f>SUM(C15:E15)</f>
        <v>20000000</v>
      </c>
      <c r="G15" s="474">
        <f>ENERO!I15</f>
        <v>0</v>
      </c>
      <c r="H15" s="475">
        <v>20000000</v>
      </c>
      <c r="I15" s="473">
        <f>SUM(G15:H15)</f>
        <v>20000000</v>
      </c>
      <c r="J15" s="474">
        <f>ENERO!L15</f>
        <v>0</v>
      </c>
      <c r="K15" s="197">
        <f>+H15</f>
        <v>20000000</v>
      </c>
      <c r="L15" s="473">
        <f>SUM(J15:K15)</f>
        <v>20000000</v>
      </c>
      <c r="M15" s="474">
        <f>F15-I15</f>
        <v>0</v>
      </c>
      <c r="N15" s="473">
        <f>F15-L15</f>
        <v>0</v>
      </c>
      <c r="O15" s="467"/>
      <c r="P15" s="471">
        <v>0</v>
      </c>
      <c r="Q15" s="476">
        <v>0</v>
      </c>
      <c r="S15" s="448" t="str">
        <f>+IF(ENERO!S15=0,"",ENERO!S15)</f>
        <v/>
      </c>
      <c r="T15" s="649" t="str">
        <f>+IF(ENERO!T15=0,"",ENERO!T15)</f>
        <v xml:space="preserve"> </v>
      </c>
      <c r="U15" s="450"/>
      <c r="V15" s="193"/>
      <c r="W15" s="193"/>
      <c r="X15" s="207"/>
      <c r="Y15" s="450"/>
      <c r="Z15" s="193"/>
      <c r="AA15" s="193"/>
      <c r="AB15" s="450"/>
      <c r="AC15" s="193"/>
      <c r="AD15" s="207"/>
      <c r="AE15" s="450"/>
      <c r="AF15" s="193"/>
      <c r="AG15" s="207"/>
      <c r="AH15" s="450"/>
      <c r="AI15" s="193"/>
      <c r="AJ15" s="207"/>
      <c r="AK15" s="12"/>
      <c r="AL15" s="211"/>
      <c r="AM15" s="212"/>
      <c r="AO15" s="22"/>
      <c r="AP15" s="13" t="s">
        <v>78</v>
      </c>
      <c r="AQ15" s="14">
        <f>F108</f>
        <v>1452387</v>
      </c>
      <c r="AR15" s="14">
        <f>I108</f>
        <v>736688</v>
      </c>
      <c r="AS15" s="14">
        <f>L108</f>
        <v>736688</v>
      </c>
      <c r="AT15" s="15"/>
      <c r="AU15" s="419">
        <f t="shared" si="0"/>
        <v>0.50722569122417094</v>
      </c>
      <c r="AV15" s="419">
        <f t="shared" si="1"/>
        <v>0.50722569122417094</v>
      </c>
      <c r="AW15" s="14">
        <f>AQ15</f>
        <v>1452387</v>
      </c>
      <c r="AX15" s="14">
        <f>AR15</f>
        <v>736688</v>
      </c>
      <c r="AY15" s="14">
        <f t="shared" si="2"/>
        <v>0</v>
      </c>
      <c r="AZ15" s="420">
        <f t="shared" si="3"/>
        <v>-715699</v>
      </c>
      <c r="BA15" s="467"/>
      <c r="BB15" s="468" t="s">
        <v>79</v>
      </c>
      <c r="BC15" s="110">
        <f>F46+F49</f>
        <v>0</v>
      </c>
      <c r="BD15" s="111">
        <f>I46+I49</f>
        <v>0</v>
      </c>
      <c r="BE15" s="112">
        <f>K46+K49</f>
        <v>0</v>
      </c>
      <c r="BF15" s="113"/>
      <c r="BG15" s="109" t="s">
        <v>80</v>
      </c>
      <c r="BH15" s="99">
        <f t="shared" si="10"/>
        <v>145453491</v>
      </c>
      <c r="BI15" s="99">
        <f t="shared" si="10"/>
        <v>145453491</v>
      </c>
      <c r="BJ15" s="99">
        <f t="shared" si="10"/>
        <v>145453491</v>
      </c>
      <c r="BK15" s="100">
        <f t="shared" si="10"/>
        <v>82953483</v>
      </c>
      <c r="BM15" s="89" t="s">
        <v>68</v>
      </c>
      <c r="BN15" s="101">
        <f>SUM(BN16:BN21)</f>
        <v>552744299</v>
      </c>
      <c r="BO15" s="99">
        <f>SUM(BO16:BO21)</f>
        <v>63061343</v>
      </c>
      <c r="BP15" s="99">
        <f>SUM(BP16:BP21)</f>
        <v>63061342</v>
      </c>
      <c r="BQ15" s="100">
        <f>SUM(BQ16:BQ21)</f>
        <v>21497609</v>
      </c>
    </row>
    <row r="16" spans="1:69" s="10" customFormat="1" ht="15.75" thickBot="1" x14ac:dyDescent="0.3">
      <c r="A16" s="198" t="str">
        <f>+IF(ENERO!A16=0,"",ENERO!A16)</f>
        <v/>
      </c>
      <c r="B16" s="477" t="str">
        <f>+IF(ENERO!B16=0,"",ENERO!B16)</f>
        <v/>
      </c>
      <c r="C16" s="478"/>
      <c r="D16" s="478"/>
      <c r="E16" s="478"/>
      <c r="F16" s="478"/>
      <c r="G16" s="478"/>
      <c r="H16" s="478"/>
      <c r="I16" s="478"/>
      <c r="J16" s="478"/>
      <c r="K16" s="478"/>
      <c r="L16" s="478"/>
      <c r="M16" s="478"/>
      <c r="N16" s="479"/>
      <c r="O16" s="467"/>
      <c r="P16" s="480"/>
      <c r="Q16" s="481"/>
      <c r="S16" s="34">
        <f>+IF(ENERO!S16=0,"",ENERO!S16)</f>
        <v>1010100</v>
      </c>
      <c r="T16" s="237" t="str">
        <f>+IF(ENERO!T16=0,"",ENERO!T16)</f>
        <v>Servicios Personales Asociados a Nómina</v>
      </c>
      <c r="U16" s="151">
        <f t="shared" ref="U16:AJ16" si="12">SUM(U17:U20)+U33</f>
        <v>451022301</v>
      </c>
      <c r="V16" s="144">
        <f t="shared" si="12"/>
        <v>-3476851</v>
      </c>
      <c r="W16" s="144">
        <f t="shared" si="12"/>
        <v>0</v>
      </c>
      <c r="X16" s="153">
        <f t="shared" si="12"/>
        <v>447545450</v>
      </c>
      <c r="Y16" s="151">
        <f t="shared" si="12"/>
        <v>32263695</v>
      </c>
      <c r="Z16" s="144">
        <f t="shared" si="12"/>
        <v>32213472</v>
      </c>
      <c r="AA16" s="152">
        <f t="shared" si="12"/>
        <v>64477167</v>
      </c>
      <c r="AB16" s="151">
        <f t="shared" si="12"/>
        <v>32263695</v>
      </c>
      <c r="AC16" s="144">
        <f t="shared" si="12"/>
        <v>32213472</v>
      </c>
      <c r="AD16" s="153">
        <f t="shared" si="12"/>
        <v>64477167</v>
      </c>
      <c r="AE16" s="151">
        <f t="shared" si="12"/>
        <v>26714247</v>
      </c>
      <c r="AF16" s="144">
        <f t="shared" si="12"/>
        <v>33108892</v>
      </c>
      <c r="AG16" s="153">
        <f t="shared" si="12"/>
        <v>59823139</v>
      </c>
      <c r="AH16" s="151">
        <f t="shared" si="12"/>
        <v>383068283</v>
      </c>
      <c r="AI16" s="144">
        <f t="shared" si="12"/>
        <v>383068283</v>
      </c>
      <c r="AJ16" s="153">
        <f t="shared" si="12"/>
        <v>387722311</v>
      </c>
      <c r="AK16" s="12"/>
      <c r="AL16" s="151">
        <f>SUM(AL17:AL20)+AL33</f>
        <v>-3476851</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0</v>
      </c>
      <c r="BE16" s="93">
        <f>K43</f>
        <v>0</v>
      </c>
      <c r="BF16" s="94"/>
      <c r="BG16" s="109" t="s">
        <v>84</v>
      </c>
      <c r="BH16" s="114">
        <f>BH7+BH12+BH13+BH14+BH15</f>
        <v>3664575127</v>
      </c>
      <c r="BI16" s="114">
        <f>BI7+BI12+BI13+BI14+BI15</f>
        <v>688229895</v>
      </c>
      <c r="BJ16" s="114">
        <f>BJ7+BJ12+BJ13+BJ14+BJ15</f>
        <v>688228294</v>
      </c>
      <c r="BK16" s="115">
        <f>BK7+BK12+BK13+BK14+BK15</f>
        <v>344887110</v>
      </c>
      <c r="BM16" s="164" t="s">
        <v>85</v>
      </c>
      <c r="BN16" s="101">
        <f>X114-X121+X147-X148-X153</f>
        <v>149192049</v>
      </c>
      <c r="BO16" s="99">
        <f>AA114-AA121+AA147-AA148-AA153</f>
        <v>22275560</v>
      </c>
      <c r="BP16" s="99">
        <f>AD114-AD121+AD147-AD148-AD153</f>
        <v>22275559</v>
      </c>
      <c r="BQ16" s="100">
        <f>AF114-AF121+AF147-AF148-AF153</f>
        <v>6261941</v>
      </c>
    </row>
    <row r="17" spans="1:70" s="467" customFormat="1" ht="17.25" thickBot="1" x14ac:dyDescent="0.3">
      <c r="A17" s="433">
        <f>+IF(ENERO!A17=0,"",ENERO!A17)</f>
        <v>11</v>
      </c>
      <c r="B17" s="439" t="str">
        <f>+IF(ENERO!B17=0,"",ENERO!B17)</f>
        <v>INGRESOS  CORRIENTES</v>
      </c>
      <c r="C17" s="435">
        <f>C19+C99</f>
        <v>3530048625</v>
      </c>
      <c r="D17" s="435">
        <f t="shared" ref="D17:N17" si="13">D19+D99</f>
        <v>0</v>
      </c>
      <c r="E17" s="435">
        <f t="shared" si="13"/>
        <v>0</v>
      </c>
      <c r="F17" s="435">
        <f t="shared" si="13"/>
        <v>3530048625</v>
      </c>
      <c r="G17" s="435">
        <f t="shared" si="13"/>
        <v>316936412</v>
      </c>
      <c r="H17" s="435">
        <f t="shared" si="13"/>
        <v>320556310</v>
      </c>
      <c r="I17" s="435">
        <f t="shared" si="13"/>
        <v>637492722</v>
      </c>
      <c r="J17" s="435">
        <f t="shared" si="13"/>
        <v>256078391</v>
      </c>
      <c r="K17" s="435">
        <f t="shared" si="13"/>
        <v>265630306</v>
      </c>
      <c r="L17" s="435">
        <f t="shared" si="13"/>
        <v>521708697</v>
      </c>
      <c r="M17" s="435">
        <f t="shared" si="13"/>
        <v>2892555903</v>
      </c>
      <c r="N17" s="216">
        <f t="shared" si="13"/>
        <v>3008339928</v>
      </c>
      <c r="P17" s="215">
        <f>P19+P99</f>
        <v>0</v>
      </c>
      <c r="Q17" s="216">
        <f>Q19+Q99</f>
        <v>0</v>
      </c>
      <c r="R17" s="10"/>
      <c r="S17" s="155">
        <f>+IF(ENERO!S17=0,"",ENERO!S17)</f>
        <v>1010101</v>
      </c>
      <c r="T17" s="238" t="str">
        <f>+IF(ENERO!T17=0,"",ENERO!T17)</f>
        <v>Sueldos del Personal de nómina</v>
      </c>
      <c r="U17" s="31">
        <f>+ENERO!U17</f>
        <v>368370792</v>
      </c>
      <c r="V17" s="17">
        <f>ENERO!V17+FEBRERO!AL17</f>
        <v>0</v>
      </c>
      <c r="W17" s="17">
        <f>ENERO!W17+FEBRERO!AM17</f>
        <v>0</v>
      </c>
      <c r="X17" s="18">
        <f>SUM(U17:W17)</f>
        <v>368370792</v>
      </c>
      <c r="Y17" s="21">
        <f>ENERO!AA17</f>
        <v>28644392</v>
      </c>
      <c r="Z17" s="457">
        <v>29971607</v>
      </c>
      <c r="AA17" s="20">
        <f>SUM(Y17:Z17)</f>
        <v>58615999</v>
      </c>
      <c r="AB17" s="21">
        <f>ENERO!AD17</f>
        <v>28644392</v>
      </c>
      <c r="AC17" s="457">
        <v>29971607</v>
      </c>
      <c r="AD17" s="18">
        <f>SUM(AB17:AC17)</f>
        <v>58615999</v>
      </c>
      <c r="AE17" s="21">
        <f>ENERO!AG17</f>
        <v>23647944</v>
      </c>
      <c r="AF17" s="457">
        <v>30314027</v>
      </c>
      <c r="AG17" s="18">
        <f>SUM(AE17:AF17)</f>
        <v>53961971</v>
      </c>
      <c r="AH17" s="21">
        <f>X17-AA17</f>
        <v>309754793</v>
      </c>
      <c r="AI17" s="17">
        <f>X17-AD17</f>
        <v>309754793</v>
      </c>
      <c r="AJ17" s="18">
        <f>X17-AG17</f>
        <v>314408821</v>
      </c>
      <c r="AK17" s="10"/>
      <c r="AL17" s="455">
        <v>0</v>
      </c>
      <c r="AM17" s="458">
        <v>0</v>
      </c>
      <c r="AN17" s="10"/>
      <c r="AO17" s="428"/>
      <c r="AP17" s="488" t="s">
        <v>87</v>
      </c>
      <c r="AQ17" s="489">
        <f>SUM(AQ7:AQ16)</f>
        <v>3664575127</v>
      </c>
      <c r="AR17" s="490">
        <f>SUM(AR7:AR16)</f>
        <v>771303525</v>
      </c>
      <c r="AS17" s="491">
        <f>SUM(AS7:AS16)</f>
        <v>655519500</v>
      </c>
      <c r="AT17" s="492"/>
      <c r="AU17" s="490">
        <f t="shared" si="0"/>
        <v>0.2104755662715603</v>
      </c>
      <c r="AV17" s="490">
        <f t="shared" si="1"/>
        <v>0.17888008221478058</v>
      </c>
      <c r="AW17" s="493">
        <f>SUM(AX7:AX16)</f>
        <v>2763578965</v>
      </c>
      <c r="AX17" s="493">
        <f>SUM(AX7:AX16)</f>
        <v>2763578965</v>
      </c>
      <c r="AY17" s="493">
        <f>SUM(AY7:AY16)</f>
        <v>-205576313</v>
      </c>
      <c r="AZ17" s="494">
        <f>SUM(AZ7:AZ16)</f>
        <v>-900996162</v>
      </c>
      <c r="BA17" s="10"/>
      <c r="BB17" s="468" t="s">
        <v>463</v>
      </c>
      <c r="BC17" s="91">
        <f>F41+F52+F55+F58+F61+F67+F70+F73+F76+F79+F82+F88+F89+F90+F91</f>
        <v>177489895</v>
      </c>
      <c r="BD17" s="92">
        <f>I41+I52+I55+I58+I61+I67+I70+I73+I76+I79+I82+I88+I89+I90+I91</f>
        <v>22054146</v>
      </c>
      <c r="BE17" s="93">
        <f>K41+K52+K55+K58+K61+K67+K70+K73+K76+K79+K82+K88+K89+K90+K91</f>
        <v>8471653</v>
      </c>
      <c r="BF17" s="94"/>
      <c r="BG17" s="116" t="s">
        <v>88</v>
      </c>
      <c r="BH17" s="117">
        <f>BC23-BH16</f>
        <v>0</v>
      </c>
      <c r="BI17" s="117"/>
      <c r="BJ17" s="117"/>
      <c r="BK17" s="118"/>
      <c r="BM17" s="164" t="s">
        <v>479</v>
      </c>
      <c r="BN17" s="101">
        <f>X123-X126-X139+X155-X156-X167-X168</f>
        <v>191636548</v>
      </c>
      <c r="BO17" s="99">
        <f>AA123-AA126-AA139+AA155-AA156-AA167-AA168</f>
        <v>20873202</v>
      </c>
      <c r="BP17" s="99">
        <f>AD123-AD126-AD139+AD155-AD156-AD167-AD168</f>
        <v>20873202</v>
      </c>
      <c r="BQ17" s="100">
        <f>AF123-AF126-AF139+AF155-AF156-AF167-AF168</f>
        <v>7952884</v>
      </c>
      <c r="BR17" s="10"/>
    </row>
    <row r="18" spans="1:70" s="10" customFormat="1" ht="15" thickBot="1" x14ac:dyDescent="0.25">
      <c r="A18" s="202" t="str">
        <f>+IF(ENERO!A18=0,"",ENERO!A18)</f>
        <v/>
      </c>
      <c r="B18" s="201" t="str">
        <f>+IF(ENERO!B18=0,"",ENERO!B18)</f>
        <v/>
      </c>
      <c r="C18" s="495"/>
      <c r="D18" s="495"/>
      <c r="E18" s="495"/>
      <c r="F18" s="495"/>
      <c r="G18" s="495"/>
      <c r="H18" s="495"/>
      <c r="I18" s="495"/>
      <c r="J18" s="495"/>
      <c r="K18" s="495"/>
      <c r="L18" s="495"/>
      <c r="M18" s="495"/>
      <c r="N18" s="496"/>
      <c r="P18" s="497"/>
      <c r="Q18" s="496"/>
      <c r="S18" s="155">
        <f>+IF(ENERO!S18=0,"",ENERO!S18)</f>
        <v>1010102</v>
      </c>
      <c r="T18" s="238" t="str">
        <f>+IF(ENERO!T18=0,"",ENERO!T18)</f>
        <v>Horas Extras,Dominic.,Festivos y Rec. Nocturnos</v>
      </c>
      <c r="U18" s="31">
        <f>+ENERO!U18</f>
        <v>20119405</v>
      </c>
      <c r="V18" s="17">
        <f>ENERO!V18+FEBRERO!AL18</f>
        <v>0</v>
      </c>
      <c r="W18" s="17">
        <f>ENERO!W18+FEBRERO!AM18</f>
        <v>0</v>
      </c>
      <c r="X18" s="18">
        <f>SUM(U18:W18)</f>
        <v>20119405</v>
      </c>
      <c r="Y18" s="21">
        <f>ENERO!AA18</f>
        <v>890294</v>
      </c>
      <c r="Z18" s="457">
        <v>880706</v>
      </c>
      <c r="AA18" s="20">
        <f>SUM(Y18:Z18)</f>
        <v>1771000</v>
      </c>
      <c r="AB18" s="21">
        <f>ENERO!AD18</f>
        <v>890294</v>
      </c>
      <c r="AC18" s="457">
        <v>880706</v>
      </c>
      <c r="AD18" s="18">
        <f>SUM(AB18:AC18)</f>
        <v>1771000</v>
      </c>
      <c r="AE18" s="21">
        <f>ENERO!AG18</f>
        <v>890294</v>
      </c>
      <c r="AF18" s="457">
        <v>880706</v>
      </c>
      <c r="AG18" s="18">
        <f>SUM(AE18:AF18)</f>
        <v>1771000</v>
      </c>
      <c r="AH18" s="21">
        <f>X18-AA18</f>
        <v>18348405</v>
      </c>
      <c r="AI18" s="17">
        <f>X18-AD18</f>
        <v>18348405</v>
      </c>
      <c r="AJ18" s="18">
        <f>X18-AG18</f>
        <v>18348405</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162635242</v>
      </c>
      <c r="BO18" s="99">
        <f>AA148+AA156</f>
        <v>11416726</v>
      </c>
      <c r="BP18" s="99">
        <f>AD148+AD156</f>
        <v>11416726</v>
      </c>
      <c r="BQ18" s="100">
        <f>AF148+AF156</f>
        <v>1489994</v>
      </c>
      <c r="BR18" s="467"/>
    </row>
    <row r="19" spans="1:70" s="10" customFormat="1" ht="15.75" x14ac:dyDescent="0.25">
      <c r="A19" s="498">
        <f>+IF(ENERO!A19=0,"",ENERO!A19)</f>
        <v>113</v>
      </c>
      <c r="B19" s="499" t="str">
        <f>+IF(ENERO!B19=0,"",ENERO!B19)</f>
        <v>VENTA DE SERVICIOS</v>
      </c>
      <c r="C19" s="53">
        <f t="shared" ref="C19:N19" si="14">C21+C85</f>
        <v>3530048625</v>
      </c>
      <c r="D19" s="53">
        <f t="shared" si="14"/>
        <v>0</v>
      </c>
      <c r="E19" s="53">
        <f t="shared" si="14"/>
        <v>0</v>
      </c>
      <c r="F19" s="54">
        <f t="shared" si="14"/>
        <v>3530048625</v>
      </c>
      <c r="G19" s="52">
        <f t="shared" si="14"/>
        <v>316936412</v>
      </c>
      <c r="H19" s="53">
        <f t="shared" si="14"/>
        <v>320556310</v>
      </c>
      <c r="I19" s="54">
        <f t="shared" si="14"/>
        <v>637492722</v>
      </c>
      <c r="J19" s="52">
        <f t="shared" si="14"/>
        <v>256078391</v>
      </c>
      <c r="K19" s="53">
        <f t="shared" si="14"/>
        <v>265630306</v>
      </c>
      <c r="L19" s="54">
        <f t="shared" si="14"/>
        <v>521708697</v>
      </c>
      <c r="M19" s="52">
        <f t="shared" si="14"/>
        <v>2892555903</v>
      </c>
      <c r="N19" s="54">
        <f t="shared" si="14"/>
        <v>3008339928</v>
      </c>
      <c r="O19" s="467"/>
      <c r="P19" s="52">
        <f>P21+P85</f>
        <v>0</v>
      </c>
      <c r="Q19" s="54">
        <f>Q21+Q85</f>
        <v>0</v>
      </c>
      <c r="S19" s="155">
        <f>+IF(ENERO!S19=0,"",ENERO!S19)</f>
        <v>1010103</v>
      </c>
      <c r="T19" s="238" t="str">
        <f>+IF(ENERO!T19=0,"",ENERO!T19)</f>
        <v>Prima Técnica</v>
      </c>
      <c r="U19" s="31">
        <f>+ENERO!U19</f>
        <v>0</v>
      </c>
      <c r="V19" s="17">
        <f>ENERO!V19+FEBRERO!AL19</f>
        <v>0</v>
      </c>
      <c r="W19" s="17">
        <f>ENERO!W19+FEBRERO!AM19</f>
        <v>0</v>
      </c>
      <c r="X19" s="18">
        <f>SUM(U19:W19)</f>
        <v>0</v>
      </c>
      <c r="Y19" s="21">
        <f>ENERO!AA19</f>
        <v>0</v>
      </c>
      <c r="Z19" s="457">
        <v>0</v>
      </c>
      <c r="AA19" s="20">
        <f>SUM(Y19:Z19)</f>
        <v>0</v>
      </c>
      <c r="AB19" s="21">
        <f>ENERO!AD19</f>
        <v>0</v>
      </c>
      <c r="AC19" s="457">
        <v>0</v>
      </c>
      <c r="AD19" s="18">
        <f>SUM(AB19:AC19)</f>
        <v>0</v>
      </c>
      <c r="AE19" s="21">
        <f>ENERO!AG19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63896129</v>
      </c>
      <c r="BE19" s="112">
        <f>K86+K87+K93+K103+K104</f>
        <v>62796424</v>
      </c>
      <c r="BF19" s="75"/>
      <c r="BG19" s="467"/>
      <c r="BH19" s="467"/>
      <c r="BI19" s="467"/>
      <c r="BJ19" s="467"/>
      <c r="BK19" s="467"/>
      <c r="BM19" s="164" t="s">
        <v>96</v>
      </c>
      <c r="BN19" s="101">
        <f>X126+X167</f>
        <v>49280460</v>
      </c>
      <c r="BO19" s="99">
        <f>AA126+AA167</f>
        <v>8495855</v>
      </c>
      <c r="BP19" s="99">
        <f>AD126+AD167</f>
        <v>8495855</v>
      </c>
      <c r="BQ19" s="100">
        <f>AF126+AF167</f>
        <v>5792790</v>
      </c>
    </row>
    <row r="20" spans="1:70" s="514" customFormat="1" ht="15" x14ac:dyDescent="0.25">
      <c r="A20" s="202" t="str">
        <f>+IF(ENERO!A20=0,"",ENERO!A20)</f>
        <v/>
      </c>
      <c r="B20" s="201" t="str">
        <f>+IF(ENERO!B20=0,"",ENERO!B20)</f>
        <v/>
      </c>
      <c r="C20" s="495"/>
      <c r="D20" s="495"/>
      <c r="E20" s="495"/>
      <c r="F20" s="495"/>
      <c r="G20" s="495"/>
      <c r="H20" s="495"/>
      <c r="I20" s="495"/>
      <c r="J20" s="495"/>
      <c r="K20" s="495"/>
      <c r="L20" s="495"/>
      <c r="M20" s="495"/>
      <c r="N20" s="496"/>
      <c r="O20" s="10"/>
      <c r="P20" s="497"/>
      <c r="Q20" s="496"/>
      <c r="R20" s="10"/>
      <c r="S20" s="155">
        <f>+IF(ENERO!S20=0,"",ENERO!S20)</f>
        <v>1010104</v>
      </c>
      <c r="T20" s="238" t="str">
        <f>+IF(ENERO!T20=0,"",ENERO!T20)</f>
        <v>Otros</v>
      </c>
      <c r="U20" s="31">
        <f t="shared" ref="U20:AJ20" si="15">SUM(U21:U32)</f>
        <v>58502253</v>
      </c>
      <c r="V20" s="17">
        <f t="shared" si="15"/>
        <v>0</v>
      </c>
      <c r="W20" s="17">
        <f t="shared" si="15"/>
        <v>0</v>
      </c>
      <c r="X20" s="18">
        <f t="shared" si="15"/>
        <v>58502253</v>
      </c>
      <c r="Y20" s="21">
        <f t="shared" si="15"/>
        <v>2176009</v>
      </c>
      <c r="Z20" s="169">
        <f t="shared" si="15"/>
        <v>1361159</v>
      </c>
      <c r="AA20" s="20">
        <f t="shared" si="15"/>
        <v>3537168</v>
      </c>
      <c r="AB20" s="21">
        <f t="shared" si="15"/>
        <v>2176009</v>
      </c>
      <c r="AC20" s="169">
        <f t="shared" si="15"/>
        <v>1361159</v>
      </c>
      <c r="AD20" s="18">
        <f t="shared" si="15"/>
        <v>3537168</v>
      </c>
      <c r="AE20" s="21">
        <f t="shared" si="15"/>
        <v>2176009</v>
      </c>
      <c r="AF20" s="169">
        <f t="shared" si="15"/>
        <v>1361159</v>
      </c>
      <c r="AG20" s="18">
        <f t="shared" si="15"/>
        <v>3537168</v>
      </c>
      <c r="AH20" s="21">
        <f t="shared" si="15"/>
        <v>54965085</v>
      </c>
      <c r="AI20" s="17">
        <f t="shared" si="15"/>
        <v>54965085</v>
      </c>
      <c r="AJ20" s="18">
        <f t="shared" si="15"/>
        <v>54965085</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110820</v>
      </c>
      <c r="BE20" s="85">
        <f>+K109+K111+K113+K114+K115</f>
        <v>72023</v>
      </c>
      <c r="BF20" s="75"/>
      <c r="BG20" s="467"/>
      <c r="BH20" s="467"/>
      <c r="BI20" s="467"/>
      <c r="BJ20" s="467"/>
      <c r="BK20" s="467"/>
      <c r="BL20" s="467"/>
      <c r="BM20" s="166" t="s">
        <v>474</v>
      </c>
      <c r="BN20" s="101">
        <f>+X141-X143</f>
        <v>0</v>
      </c>
      <c r="BO20" s="99">
        <f>+AA141-AA143</f>
        <v>0</v>
      </c>
      <c r="BP20" s="99">
        <f>+AD141-AD143</f>
        <v>0</v>
      </c>
      <c r="BQ20" s="100">
        <f>+AF141-AF143</f>
        <v>0</v>
      </c>
      <c r="BR20" s="10"/>
    </row>
    <row r="21" spans="1:70" s="514" customFormat="1" ht="16.5" thickBot="1" x14ac:dyDescent="0.3">
      <c r="A21" s="515">
        <f>+IF(ENERO!A21=0,"",ENERO!A21)</f>
        <v>11301</v>
      </c>
      <c r="B21" s="516" t="str">
        <f>+IF(ENERO!B21=0,"",ENERO!B21)</f>
        <v>Venta de Servicios de Salud</v>
      </c>
      <c r="C21" s="518">
        <f t="shared" ref="C21:N21" si="16">C22+C25+C28+C41+C42+C45+C48+C51+C54+C57+C60+C63+C66+C69+C72+C75+C78+C81</f>
        <v>3414869596</v>
      </c>
      <c r="D21" s="518">
        <f t="shared" si="16"/>
        <v>0</v>
      </c>
      <c r="E21" s="518">
        <f t="shared" si="16"/>
        <v>0</v>
      </c>
      <c r="F21" s="519">
        <f t="shared" si="16"/>
        <v>3414869596</v>
      </c>
      <c r="G21" s="517">
        <f t="shared" si="16"/>
        <v>315836707</v>
      </c>
      <c r="H21" s="518">
        <f t="shared" si="16"/>
        <v>257759886</v>
      </c>
      <c r="I21" s="519">
        <f t="shared" si="16"/>
        <v>573596593</v>
      </c>
      <c r="J21" s="517">
        <f t="shared" si="16"/>
        <v>254978686</v>
      </c>
      <c r="K21" s="518">
        <f t="shared" si="16"/>
        <v>202833882</v>
      </c>
      <c r="L21" s="519">
        <f t="shared" si="16"/>
        <v>457812568</v>
      </c>
      <c r="M21" s="517">
        <f t="shared" si="16"/>
        <v>2841273003</v>
      </c>
      <c r="N21" s="519">
        <f t="shared" si="16"/>
        <v>2957057028</v>
      </c>
      <c r="O21" s="467"/>
      <c r="P21" s="52">
        <f>P22+P25+P28+P41+P42+P45+P48+P51+P54+P57+P60+P63+P66+P69+P72+P75+P78+P81</f>
        <v>0</v>
      </c>
      <c r="Q21" s="54">
        <f>Q22+Q25+Q28+Q41+Q42+Q45+Q48+Q51+Q54+Q57+Q60+Q63+Q66+Q69+Q72+Q75+Q78+Q81</f>
        <v>0</v>
      </c>
      <c r="R21" s="10"/>
      <c r="S21" s="156" t="str">
        <f>+IF(ENERO!S21=0,"",ENERO!S21)</f>
        <v>1010104-1</v>
      </c>
      <c r="T21" s="251" t="str">
        <f>+IF(ENERO!T21=0,"",ENERO!T21)</f>
        <v xml:space="preserve">Prima de Navidad </v>
      </c>
      <c r="U21" s="31">
        <f>+ENERO!U21</f>
        <v>31976631</v>
      </c>
      <c r="V21" s="17">
        <f>ENERO!V21+FEBRERO!AL21</f>
        <v>0</v>
      </c>
      <c r="W21" s="17">
        <f>ENERO!W21+FEBRERO!AM21</f>
        <v>0</v>
      </c>
      <c r="X21" s="18">
        <f t="shared" ref="X21:X33" si="17">SUM(U21:W21)</f>
        <v>31976631</v>
      </c>
      <c r="Y21" s="21">
        <f>ENERO!AA21</f>
        <v>0</v>
      </c>
      <c r="Z21" s="457">
        <v>0</v>
      </c>
      <c r="AA21" s="20">
        <f t="shared" ref="AA21:AA33" si="18">SUM(Y21:Z21)</f>
        <v>0</v>
      </c>
      <c r="AB21" s="21">
        <f>ENERO!AD21</f>
        <v>0</v>
      </c>
      <c r="AC21" s="457">
        <v>0</v>
      </c>
      <c r="AD21" s="18">
        <f t="shared" ref="AD21:AD33" si="19">SUM(AB21:AC21)</f>
        <v>0</v>
      </c>
      <c r="AE21" s="21">
        <f>ENERO!AG21</f>
        <v>0</v>
      </c>
      <c r="AF21" s="457">
        <v>0</v>
      </c>
      <c r="AG21" s="18">
        <f t="shared" ref="AG21:AG33" si="20">SUM(AE21:AF21)</f>
        <v>0</v>
      </c>
      <c r="AH21" s="21">
        <f t="shared" ref="AH21:AH33" si="21">X21-AA21</f>
        <v>31976631</v>
      </c>
      <c r="AI21" s="17">
        <f t="shared" ref="AI21:AI33" si="22">X21-AD21</f>
        <v>31976631</v>
      </c>
      <c r="AJ21" s="18">
        <f t="shared" ref="AJ21:AJ33" si="23">X21-AG21</f>
        <v>31976631</v>
      </c>
      <c r="AK21" s="10"/>
      <c r="AL21" s="455">
        <v>0</v>
      </c>
      <c r="AM21" s="458">
        <v>0</v>
      </c>
      <c r="AN21" s="10"/>
      <c r="AO21" s="428"/>
      <c r="AP21" s="520"/>
      <c r="AQ21" s="521"/>
      <c r="AR21" s="522" t="str">
        <f>AR6</f>
        <v>FEBRERO</v>
      </c>
      <c r="AS21" s="523" t="str">
        <f>AR6</f>
        <v>FEBRERO</v>
      </c>
      <c r="AT21" s="522" t="str">
        <f>AR6</f>
        <v>FEBRERO</v>
      </c>
      <c r="AU21" s="522" t="s">
        <v>46</v>
      </c>
      <c r="AV21" s="522" t="s">
        <v>24</v>
      </c>
      <c r="AW21" s="524"/>
      <c r="AX21" s="524"/>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row>
    <row r="22" spans="1:70" s="10" customFormat="1" ht="15" x14ac:dyDescent="0.25">
      <c r="A22" s="57">
        <f>+IF(ENERO!A22=0,"",ENERO!A22)</f>
        <v>1130101</v>
      </c>
      <c r="B22" s="45" t="str">
        <f>+IF(ENERO!B22=0,"",ENERO!B22)</f>
        <v>EPS - REGIMEN CONTRIBUTIVO</v>
      </c>
      <c r="C22" s="53">
        <f t="shared" ref="C22:N22" si="24">SUM(C23:C24)</f>
        <v>235438278</v>
      </c>
      <c r="D22" s="53">
        <f t="shared" si="24"/>
        <v>0</v>
      </c>
      <c r="E22" s="53">
        <f t="shared" si="24"/>
        <v>0</v>
      </c>
      <c r="F22" s="54">
        <f t="shared" si="24"/>
        <v>235438278</v>
      </c>
      <c r="G22" s="52">
        <f t="shared" si="24"/>
        <v>29658909</v>
      </c>
      <c r="H22" s="53">
        <f t="shared" si="24"/>
        <v>17935536</v>
      </c>
      <c r="I22" s="54">
        <f t="shared" si="24"/>
        <v>47594445</v>
      </c>
      <c r="J22" s="52">
        <f t="shared" si="24"/>
        <v>5867783</v>
      </c>
      <c r="K22" s="53">
        <f t="shared" si="24"/>
        <v>4704666</v>
      </c>
      <c r="L22" s="54">
        <f t="shared" si="24"/>
        <v>10572449</v>
      </c>
      <c r="M22" s="52">
        <f t="shared" si="24"/>
        <v>187843833</v>
      </c>
      <c r="N22" s="54">
        <f t="shared" si="24"/>
        <v>224865829</v>
      </c>
      <c r="P22" s="52">
        <f>SUM(P23:P24)</f>
        <v>0</v>
      </c>
      <c r="Q22" s="54">
        <f>SUM(Q23:Q24)</f>
        <v>0</v>
      </c>
      <c r="S22" s="156" t="str">
        <f>+IF(ENERO!S22=0,"",ENERO!S22)</f>
        <v>1010104-2</v>
      </c>
      <c r="T22" s="251" t="str">
        <f>+IF(ENERO!T22=0,"",ENERO!T22)</f>
        <v>Prima Vida Cara</v>
      </c>
      <c r="U22" s="31">
        <f>+ENERO!U22</f>
        <v>0</v>
      </c>
      <c r="V22" s="17">
        <f>ENERO!V22+FEBRERO!AL22</f>
        <v>0</v>
      </c>
      <c r="W22" s="17">
        <f>ENERO!W22+FEBRERO!AM22</f>
        <v>0</v>
      </c>
      <c r="X22" s="18">
        <f t="shared" si="17"/>
        <v>0</v>
      </c>
      <c r="Y22" s="21">
        <f>ENERO!AA22</f>
        <v>0</v>
      </c>
      <c r="Z22" s="457">
        <v>0</v>
      </c>
      <c r="AA22" s="20">
        <f t="shared" si="18"/>
        <v>0</v>
      </c>
      <c r="AB22" s="21">
        <f>ENERO!AD22</f>
        <v>0</v>
      </c>
      <c r="AC22" s="457">
        <v>0</v>
      </c>
      <c r="AD22" s="18">
        <f t="shared" si="19"/>
        <v>0</v>
      </c>
      <c r="AE22" s="21">
        <f>ENERO!AG22</f>
        <v>0</v>
      </c>
      <c r="AF22" s="457">
        <v>0</v>
      </c>
      <c r="AG22" s="18">
        <f t="shared" si="20"/>
        <v>0</v>
      </c>
      <c r="AH22" s="21">
        <f t="shared" si="21"/>
        <v>0</v>
      </c>
      <c r="AI22" s="17">
        <f t="shared" si="22"/>
        <v>0</v>
      </c>
      <c r="AJ22" s="18">
        <f t="shared" si="23"/>
        <v>0</v>
      </c>
      <c r="AL22" s="455">
        <v>0</v>
      </c>
      <c r="AM22" s="458">
        <v>0</v>
      </c>
      <c r="AO22" s="23"/>
      <c r="AP22" s="526" t="s">
        <v>106</v>
      </c>
      <c r="AQ22" s="527">
        <f>X17+X66</f>
        <v>1269481968</v>
      </c>
      <c r="AR22" s="527">
        <f>AD17+AD66</f>
        <v>207743805</v>
      </c>
      <c r="AS22" s="527">
        <f>AG17+AG66</f>
        <v>186441132</v>
      </c>
      <c r="AT22" s="528"/>
      <c r="AU22" s="529">
        <f t="shared" ref="AU22:AU32" si="25">IF(AQ22=0," ",AR22/AQ22)</f>
        <v>0.16364454969556527</v>
      </c>
      <c r="AV22" s="529">
        <f t="shared" ref="AV22:AV32" si="26">IF(AQ22=0," ",AS22/AQ22)</f>
        <v>0.14686394663307262</v>
      </c>
      <c r="AW22" s="530">
        <f>AR22/$AO$2*12</f>
        <v>1246462830</v>
      </c>
      <c r="AX22" s="530">
        <f>AS22/$AO$2*12</f>
        <v>1118646792</v>
      </c>
      <c r="AY22" s="530">
        <f t="shared" ref="AY22:AY28" si="27">AQ22-AW22</f>
        <v>23019138</v>
      </c>
      <c r="AZ22" s="531">
        <f t="shared" ref="AZ22:AZ31" si="28">AQ22-AX22</f>
        <v>150835176</v>
      </c>
      <c r="BA22" s="467"/>
      <c r="BB22" s="119" t="s">
        <v>467</v>
      </c>
      <c r="BC22" s="83">
        <f>SUMIF($B8:B117,$B24,F8:F117)+F116</f>
        <v>165717175</v>
      </c>
      <c r="BD22" s="84">
        <f>SUMIF($B8:B117,$B24,I8:I117)+I116</f>
        <v>100722672</v>
      </c>
      <c r="BE22" s="85">
        <f>SUMIF($B8:B117,$B24,K8:K117)+K116</f>
        <v>24630125</v>
      </c>
      <c r="BF22" s="75"/>
      <c r="BG22" s="467"/>
      <c r="BH22" s="467"/>
      <c r="BI22" s="467"/>
      <c r="BJ22" s="467"/>
      <c r="BK22" s="467"/>
      <c r="BM22" s="89" t="s">
        <v>69</v>
      </c>
      <c r="BN22" s="101">
        <f>BN23+BN24</f>
        <v>197767489</v>
      </c>
      <c r="BO22" s="99">
        <f>BO23+BO24</f>
        <v>20316957</v>
      </c>
      <c r="BP22" s="99">
        <f>BP23+BP24</f>
        <v>20316957</v>
      </c>
      <c r="BQ22" s="100">
        <f>BQ23+BQ24</f>
        <v>7619192</v>
      </c>
      <c r="BR22" s="514"/>
    </row>
    <row r="23" spans="1:70" s="514" customFormat="1" ht="15.75" thickBot="1" x14ac:dyDescent="0.25">
      <c r="A23" s="188" t="str">
        <f>+IF(ENERO!A23=0,"",ENERO!A23)</f>
        <v>1130101-1</v>
      </c>
      <c r="B23" s="189" t="str">
        <f>+CONCATENATE("Vigencia ",INSTRUCCIONES!$F$3)</f>
        <v>Vigencia 2014</v>
      </c>
      <c r="C23" s="456">
        <f>+ENERO!C23</f>
        <v>190033939</v>
      </c>
      <c r="D23" s="456">
        <f>ENERO!D23+FEBRERO!P23</f>
        <v>0</v>
      </c>
      <c r="E23" s="456">
        <f>ENERO!E23+FEBRERO!Q23</f>
        <v>0</v>
      </c>
      <c r="F23" s="170">
        <f>SUM(C23:E23)</f>
        <v>190033939</v>
      </c>
      <c r="G23" s="283">
        <f>ENERO!I23</f>
        <v>23819716</v>
      </c>
      <c r="H23" s="457">
        <v>13233170</v>
      </c>
      <c r="I23" s="170">
        <f>SUM(G23:H23)</f>
        <v>37052886</v>
      </c>
      <c r="J23" s="283">
        <f>ENERO!L23</f>
        <v>28590</v>
      </c>
      <c r="K23" s="457">
        <v>2300</v>
      </c>
      <c r="L23" s="170">
        <f>SUM(J23:K23)</f>
        <v>30890</v>
      </c>
      <c r="M23" s="283">
        <f>F23-I23</f>
        <v>152981053</v>
      </c>
      <c r="N23" s="170">
        <f>F23-L23</f>
        <v>190003049</v>
      </c>
      <c r="O23" s="10"/>
      <c r="P23" s="455">
        <v>0</v>
      </c>
      <c r="Q23" s="458">
        <v>0</v>
      </c>
      <c r="R23" s="10"/>
      <c r="S23" s="156" t="str">
        <f>+IF(ENERO!S23=0,"",ENERO!S23)</f>
        <v>1010104-3</v>
      </c>
      <c r="T23" s="251" t="str">
        <f>+IF(ENERO!T23=0,"",ENERO!T23)</f>
        <v>Prima de Vacaciones</v>
      </c>
      <c r="U23" s="31">
        <f>+ENERO!U23</f>
        <v>15348783</v>
      </c>
      <c r="V23" s="17">
        <f>ENERO!V23+FEBRERO!AL23</f>
        <v>0</v>
      </c>
      <c r="W23" s="17">
        <f>ENERO!W23+FEBRERO!AM23</f>
        <v>0</v>
      </c>
      <c r="X23" s="18">
        <f t="shared" si="17"/>
        <v>15348783</v>
      </c>
      <c r="Y23" s="21">
        <f>ENERO!AA23</f>
        <v>1316795</v>
      </c>
      <c r="Z23" s="457">
        <v>557101</v>
      </c>
      <c r="AA23" s="20">
        <f t="shared" si="18"/>
        <v>1873896</v>
      </c>
      <c r="AB23" s="21">
        <f>ENERO!AD23</f>
        <v>1316795</v>
      </c>
      <c r="AC23" s="457">
        <v>557101</v>
      </c>
      <c r="AD23" s="18">
        <f t="shared" si="19"/>
        <v>1873896</v>
      </c>
      <c r="AE23" s="21">
        <f>ENERO!AG23</f>
        <v>1316795</v>
      </c>
      <c r="AF23" s="457">
        <v>557101</v>
      </c>
      <c r="AG23" s="18">
        <f t="shared" si="20"/>
        <v>1873896</v>
      </c>
      <c r="AH23" s="21">
        <f t="shared" si="21"/>
        <v>13474887</v>
      </c>
      <c r="AI23" s="17">
        <f t="shared" si="22"/>
        <v>13474887</v>
      </c>
      <c r="AJ23" s="18">
        <f t="shared" si="23"/>
        <v>13474887</v>
      </c>
      <c r="AK23" s="10"/>
      <c r="AL23" s="455">
        <v>0</v>
      </c>
      <c r="AM23" s="458">
        <v>0</v>
      </c>
      <c r="AN23" s="10"/>
      <c r="AO23" s="453"/>
      <c r="AP23" s="532" t="s">
        <v>110</v>
      </c>
      <c r="AQ23" s="533">
        <f>X16+X65-AQ22</f>
        <v>349493128</v>
      </c>
      <c r="AR23" s="533">
        <f>AD16+AD65-AR22</f>
        <v>48759301</v>
      </c>
      <c r="AS23" s="533">
        <f>AG16+AG65-AS22</f>
        <v>47778959</v>
      </c>
      <c r="AT23" s="401"/>
      <c r="AU23" s="419">
        <f t="shared" si="25"/>
        <v>0.13951433402719152</v>
      </c>
      <c r="AV23" s="419">
        <f t="shared" si="26"/>
        <v>0.13670929461022191</v>
      </c>
      <c r="AW23" s="533">
        <f>(AR23-AD21-AD22-AD23-AD25-AD30-AD33-AD70-AD71-AD72-AD74-AD78-AD81)/$AO$2*12+AX22/12*2.5+AD30+AD33+AD78+AD81</f>
        <v>377815800</v>
      </c>
      <c r="AX23" s="533">
        <f>(AS23-AG21-AG22-AG23-AG25-AG30-AG33-AG70-AG71-AG72-AG74-AG78-AG81)/$AO$2*12+AX22/12*2.5+AG30+AG33+AG78+AG81</f>
        <v>376835458</v>
      </c>
      <c r="AY23" s="533">
        <f t="shared" si="27"/>
        <v>-28322672</v>
      </c>
      <c r="AZ23" s="62">
        <f t="shared" si="28"/>
        <v>-27342330</v>
      </c>
      <c r="BA23" s="467"/>
      <c r="BB23" s="678" t="s">
        <v>111</v>
      </c>
      <c r="BC23" s="679">
        <f>BC7+BC8+BC20+BC21+BC22</f>
        <v>3664575127</v>
      </c>
      <c r="BD23" s="138">
        <f>BD7+BD8+BD20+BD21+BD22+BD92</f>
        <v>771303525</v>
      </c>
      <c r="BE23" s="139">
        <f>BE7+BE8+BE20+BE21+BE22+BE92</f>
        <v>399065644</v>
      </c>
      <c r="BF23" s="467"/>
      <c r="BG23" s="467"/>
      <c r="BH23" s="467"/>
      <c r="BI23" s="467"/>
      <c r="BJ23" s="467"/>
      <c r="BK23" s="467"/>
      <c r="BL23" s="467"/>
      <c r="BM23" s="164" t="s">
        <v>107</v>
      </c>
      <c r="BN23" s="101">
        <f>X177</f>
        <v>104106866</v>
      </c>
      <c r="BO23" s="99">
        <f>AA177</f>
        <v>14844422</v>
      </c>
      <c r="BP23" s="99">
        <f>AD177</f>
        <v>14844422</v>
      </c>
      <c r="BQ23" s="100">
        <f>AF177</f>
        <v>7619192</v>
      </c>
      <c r="BR23" s="10"/>
    </row>
    <row r="24" spans="1:70" s="514" customFormat="1" ht="15" x14ac:dyDescent="0.2">
      <c r="A24" s="188" t="str">
        <f>+IF(ENERO!A24=0,"",ENERO!A24)</f>
        <v>1130101-2</v>
      </c>
      <c r="B24" s="189" t="str">
        <f>+IF(ENERO!B24=0,"",ENERO!B24)</f>
        <v>Vigencias Anteriores</v>
      </c>
      <c r="C24" s="456">
        <f>+ENERO!C24</f>
        <v>45404339</v>
      </c>
      <c r="D24" s="456">
        <f>ENERO!D24+FEBRERO!P24</f>
        <v>0</v>
      </c>
      <c r="E24" s="456">
        <f>ENERO!E24+FEBRERO!Q24</f>
        <v>0</v>
      </c>
      <c r="F24" s="170">
        <f>SUM(C24:E24)</f>
        <v>45404339</v>
      </c>
      <c r="G24" s="283">
        <f>ENERO!I24</f>
        <v>5839193</v>
      </c>
      <c r="H24" s="457">
        <v>4702366</v>
      </c>
      <c r="I24" s="170">
        <f>SUM(G24:H24)</f>
        <v>10541559</v>
      </c>
      <c r="J24" s="283">
        <f>ENERO!L24</f>
        <v>5839193</v>
      </c>
      <c r="K24" s="457">
        <v>4702366</v>
      </c>
      <c r="L24" s="170">
        <f>SUM(J24:K24)</f>
        <v>10541559</v>
      </c>
      <c r="M24" s="283">
        <f>F24-I24</f>
        <v>34862780</v>
      </c>
      <c r="N24" s="170">
        <f>F24-L24</f>
        <v>34862780</v>
      </c>
      <c r="O24" s="467"/>
      <c r="P24" s="455">
        <v>0</v>
      </c>
      <c r="Q24" s="458">
        <v>0</v>
      </c>
      <c r="R24" s="10"/>
      <c r="S24" s="156" t="str">
        <f>+IF(ENERO!S24=0,"",ENERO!S24)</f>
        <v>1010104-4</v>
      </c>
      <c r="T24" s="251" t="str">
        <f>+IF(ENERO!T24=0,"",ENERO!T24)</f>
        <v>Prima Clima</v>
      </c>
      <c r="U24" s="31">
        <f>+ENERO!U24</f>
        <v>0</v>
      </c>
      <c r="V24" s="17">
        <f>ENERO!V24+FEBRERO!AL24</f>
        <v>0</v>
      </c>
      <c r="W24" s="17">
        <f>ENERO!W24+FEBRERO!AM24</f>
        <v>0</v>
      </c>
      <c r="X24" s="18">
        <f t="shared" si="17"/>
        <v>0</v>
      </c>
      <c r="Y24" s="21">
        <f>ENERO!AA24</f>
        <v>0</v>
      </c>
      <c r="Z24" s="457">
        <v>0</v>
      </c>
      <c r="AA24" s="20">
        <f t="shared" si="18"/>
        <v>0</v>
      </c>
      <c r="AB24" s="21">
        <f>ENERO!AD24</f>
        <v>0</v>
      </c>
      <c r="AC24" s="457">
        <v>0</v>
      </c>
      <c r="AD24" s="18">
        <f t="shared" si="19"/>
        <v>0</v>
      </c>
      <c r="AE24" s="21">
        <f>ENERO!AG24</f>
        <v>0</v>
      </c>
      <c r="AF24" s="457">
        <v>0</v>
      </c>
      <c r="AG24" s="18">
        <f t="shared" si="20"/>
        <v>0</v>
      </c>
      <c r="AH24" s="21">
        <f t="shared" si="21"/>
        <v>0</v>
      </c>
      <c r="AI24" s="17">
        <f t="shared" si="22"/>
        <v>0</v>
      </c>
      <c r="AJ24" s="18">
        <f t="shared" si="23"/>
        <v>0</v>
      </c>
      <c r="AK24" s="10"/>
      <c r="AL24" s="455">
        <v>0</v>
      </c>
      <c r="AM24" s="458">
        <v>0</v>
      </c>
      <c r="AN24" s="10"/>
      <c r="AO24" s="453"/>
      <c r="AP24" s="507" t="s">
        <v>115</v>
      </c>
      <c r="AQ24" s="528">
        <f>X35+X83</f>
        <v>186775007</v>
      </c>
      <c r="AR24" s="528">
        <f>AD35+AD83</f>
        <v>26749978</v>
      </c>
      <c r="AS24" s="528">
        <f>AG35+AG83</f>
        <v>13587202</v>
      </c>
      <c r="AT24" s="528"/>
      <c r="AU24" s="456">
        <f t="shared" si="25"/>
        <v>0.14322032925957809</v>
      </c>
      <c r="AV24" s="456">
        <f t="shared" si="26"/>
        <v>7.2746360544909516E-2</v>
      </c>
      <c r="AW24" s="456">
        <f>(AR24-AD41-AD88)/$AO$2*12+AD41+AD88</f>
        <v>102799608</v>
      </c>
      <c r="AX24" s="456">
        <f>(AS24-AG41-AG88)/$AO$2*12+AG41+AG88</f>
        <v>24059452</v>
      </c>
      <c r="AY24" s="456">
        <f t="shared" si="27"/>
        <v>83975399</v>
      </c>
      <c r="AZ24" s="170">
        <f t="shared" si="28"/>
        <v>162715555</v>
      </c>
      <c r="BA24" s="10"/>
      <c r="BB24" s="534"/>
      <c r="BC24" s="467"/>
      <c r="BD24" s="467"/>
      <c r="BE24" s="467"/>
      <c r="BF24" s="467"/>
      <c r="BG24" s="467"/>
      <c r="BH24" s="467"/>
      <c r="BI24" s="467"/>
      <c r="BJ24" s="467"/>
      <c r="BK24" s="467"/>
      <c r="BL24" s="467"/>
      <c r="BM24" s="164" t="s">
        <v>112</v>
      </c>
      <c r="BN24" s="101">
        <f>X170-X177-X174-X183-X191</f>
        <v>93660623</v>
      </c>
      <c r="BO24" s="99">
        <f>AA170-AA177-AA174-AA183-AA191</f>
        <v>5472535</v>
      </c>
      <c r="BP24" s="99">
        <f>AD170-AD177-AD174-AD183-AD191</f>
        <v>5472535</v>
      </c>
      <c r="BQ24" s="100">
        <f>AF170-AF177-AF174-AF183-AF191</f>
        <v>0</v>
      </c>
    </row>
    <row r="25" spans="1:70" s="467" customFormat="1" ht="15" x14ac:dyDescent="0.25">
      <c r="A25" s="57">
        <f>+IF(ENERO!A25=0,"",ENERO!A25)</f>
        <v>1130102</v>
      </c>
      <c r="B25" s="45" t="str">
        <f>+IF(ENERO!B25=0,"",ENERO!B25)</f>
        <v>ARS - REGIMEN SUBSIDIADO</v>
      </c>
      <c r="C25" s="53">
        <f t="shared" ref="C25:N25" si="29">SUM(C26:C27)</f>
        <v>2553198704</v>
      </c>
      <c r="D25" s="53">
        <f t="shared" si="29"/>
        <v>0</v>
      </c>
      <c r="E25" s="53">
        <f t="shared" si="29"/>
        <v>0</v>
      </c>
      <c r="F25" s="54">
        <f t="shared" si="29"/>
        <v>2553198704</v>
      </c>
      <c r="G25" s="52">
        <f t="shared" si="29"/>
        <v>265904413</v>
      </c>
      <c r="H25" s="53">
        <f t="shared" si="29"/>
        <v>218360544</v>
      </c>
      <c r="I25" s="54">
        <f t="shared" si="29"/>
        <v>484264957</v>
      </c>
      <c r="J25" s="52">
        <f t="shared" si="29"/>
        <v>233399822</v>
      </c>
      <c r="K25" s="53">
        <f t="shared" si="29"/>
        <v>185664132</v>
      </c>
      <c r="L25" s="54">
        <f t="shared" si="29"/>
        <v>419063954</v>
      </c>
      <c r="M25" s="52">
        <f t="shared" si="29"/>
        <v>2068933747</v>
      </c>
      <c r="N25" s="54">
        <f t="shared" si="29"/>
        <v>2134134750</v>
      </c>
      <c r="P25" s="52">
        <f>SUM(P26:P27)</f>
        <v>0</v>
      </c>
      <c r="Q25" s="54">
        <f>SUM(Q26:Q27)</f>
        <v>0</v>
      </c>
      <c r="R25" s="10"/>
      <c r="S25" s="156" t="str">
        <f>+IF(ENERO!S25=0,"",ENERO!S25)</f>
        <v>1010104-5</v>
      </c>
      <c r="T25" s="251" t="str">
        <f>+IF(ENERO!T25=0,"",ENERO!T25)</f>
        <v>Prima de Servicios</v>
      </c>
      <c r="U25" s="31">
        <f>+ENERO!U25</f>
        <v>0</v>
      </c>
      <c r="V25" s="17">
        <f>ENERO!V25+FEBRERO!AL25</f>
        <v>0</v>
      </c>
      <c r="W25" s="17">
        <f>ENERO!W25+FEBRERO!AM25</f>
        <v>0</v>
      </c>
      <c r="X25" s="18">
        <f t="shared" si="17"/>
        <v>0</v>
      </c>
      <c r="Y25" s="21">
        <f>ENERO!AA25</f>
        <v>0</v>
      </c>
      <c r="Z25" s="457">
        <v>0</v>
      </c>
      <c r="AA25" s="20">
        <f t="shared" si="18"/>
        <v>0</v>
      </c>
      <c r="AB25" s="21">
        <f>ENERO!AD25</f>
        <v>0</v>
      </c>
      <c r="AC25" s="457">
        <v>0</v>
      </c>
      <c r="AD25" s="18">
        <f t="shared" si="19"/>
        <v>0</v>
      </c>
      <c r="AE25" s="21">
        <f>ENERO!AG25</f>
        <v>0</v>
      </c>
      <c r="AF25" s="457">
        <v>0</v>
      </c>
      <c r="AG25" s="18">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155307106</v>
      </c>
      <c r="AS25" s="456">
        <f>AG43+AG57+AG90+AG104</f>
        <v>133183878</v>
      </c>
      <c r="AT25" s="528"/>
      <c r="AU25" s="456">
        <f t="shared" si="25"/>
        <v>0.27124102581051496</v>
      </c>
      <c r="AV25" s="456">
        <f t="shared" si="26"/>
        <v>0.23260321192349356</v>
      </c>
      <c r="AW25" s="456">
        <f>(AR25-AD55-AD61-AD102-AD108)/$AO$2*12+AD55+AD61+AD102+AD108</f>
        <v>902643961</v>
      </c>
      <c r="AX25" s="456">
        <f>(AS25-AG55-AG61-AG102-AG108)/$AO$2*12+AG55+AG61+AG102+AG108</f>
        <v>772340333</v>
      </c>
      <c r="AY25" s="456">
        <f t="shared" si="27"/>
        <v>-330064258</v>
      </c>
      <c r="AZ25" s="170">
        <f t="shared" si="28"/>
        <v>-199760630</v>
      </c>
      <c r="BM25" s="167" t="s">
        <v>475</v>
      </c>
      <c r="BN25" s="124">
        <f>+SUM(BN26:BN28)</f>
        <v>310892858</v>
      </c>
      <c r="BO25" s="125">
        <f>+SUM(BO26:BO28)</f>
        <v>42429638</v>
      </c>
      <c r="BP25" s="125">
        <f>+SUM(BP26:BP28)</f>
        <v>42429638</v>
      </c>
      <c r="BQ25" s="126">
        <f>+SUM(BQ26:BQ28)</f>
        <v>18000</v>
      </c>
      <c r="BR25" s="514"/>
    </row>
    <row r="26" spans="1:70" s="10" customFormat="1" ht="15" x14ac:dyDescent="0.2">
      <c r="A26" s="188" t="str">
        <f>+IF(ENERO!A26=0,"",ENERO!A26)</f>
        <v>1130102-1</v>
      </c>
      <c r="B26" s="189" t="str">
        <f>+CONCATENATE("Vigencia ",INSTRUCCIONES!$F$3)</f>
        <v>Vigencia 2014</v>
      </c>
      <c r="C26" s="456">
        <f>+ENERO!C26</f>
        <v>2490198704</v>
      </c>
      <c r="D26" s="456">
        <f>ENERO!D26+FEBRERO!P26</f>
        <v>0</v>
      </c>
      <c r="E26" s="456">
        <f>ENERO!E26+FEBRERO!Q26</f>
        <v>0</v>
      </c>
      <c r="F26" s="170">
        <f>SUM(C26:E26)</f>
        <v>2490198704</v>
      </c>
      <c r="G26" s="283">
        <f>ENERO!I26</f>
        <v>202971187</v>
      </c>
      <c r="H26" s="457">
        <v>202912516</v>
      </c>
      <c r="I26" s="170">
        <f>SUM(G26:H26)</f>
        <v>405883703</v>
      </c>
      <c r="J26" s="283">
        <f>ENERO!L26</f>
        <v>170466596</v>
      </c>
      <c r="K26" s="457">
        <v>170216104</v>
      </c>
      <c r="L26" s="170">
        <f>SUM(J26:K26)</f>
        <v>340682700</v>
      </c>
      <c r="M26" s="283">
        <f>F26-I26</f>
        <v>2084315001</v>
      </c>
      <c r="N26" s="170">
        <f>F26-L26</f>
        <v>2149516004</v>
      </c>
      <c r="P26" s="455">
        <v>0</v>
      </c>
      <c r="Q26" s="458">
        <v>0</v>
      </c>
      <c r="S26" s="156" t="str">
        <f>+IF(ENERO!S26=0,"",ENERO!S26)</f>
        <v>1010104-8</v>
      </c>
      <c r="T26" s="251" t="str">
        <f>+IF(ENERO!T26=0,"",ENERO!T26)</f>
        <v>Bonific. por Servicios Prestados (Convencional)</v>
      </c>
      <c r="U26" s="31">
        <f>+ENERO!U26</f>
        <v>0</v>
      </c>
      <c r="V26" s="17">
        <f>ENERO!V26+FEBRERO!AL26</f>
        <v>0</v>
      </c>
      <c r="W26" s="17">
        <f>ENERO!W26+FEBRERO!AM26</f>
        <v>0</v>
      </c>
      <c r="X26" s="18">
        <f t="shared" si="17"/>
        <v>0</v>
      </c>
      <c r="Y26" s="21">
        <f>ENERO!AA26</f>
        <v>0</v>
      </c>
      <c r="Z26" s="457">
        <v>0</v>
      </c>
      <c r="AA26" s="20">
        <f t="shared" si="18"/>
        <v>0</v>
      </c>
      <c r="AB26" s="21">
        <f>ENERO!AD26</f>
        <v>0</v>
      </c>
      <c r="AC26" s="457">
        <v>0</v>
      </c>
      <c r="AD26" s="18">
        <f t="shared" si="19"/>
        <v>0</v>
      </c>
      <c r="AE26" s="21">
        <f>ENERO!AG26</f>
        <v>0</v>
      </c>
      <c r="AF26" s="457">
        <v>0</v>
      </c>
      <c r="AG26" s="18">
        <f t="shared" si="20"/>
        <v>0</v>
      </c>
      <c r="AH26" s="21">
        <f t="shared" si="21"/>
        <v>0</v>
      </c>
      <c r="AI26" s="17">
        <f t="shared" si="22"/>
        <v>0</v>
      </c>
      <c r="AJ26" s="18">
        <f t="shared" si="23"/>
        <v>0</v>
      </c>
      <c r="AL26" s="455">
        <v>0</v>
      </c>
      <c r="AM26" s="458">
        <v>0</v>
      </c>
      <c r="AO26" s="23"/>
      <c r="AP26" s="536" t="s">
        <v>122</v>
      </c>
      <c r="AQ26" s="401">
        <f>X110</f>
        <v>590553629</v>
      </c>
      <c r="AR26" s="401">
        <f>AD110</f>
        <v>100870672</v>
      </c>
      <c r="AS26" s="401">
        <f>AG110</f>
        <v>63007594</v>
      </c>
      <c r="AT26" s="454">
        <f>AO2/12</f>
        <v>0.16666666666666666</v>
      </c>
      <c r="AU26" s="419">
        <f t="shared" si="25"/>
        <v>0.1708069632402513</v>
      </c>
      <c r="AV26" s="419">
        <f t="shared" si="26"/>
        <v>0.10669241692188466</v>
      </c>
      <c r="AW26" s="533">
        <f>(AR26-AD121-AD139-AD143-AD153-AD168)/$AO$2*12+AD121+AD139+AD143+AD153+AD168</f>
        <v>416177382</v>
      </c>
      <c r="AX26" s="533">
        <f>(AS26-AG121-AG139-AG143-AG153-AG168)/$AO$2*12+AG121+AG139+AG143+AG153+AG168</f>
        <v>226349124</v>
      </c>
      <c r="AY26" s="533">
        <f t="shared" si="27"/>
        <v>174376247</v>
      </c>
      <c r="AZ26" s="62">
        <f t="shared" si="28"/>
        <v>364204505</v>
      </c>
      <c r="BA26" s="467"/>
      <c r="BB26" s="467"/>
      <c r="BC26" s="467"/>
      <c r="BD26" s="467"/>
      <c r="BE26" s="467"/>
      <c r="BF26" s="467"/>
      <c r="BG26" s="467"/>
      <c r="BH26" s="467"/>
      <c r="BI26" s="467"/>
      <c r="BJ26" s="467"/>
      <c r="BK26" s="467"/>
      <c r="BM26" s="127" t="s">
        <v>476</v>
      </c>
      <c r="BN26" s="104">
        <f>+X196+X212</f>
        <v>185254982</v>
      </c>
      <c r="BO26" s="102">
        <f>+AA196+AA212</f>
        <v>25940008</v>
      </c>
      <c r="BP26" s="102">
        <f>+AD196+AD212</f>
        <v>25940008</v>
      </c>
      <c r="BQ26" s="103">
        <f>+AF196+AF212</f>
        <v>0</v>
      </c>
      <c r="BR26" s="467"/>
    </row>
    <row r="27" spans="1:70" s="514" customFormat="1" ht="15" x14ac:dyDescent="0.2">
      <c r="A27" s="188" t="str">
        <f>+IF(ENERO!A27=0,"",ENERO!A27)</f>
        <v>1130102-2</v>
      </c>
      <c r="B27" s="189" t="str">
        <f>+IF(ENERO!B27=0,"",ENERO!B27)</f>
        <v>Vigencias Anteriores</v>
      </c>
      <c r="C27" s="456">
        <f>+ENERO!C27</f>
        <v>63000000</v>
      </c>
      <c r="D27" s="456">
        <f>ENERO!D27+FEBRERO!P27</f>
        <v>0</v>
      </c>
      <c r="E27" s="456">
        <f>ENERO!E27+FEBRERO!Q27</f>
        <v>0</v>
      </c>
      <c r="F27" s="170">
        <f>SUM(C27:E27)</f>
        <v>63000000</v>
      </c>
      <c r="G27" s="283">
        <f>ENERO!I27</f>
        <v>62933226</v>
      </c>
      <c r="H27" s="457">
        <v>15448028</v>
      </c>
      <c r="I27" s="170">
        <f>SUM(G27:H27)</f>
        <v>78381254</v>
      </c>
      <c r="J27" s="283">
        <f>ENERO!L27</f>
        <v>62933226</v>
      </c>
      <c r="K27" s="457">
        <v>15448028</v>
      </c>
      <c r="L27" s="170">
        <f>SUM(J27:K27)</f>
        <v>78381254</v>
      </c>
      <c r="M27" s="283">
        <f>F27-I27</f>
        <v>-15381254</v>
      </c>
      <c r="N27" s="170">
        <f>F27-L27</f>
        <v>-15381254</v>
      </c>
      <c r="O27" s="467"/>
      <c r="P27" s="455">
        <v>0</v>
      </c>
      <c r="Q27" s="458">
        <v>0</v>
      </c>
      <c r="R27" s="10"/>
      <c r="S27" s="156" t="str">
        <f>+IF(ENERO!S27=0,"",ENERO!S27)</f>
        <v>1010104-9</v>
      </c>
      <c r="T27" s="251" t="str">
        <f>+IF(ENERO!T27=0,"",ENERO!T27)</f>
        <v>Auxilio de Transporte</v>
      </c>
      <c r="U27" s="31">
        <f>+ENERO!U27</f>
        <v>0</v>
      </c>
      <c r="V27" s="17">
        <f>ENERO!V27+FEBRERO!AL27</f>
        <v>0</v>
      </c>
      <c r="W27" s="17">
        <f>ENERO!W27+FEBRERO!AM27</f>
        <v>0</v>
      </c>
      <c r="X27" s="18">
        <f t="shared" si="17"/>
        <v>0</v>
      </c>
      <c r="Y27" s="21">
        <f>ENERO!AA27</f>
        <v>0</v>
      </c>
      <c r="Z27" s="457">
        <v>0</v>
      </c>
      <c r="AA27" s="20">
        <f t="shared" si="18"/>
        <v>0</v>
      </c>
      <c r="AB27" s="21">
        <f>ENERO!AD27</f>
        <v>0</v>
      </c>
      <c r="AC27" s="457">
        <v>0</v>
      </c>
      <c r="AD27" s="18">
        <f t="shared" si="19"/>
        <v>0</v>
      </c>
      <c r="AE27" s="21">
        <f>ENERO!AG27</f>
        <v>0</v>
      </c>
      <c r="AF27" s="457">
        <v>0</v>
      </c>
      <c r="AG27" s="18">
        <f t="shared" si="20"/>
        <v>0</v>
      </c>
      <c r="AH27" s="21">
        <f t="shared" si="21"/>
        <v>0</v>
      </c>
      <c r="AI27" s="17">
        <f t="shared" si="22"/>
        <v>0</v>
      </c>
      <c r="AJ27" s="18">
        <f t="shared" si="23"/>
        <v>0</v>
      </c>
      <c r="AK27" s="10"/>
      <c r="AL27" s="455">
        <v>0</v>
      </c>
      <c r="AM27" s="458">
        <v>0</v>
      </c>
      <c r="AN27" s="10"/>
      <c r="AO27" s="428"/>
      <c r="AP27" s="535" t="s">
        <v>126</v>
      </c>
      <c r="AQ27" s="456">
        <f>X170</f>
        <v>204581543</v>
      </c>
      <c r="AR27" s="456">
        <f>AD170</f>
        <v>27131011</v>
      </c>
      <c r="AS27" s="456">
        <f>AG170</f>
        <v>23107324</v>
      </c>
      <c r="AT27" s="528"/>
      <c r="AU27" s="456">
        <f t="shared" si="25"/>
        <v>0.13261710026304768</v>
      </c>
      <c r="AV27" s="456">
        <f t="shared" si="26"/>
        <v>0.11294921165004607</v>
      </c>
      <c r="AW27" s="456">
        <f>(AR27-AD174-AD183-AD191)/$AO$2*12+AD174+AD183+AD191</f>
        <v>128715796</v>
      </c>
      <c r="AX27" s="456">
        <f>(AS27-AG174-AG183-AG191)/$AO$2*12+AG174+AG183+AG191</f>
        <v>116818974</v>
      </c>
      <c r="AY27" s="456">
        <f t="shared" si="27"/>
        <v>75865747</v>
      </c>
      <c r="AZ27" s="170">
        <f t="shared" si="28"/>
        <v>87762569</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+IF(ENERO!A28=0,"",ENERO!A28)</f>
        <v>1130103</v>
      </c>
      <c r="B28" s="60" t="str">
        <f>+IF(ENERO!B28=0,"",ENERO!B28)</f>
        <v>SUBSIDIO A LA OFERTA- ATENCION PERSONAS POBRES NO CUBIERTOS CON SUBSIDIO A LA DEMANDA</v>
      </c>
      <c r="C28" s="53">
        <f t="shared" ref="C28:N28" si="30">C29+C32+C35</f>
        <v>227076373</v>
      </c>
      <c r="D28" s="53">
        <f t="shared" si="30"/>
        <v>0</v>
      </c>
      <c r="E28" s="53">
        <f t="shared" si="30"/>
        <v>0</v>
      </c>
      <c r="F28" s="54">
        <f t="shared" si="30"/>
        <v>227076373</v>
      </c>
      <c r="G28" s="52">
        <f t="shared" si="30"/>
        <v>0</v>
      </c>
      <c r="H28" s="53">
        <f t="shared" si="30"/>
        <v>0</v>
      </c>
      <c r="I28" s="54">
        <f t="shared" si="30"/>
        <v>0</v>
      </c>
      <c r="J28" s="52">
        <f t="shared" si="30"/>
        <v>0</v>
      </c>
      <c r="K28" s="53">
        <f t="shared" si="30"/>
        <v>0</v>
      </c>
      <c r="L28" s="54">
        <f t="shared" si="30"/>
        <v>0</v>
      </c>
      <c r="M28" s="52">
        <f t="shared" si="30"/>
        <v>227076373</v>
      </c>
      <c r="N28" s="54">
        <f t="shared" si="30"/>
        <v>227076373</v>
      </c>
      <c r="O28" s="467"/>
      <c r="P28" s="52">
        <f>P29+P32+P35</f>
        <v>0</v>
      </c>
      <c r="Q28" s="54">
        <f>Q29+Q32+Q35</f>
        <v>0</v>
      </c>
      <c r="R28" s="10"/>
      <c r="S28" s="156" t="str">
        <f>+IF(ENERO!S28=0,"",ENERO!S28)</f>
        <v>1010104-10</v>
      </c>
      <c r="T28" s="251" t="str">
        <f>+IF(ENERO!T28=0,"",ENERO!T28)</f>
        <v>Subsidio de Alimentación</v>
      </c>
      <c r="U28" s="31">
        <f>+ENERO!U28</f>
        <v>9130335</v>
      </c>
      <c r="V28" s="17">
        <f>ENERO!V28+FEBRERO!AL28</f>
        <v>0</v>
      </c>
      <c r="W28" s="17">
        <f>ENERO!W28+FEBRERO!AM28</f>
        <v>0</v>
      </c>
      <c r="X28" s="18">
        <f t="shared" si="17"/>
        <v>9130335</v>
      </c>
      <c r="Y28" s="21">
        <f>ENERO!AA28</f>
        <v>683642</v>
      </c>
      <c r="Z28" s="457">
        <v>731373</v>
      </c>
      <c r="AA28" s="20">
        <f t="shared" si="18"/>
        <v>1415015</v>
      </c>
      <c r="AB28" s="21">
        <f>ENERO!AD28</f>
        <v>683642</v>
      </c>
      <c r="AC28" s="457">
        <v>731373</v>
      </c>
      <c r="AD28" s="18">
        <f t="shared" si="19"/>
        <v>1415015</v>
      </c>
      <c r="AE28" s="21">
        <f>ENERO!AG28</f>
        <v>683642</v>
      </c>
      <c r="AF28" s="457">
        <v>731373</v>
      </c>
      <c r="AG28" s="18">
        <f t="shared" si="20"/>
        <v>1415015</v>
      </c>
      <c r="AH28" s="21">
        <f t="shared" si="21"/>
        <v>7715320</v>
      </c>
      <c r="AI28" s="17">
        <f t="shared" si="22"/>
        <v>7715320</v>
      </c>
      <c r="AJ28" s="18">
        <f t="shared" si="23"/>
        <v>7715320</v>
      </c>
      <c r="AK28" s="10"/>
      <c r="AL28" s="455">
        <v>0</v>
      </c>
      <c r="AM28" s="458">
        <v>0</v>
      </c>
      <c r="AN28" s="10"/>
      <c r="AO28" s="428"/>
      <c r="AP28" s="535" t="s">
        <v>129</v>
      </c>
      <c r="AQ28" s="528">
        <f>X193</f>
        <v>371110149</v>
      </c>
      <c r="AR28" s="528">
        <f>AD193</f>
        <v>102646929</v>
      </c>
      <c r="AS28" s="528">
        <f>AG193</f>
        <v>32902718</v>
      </c>
      <c r="AT28" s="528"/>
      <c r="AU28" s="456">
        <f t="shared" si="25"/>
        <v>0.27659423833218855</v>
      </c>
      <c r="AV28" s="456">
        <f t="shared" si="26"/>
        <v>8.8660248415895523E-2</v>
      </c>
      <c r="AW28" s="456">
        <f>(AR28-AD205)/$AO$2*12+AD205</f>
        <v>314795119</v>
      </c>
      <c r="AX28" s="456">
        <f>(AS28-AG205)/$AO$2*12+AG205</f>
        <v>38307718</v>
      </c>
      <c r="AY28" s="456">
        <f t="shared" si="27"/>
        <v>56315030</v>
      </c>
      <c r="AZ28" s="170">
        <f t="shared" si="28"/>
        <v>332802431</v>
      </c>
      <c r="BA28" s="467"/>
      <c r="BB28" s="467"/>
      <c r="BC28" s="467"/>
      <c r="BD28" s="467"/>
      <c r="BE28" s="467"/>
      <c r="BF28" s="467"/>
      <c r="BG28" s="467"/>
      <c r="BH28" s="467"/>
      <c r="BI28" s="467"/>
      <c r="BJ28" s="467"/>
      <c r="BK28" s="467"/>
      <c r="BL28" s="467"/>
      <c r="BM28" s="89" t="s">
        <v>478</v>
      </c>
      <c r="BN28" s="101">
        <f>+X194-X196-X205</f>
        <v>125637876</v>
      </c>
      <c r="BO28" s="99">
        <f>+AA194-AA196-AA205</f>
        <v>16489630</v>
      </c>
      <c r="BP28" s="99">
        <f>+AD194-AD196-AD205</f>
        <v>16489630</v>
      </c>
      <c r="BQ28" s="100">
        <f>+AF194-AF196-AF205</f>
        <v>18000</v>
      </c>
      <c r="BR28" s="10"/>
    </row>
    <row r="29" spans="1:70" s="10" customFormat="1" ht="15" x14ac:dyDescent="0.25">
      <c r="A29" s="61" t="str">
        <f>+IF(ENERO!A29=0,"",ENERO!A29)</f>
        <v>1130103-1</v>
      </c>
      <c r="B29" s="62" t="str">
        <f>+IF(ENERO!B29=0,"",ENERO!B29)</f>
        <v>Prestación de Servicios de salud  1er Nivel</v>
      </c>
      <c r="C29" s="17">
        <f t="shared" ref="C29:N29" si="31">SUM(C30:C31)</f>
        <v>227076373</v>
      </c>
      <c r="D29" s="17">
        <f t="shared" si="31"/>
        <v>0</v>
      </c>
      <c r="E29" s="17">
        <f t="shared" si="31"/>
        <v>0</v>
      </c>
      <c r="F29" s="18">
        <f t="shared" si="31"/>
        <v>227076373</v>
      </c>
      <c r="G29" s="21">
        <f t="shared" si="31"/>
        <v>0</v>
      </c>
      <c r="H29" s="17">
        <f t="shared" si="31"/>
        <v>0</v>
      </c>
      <c r="I29" s="18">
        <f t="shared" si="31"/>
        <v>0</v>
      </c>
      <c r="J29" s="21">
        <f t="shared" si="31"/>
        <v>0</v>
      </c>
      <c r="K29" s="17">
        <f t="shared" si="31"/>
        <v>0</v>
      </c>
      <c r="L29" s="18">
        <f t="shared" si="31"/>
        <v>0</v>
      </c>
      <c r="M29" s="21">
        <f t="shared" si="31"/>
        <v>227076373</v>
      </c>
      <c r="N29" s="18">
        <f t="shared" si="31"/>
        <v>227076373</v>
      </c>
      <c r="O29" s="467"/>
      <c r="P29" s="171">
        <f>SUM(P30:P31)</f>
        <v>0</v>
      </c>
      <c r="Q29" s="173">
        <f>SUM(Q30:Q31)</f>
        <v>0</v>
      </c>
      <c r="S29" s="156" t="str">
        <f>+IF(ENERO!S29=0,"",ENERO!S29)</f>
        <v>1010104-11</v>
      </c>
      <c r="T29" s="251" t="str">
        <f>+IF(ENERO!T29=0,"",ENERO!T29)</f>
        <v>Gastos de Representación</v>
      </c>
      <c r="U29" s="31">
        <f>+ENERO!U29</f>
        <v>0</v>
      </c>
      <c r="V29" s="17">
        <f>ENERO!V29+FEBRERO!AL29</f>
        <v>0</v>
      </c>
      <c r="W29" s="17">
        <f>ENERO!W29+FEBRERO!AM29</f>
        <v>0</v>
      </c>
      <c r="X29" s="18">
        <f t="shared" si="17"/>
        <v>0</v>
      </c>
      <c r="Y29" s="21">
        <f>ENERO!AA29</f>
        <v>0</v>
      </c>
      <c r="Z29" s="457">
        <v>0</v>
      </c>
      <c r="AA29" s="20">
        <f t="shared" si="18"/>
        <v>0</v>
      </c>
      <c r="AB29" s="21">
        <f>ENERO!AD29</f>
        <v>0</v>
      </c>
      <c r="AC29" s="457">
        <v>0</v>
      </c>
      <c r="AD29" s="18">
        <f t="shared" si="19"/>
        <v>0</v>
      </c>
      <c r="AE29" s="21">
        <f>ENERO!AG29</f>
        <v>0</v>
      </c>
      <c r="AF29" s="457">
        <v>0</v>
      </c>
      <c r="AG29" s="18">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v>0</v>
      </c>
      <c r="AZ29" s="62">
        <f t="shared" si="28"/>
        <v>0</v>
      </c>
      <c r="BA29" s="467"/>
      <c r="BB29" s="514"/>
      <c r="BC29" s="514"/>
      <c r="BD29" s="514"/>
      <c r="BE29" s="514"/>
      <c r="BF29" s="514"/>
      <c r="BG29" s="467"/>
      <c r="BH29" s="467"/>
      <c r="BI29" s="467"/>
      <c r="BJ29" s="467"/>
      <c r="BK29" s="467"/>
      <c r="BM29" s="128" t="s">
        <v>72</v>
      </c>
      <c r="BN29" s="124">
        <f>X232-X256-X241</f>
        <v>120000000</v>
      </c>
      <c r="BO29" s="125">
        <f>AA232-AA256-AA241</f>
        <v>19019492</v>
      </c>
      <c r="BP29" s="125">
        <f>AD232-AD256-AD241</f>
        <v>19019492</v>
      </c>
      <c r="BQ29" s="126">
        <f>AF232-AF256-AF241</f>
        <v>0</v>
      </c>
      <c r="BR29" s="514"/>
    </row>
    <row r="30" spans="1:70" s="514" customFormat="1" ht="15" x14ac:dyDescent="0.25">
      <c r="A30" s="188" t="str">
        <f>+IF(ENERO!A30=0,"",ENERO!A30)</f>
        <v>1130103-1-1</v>
      </c>
      <c r="B30" s="189" t="str">
        <f>+CONCATENATE("Vigencia ",INSTRUCCIONES!$F$3)</f>
        <v>Vigencia 2014</v>
      </c>
      <c r="C30" s="456">
        <f>+ENERO!C30</f>
        <v>227076373</v>
      </c>
      <c r="D30" s="456">
        <f>ENERO!D30+FEBRERO!P30</f>
        <v>0</v>
      </c>
      <c r="E30" s="456">
        <f>ENERO!E30+FEBRERO!Q30</f>
        <v>0</v>
      </c>
      <c r="F30" s="170">
        <f>SUM(C30:E30)</f>
        <v>227076373</v>
      </c>
      <c r="G30" s="283">
        <f>ENERO!I30</f>
        <v>0</v>
      </c>
      <c r="H30" s="457">
        <v>0</v>
      </c>
      <c r="I30" s="170">
        <f>SUM(G30:H30)</f>
        <v>0</v>
      </c>
      <c r="J30" s="283">
        <f>ENERO!L30</f>
        <v>0</v>
      </c>
      <c r="K30" s="457">
        <v>0</v>
      </c>
      <c r="L30" s="170">
        <f>SUM(J30:K30)</f>
        <v>0</v>
      </c>
      <c r="M30" s="283">
        <f>F30-I30</f>
        <v>227076373</v>
      </c>
      <c r="N30" s="170">
        <f>F30-L30</f>
        <v>227076373</v>
      </c>
      <c r="O30" s="10"/>
      <c r="P30" s="455">
        <v>0</v>
      </c>
      <c r="Q30" s="458">
        <v>0</v>
      </c>
      <c r="R30" s="10"/>
      <c r="S30" s="156" t="str">
        <f>+IF(ENERO!S30=0,"",ENERO!S30)</f>
        <v>1010104-12</v>
      </c>
      <c r="T30" s="251" t="str">
        <f>+IF(ENERO!T30=0,"",ENERO!T30)</f>
        <v xml:space="preserve"> Indemnizaciones por Vacaciones o Supresión de Cargos por Reestructuración</v>
      </c>
      <c r="U30" s="31">
        <f>+ENERO!U30</f>
        <v>0</v>
      </c>
      <c r="V30" s="17">
        <f>ENERO!V30+FEBRERO!AL30</f>
        <v>0</v>
      </c>
      <c r="W30" s="17">
        <f>ENERO!W30+FEBRERO!AM30</f>
        <v>0</v>
      </c>
      <c r="X30" s="18">
        <f t="shared" si="17"/>
        <v>0</v>
      </c>
      <c r="Y30" s="21">
        <f>ENERO!AA30</f>
        <v>0</v>
      </c>
      <c r="Z30" s="457">
        <v>0</v>
      </c>
      <c r="AA30" s="20">
        <f t="shared" si="18"/>
        <v>0</v>
      </c>
      <c r="AB30" s="21">
        <f>ENERO!AD30</f>
        <v>0</v>
      </c>
      <c r="AC30" s="457">
        <v>0</v>
      </c>
      <c r="AD30" s="18">
        <f t="shared" si="19"/>
        <v>0</v>
      </c>
      <c r="AE30" s="21">
        <f>ENERO!AG30</f>
        <v>0</v>
      </c>
      <c r="AF30" s="457">
        <v>0</v>
      </c>
      <c r="AG30" s="18">
        <f t="shared" si="20"/>
        <v>0</v>
      </c>
      <c r="AH30" s="21">
        <f t="shared" si="21"/>
        <v>0</v>
      </c>
      <c r="AI30" s="17">
        <f t="shared" si="22"/>
        <v>0</v>
      </c>
      <c r="AJ30" s="18">
        <f t="shared" si="23"/>
        <v>0</v>
      </c>
      <c r="AK30" s="10"/>
      <c r="AL30" s="455">
        <v>0</v>
      </c>
      <c r="AM30" s="458">
        <v>0</v>
      </c>
      <c r="AN30" s="10"/>
      <c r="AO30" s="453" t="s">
        <v>53</v>
      </c>
      <c r="AP30" s="535" t="s">
        <v>136</v>
      </c>
      <c r="AQ30" s="456">
        <f>X220+X232</f>
        <v>120000000</v>
      </c>
      <c r="AR30" s="456">
        <f>AD220+AD232</f>
        <v>19019492</v>
      </c>
      <c r="AS30" s="456">
        <f>AG220+AG232</f>
        <v>0</v>
      </c>
      <c r="AT30" s="528"/>
      <c r="AU30" s="456">
        <f t="shared" si="25"/>
        <v>0.15849576666666668</v>
      </c>
      <c r="AV30" s="456">
        <f t="shared" si="26"/>
        <v>0</v>
      </c>
      <c r="AW30" s="456">
        <f>(AR30-AD225-AD230-AD241-AD256)/$AO$2*12+AD225+AD230+AD241+AD256</f>
        <v>114116952</v>
      </c>
      <c r="AX30" s="456">
        <f>(AS30-AG225-AG230-AG241-AG256)/$AO$2*12+AG225+AG230+AG241+AG256</f>
        <v>0</v>
      </c>
      <c r="AY30" s="456">
        <f>AQ30-AW30</f>
        <v>5883048</v>
      </c>
      <c r="AZ30" s="170">
        <f t="shared" si="28"/>
        <v>120000000</v>
      </c>
      <c r="BA30" s="467"/>
      <c r="BG30" s="467"/>
      <c r="BH30" s="467"/>
      <c r="BI30" s="467"/>
      <c r="BJ30" s="467"/>
      <c r="BK30" s="467"/>
      <c r="BL30" s="467"/>
      <c r="BM30" s="128" t="s">
        <v>76</v>
      </c>
      <c r="BN30" s="124">
        <f>X220-X225-X230</f>
        <v>0</v>
      </c>
      <c r="BO30" s="125">
        <f>AA220-AA225-AA230</f>
        <v>0</v>
      </c>
      <c r="BP30" s="125">
        <f>AD220-AD225-AD230</f>
        <v>0</v>
      </c>
      <c r="BQ30" s="126">
        <f>AF220-AF225-AF230</f>
        <v>0</v>
      </c>
    </row>
    <row r="31" spans="1:70" s="514" customFormat="1" ht="15" x14ac:dyDescent="0.25">
      <c r="A31" s="188" t="str">
        <f>+IF(ENERO!A31=0,"",ENERO!A31)</f>
        <v>1130103-1-2</v>
      </c>
      <c r="B31" s="189" t="str">
        <f>+IF(ENERO!B31=0,"",ENERO!B31)</f>
        <v>Vigencias Anteriores</v>
      </c>
      <c r="C31" s="456">
        <f>+ENERO!C31</f>
        <v>0</v>
      </c>
      <c r="D31" s="456">
        <f>ENERO!D31+FEBRERO!P31</f>
        <v>0</v>
      </c>
      <c r="E31" s="456">
        <f>ENERO!E31+FEBRERO!Q31</f>
        <v>0</v>
      </c>
      <c r="F31" s="170">
        <f>SUM(C31:E31)</f>
        <v>0</v>
      </c>
      <c r="G31" s="283">
        <f>ENERO!I31</f>
        <v>0</v>
      </c>
      <c r="H31" s="457">
        <v>0</v>
      </c>
      <c r="I31" s="170">
        <f>SUM(G31:H31)</f>
        <v>0</v>
      </c>
      <c r="J31" s="283">
        <f>ENERO!L31</f>
        <v>0</v>
      </c>
      <c r="K31" s="457">
        <v>0</v>
      </c>
      <c r="L31" s="170">
        <f>SUM(J31:K31)</f>
        <v>0</v>
      </c>
      <c r="M31" s="283">
        <f>F31-I31</f>
        <v>0</v>
      </c>
      <c r="N31" s="170">
        <f>F31-L31</f>
        <v>0</v>
      </c>
      <c r="O31" s="467"/>
      <c r="P31" s="455">
        <v>0</v>
      </c>
      <c r="Q31" s="458">
        <v>0</v>
      </c>
      <c r="R31" s="10"/>
      <c r="S31" s="156" t="str">
        <f>+IF(ENERO!S31=0,"",ENERO!S31)</f>
        <v>1010104-13</v>
      </c>
      <c r="T31" s="251" t="str">
        <f>+IF(ENERO!T31=0,"",ENERO!T31)</f>
        <v>Bonificación Especial por Recreación</v>
      </c>
      <c r="U31" s="31">
        <f>+ENERO!U31</f>
        <v>2046504</v>
      </c>
      <c r="V31" s="17">
        <f>ENERO!V31+FEBRERO!AL31</f>
        <v>0</v>
      </c>
      <c r="W31" s="17">
        <f>ENERO!W31+FEBRERO!AM31</f>
        <v>0</v>
      </c>
      <c r="X31" s="18">
        <f t="shared" si="17"/>
        <v>2046504</v>
      </c>
      <c r="Y31" s="21">
        <f>ENERO!AA31</f>
        <v>175572</v>
      </c>
      <c r="Z31" s="457">
        <v>72685</v>
      </c>
      <c r="AA31" s="20">
        <f t="shared" si="18"/>
        <v>248257</v>
      </c>
      <c r="AB31" s="21">
        <f>ENERO!AD31</f>
        <v>175572</v>
      </c>
      <c r="AC31" s="457">
        <v>72685</v>
      </c>
      <c r="AD31" s="18">
        <f t="shared" si="19"/>
        <v>248257</v>
      </c>
      <c r="AE31" s="21">
        <f>ENERO!AG31</f>
        <v>175572</v>
      </c>
      <c r="AF31" s="457">
        <v>72685</v>
      </c>
      <c r="AG31" s="18">
        <f t="shared" si="20"/>
        <v>248257</v>
      </c>
      <c r="AH31" s="21">
        <f t="shared" si="21"/>
        <v>1798247</v>
      </c>
      <c r="AI31" s="17">
        <f t="shared" si="22"/>
        <v>1798247</v>
      </c>
      <c r="AJ31" s="18">
        <f t="shared" si="23"/>
        <v>1798247</v>
      </c>
      <c r="AK31" s="10"/>
      <c r="AL31" s="455">
        <v>0</v>
      </c>
      <c r="AM31" s="458">
        <v>0</v>
      </c>
      <c r="AN31" s="10"/>
      <c r="AO31" s="428"/>
      <c r="AP31" s="507" t="s">
        <v>139</v>
      </c>
      <c r="AQ31" s="528">
        <f>X258</f>
        <v>0</v>
      </c>
      <c r="AR31" s="528">
        <f>AD258</f>
        <v>-32708794</v>
      </c>
      <c r="AS31" s="528">
        <f>AG258</f>
        <v>-500008807</v>
      </c>
      <c r="AT31" s="528"/>
      <c r="AU31" s="456" t="str">
        <f t="shared" si="25"/>
        <v xml:space="preserve"> </v>
      </c>
      <c r="AV31" s="456" t="str">
        <f t="shared" si="26"/>
        <v xml:space="preserve"> </v>
      </c>
      <c r="AW31" s="456">
        <f>AQ31</f>
        <v>0</v>
      </c>
      <c r="AX31" s="456">
        <f>AQ31</f>
        <v>0</v>
      </c>
      <c r="AY31" s="456">
        <f>AQ31-AW31</f>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145453491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82953483</v>
      </c>
      <c r="BR31" s="10"/>
    </row>
    <row r="32" spans="1:70" s="10" customFormat="1" ht="15.75" thickBot="1" x14ac:dyDescent="0.3">
      <c r="A32" s="61" t="str">
        <f>+IF(ENERO!A32=0,"",ENERO!A32)</f>
        <v>1130103-2</v>
      </c>
      <c r="B32" s="62" t="str">
        <f>+IF(ENERO!B32=0,"",ENERO!B32)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+IF(ENERO!S32=0,"",ENERO!S32)</f>
        <v>1010104-14</v>
      </c>
      <c r="T32" s="251" t="str">
        <f>+IF(ENERO!T32=0,"",ENERO!T32)</f>
        <v/>
      </c>
      <c r="U32" s="31">
        <f>+ENERO!U32</f>
        <v>0</v>
      </c>
      <c r="V32" s="17">
        <f>ENERO!V32+FEBRERO!AL32</f>
        <v>0</v>
      </c>
      <c r="W32" s="17">
        <f>ENERO!W32+FEBRERO!AM32</f>
        <v>0</v>
      </c>
      <c r="X32" s="18">
        <f t="shared" si="17"/>
        <v>0</v>
      </c>
      <c r="Y32" s="21">
        <f>ENERO!AA32</f>
        <v>0</v>
      </c>
      <c r="Z32" s="457">
        <v>0</v>
      </c>
      <c r="AA32" s="20">
        <f t="shared" si="18"/>
        <v>0</v>
      </c>
      <c r="AB32" s="21">
        <f>ENERO!AD32</f>
        <v>0</v>
      </c>
      <c r="AC32" s="457">
        <v>0</v>
      </c>
      <c r="AD32" s="18">
        <f t="shared" si="19"/>
        <v>0</v>
      </c>
      <c r="AE32" s="21">
        <f>ENERO!AG32</f>
        <v>0</v>
      </c>
      <c r="AF32" s="457">
        <v>0</v>
      </c>
      <c r="AG32" s="18">
        <f t="shared" si="20"/>
        <v>0</v>
      </c>
      <c r="AH32" s="21">
        <f t="shared" si="21"/>
        <v>0</v>
      </c>
      <c r="AI32" s="17">
        <f t="shared" si="22"/>
        <v>0</v>
      </c>
      <c r="AJ32" s="18">
        <f t="shared" si="23"/>
        <v>0</v>
      </c>
      <c r="AL32" s="455">
        <v>0</v>
      </c>
      <c r="AM32" s="458">
        <v>0</v>
      </c>
      <c r="AO32" s="23"/>
      <c r="AP32" s="537" t="s">
        <v>144</v>
      </c>
      <c r="AQ32" s="483">
        <f>SUM(AQ22:AQ31)</f>
        <v>3664575127</v>
      </c>
      <c r="AR32" s="483">
        <f>SUM(AR22:AR31)</f>
        <v>655519500</v>
      </c>
      <c r="AS32" s="483">
        <f>SUM(AS22:AS31)</f>
        <v>0</v>
      </c>
      <c r="AT32" s="538"/>
      <c r="AU32" s="539">
        <f t="shared" si="25"/>
        <v>0.17888008221478058</v>
      </c>
      <c r="AV32" s="539">
        <f t="shared" si="26"/>
        <v>0</v>
      </c>
      <c r="AW32" s="430">
        <f>SUM(AW22:AW31)</f>
        <v>3603527448</v>
      </c>
      <c r="AX32" s="430">
        <f>SUM(AX22:AX31)</f>
        <v>2673357851</v>
      </c>
      <c r="AY32" s="430">
        <f>SUM(AY22:AY31)</f>
        <v>61047679</v>
      </c>
      <c r="AZ32" s="431">
        <f>SUM(AZ22:AZ31)</f>
        <v>991217276</v>
      </c>
      <c r="BA32" s="467"/>
      <c r="BB32" s="514"/>
      <c r="BC32" s="514"/>
      <c r="BD32" s="514"/>
      <c r="BE32" s="514"/>
      <c r="BF32" s="514"/>
      <c r="BG32" s="467"/>
      <c r="BH32" s="467"/>
      <c r="BI32" s="467"/>
      <c r="BJ32" s="467"/>
      <c r="BK32" s="467"/>
      <c r="BM32" s="128" t="s">
        <v>140</v>
      </c>
      <c r="BN32" s="124">
        <f>+BN7+BN25+BN29+BN30+BN31</f>
        <v>3664575127</v>
      </c>
      <c r="BO32" s="125">
        <f t="shared" ref="BO32:BQ32" si="33">+BO7+BO25+BO29+BO30+BO31</f>
        <v>688229895</v>
      </c>
      <c r="BP32" s="125">
        <f t="shared" si="33"/>
        <v>688228294</v>
      </c>
      <c r="BQ32" s="126">
        <f t="shared" si="33"/>
        <v>344887110</v>
      </c>
      <c r="BR32" s="514"/>
    </row>
    <row r="33" spans="1:70" s="514" customFormat="1" ht="15.75" thickBot="1" x14ac:dyDescent="0.3">
      <c r="A33" s="188" t="str">
        <f>+IF(ENERO!A33=0,"",ENERO!A33)</f>
        <v>1130103-2-1</v>
      </c>
      <c r="B33" s="189" t="str">
        <f>+CONCATENATE("Vigencia ",INSTRUCCIONES!$F$3)</f>
        <v>Vigencia 2014</v>
      </c>
      <c r="C33" s="456">
        <f>+ENERO!C33</f>
        <v>0</v>
      </c>
      <c r="D33" s="456">
        <f>ENERO!D33+FEBRERO!P33</f>
        <v>0</v>
      </c>
      <c r="E33" s="456">
        <f>ENERO!E33+FEBRERO!Q33</f>
        <v>0</v>
      </c>
      <c r="F33" s="170">
        <f>SUM(C33:E33)</f>
        <v>0</v>
      </c>
      <c r="G33" s="283">
        <f>ENERO!I33</f>
        <v>0</v>
      </c>
      <c r="H33" s="457">
        <v>0</v>
      </c>
      <c r="I33" s="170">
        <f>SUM(G33:H33)</f>
        <v>0</v>
      </c>
      <c r="J33" s="283">
        <f>ENERO!L33</f>
        <v>0</v>
      </c>
      <c r="K33" s="457">
        <v>0</v>
      </c>
      <c r="L33" s="170">
        <f>SUM(J33:K33)</f>
        <v>0</v>
      </c>
      <c r="M33" s="283">
        <f>F33-I33</f>
        <v>0</v>
      </c>
      <c r="N33" s="170">
        <f>F33-L33</f>
        <v>0</v>
      </c>
      <c r="O33" s="10"/>
      <c r="P33" s="455">
        <v>0</v>
      </c>
      <c r="Q33" s="458">
        <v>0</v>
      </c>
      <c r="R33" s="10"/>
      <c r="S33" s="155">
        <f>+IF(ENERO!S33=0,"",ENERO!S33)</f>
        <v>1010199</v>
      </c>
      <c r="T33" s="238" t="str">
        <f>+IF(ENERO!T33=0,"",ENERO!T33)</f>
        <v>Vigencias Anteriores</v>
      </c>
      <c r="U33" s="31">
        <f>+ENERO!U33</f>
        <v>4029851</v>
      </c>
      <c r="V33" s="17">
        <f>ENERO!V33+FEBRERO!AL33</f>
        <v>-3476851</v>
      </c>
      <c r="W33" s="17">
        <f>ENERO!W33+FEBRERO!AM33</f>
        <v>0</v>
      </c>
      <c r="X33" s="18">
        <f t="shared" si="17"/>
        <v>553000</v>
      </c>
      <c r="Y33" s="21">
        <f>ENERO!AA33</f>
        <v>553000</v>
      </c>
      <c r="Z33" s="457">
        <v>0</v>
      </c>
      <c r="AA33" s="20">
        <f t="shared" si="18"/>
        <v>553000</v>
      </c>
      <c r="AB33" s="21">
        <f>ENERO!AD33</f>
        <v>553000</v>
      </c>
      <c r="AC33" s="457">
        <v>0</v>
      </c>
      <c r="AD33" s="18">
        <f t="shared" si="19"/>
        <v>553000</v>
      </c>
      <c r="AE33" s="21">
        <f>ENERO!AG33</f>
        <v>0</v>
      </c>
      <c r="AF33" s="457">
        <v>553000</v>
      </c>
      <c r="AG33" s="18">
        <f t="shared" si="20"/>
        <v>553000</v>
      </c>
      <c r="AH33" s="21">
        <f t="shared" si="21"/>
        <v>0</v>
      </c>
      <c r="AI33" s="17">
        <f t="shared" si="22"/>
        <v>0</v>
      </c>
      <c r="AJ33" s="18">
        <f t="shared" si="23"/>
        <v>0</v>
      </c>
      <c r="AK33" s="10"/>
      <c r="AL33" s="455">
        <v>-3476851</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83073630</v>
      </c>
      <c r="BP33" s="131">
        <f>AD258</f>
        <v>-32708794</v>
      </c>
      <c r="BQ33" s="132">
        <f>AF258</f>
        <v>2664168517</v>
      </c>
    </row>
    <row r="34" spans="1:70" s="514" customFormat="1" ht="16.5" thickBot="1" x14ac:dyDescent="0.25">
      <c r="A34" s="188" t="str">
        <f>+IF(ENERO!A34=0,"",ENERO!A34)</f>
        <v>1130103-2-2</v>
      </c>
      <c r="B34" s="189" t="str">
        <f>+IF(ENERO!B34=0,"",ENERO!B34)</f>
        <v>Vigencias Anteriores</v>
      </c>
      <c r="C34" s="456">
        <f>+ENERO!C34</f>
        <v>0</v>
      </c>
      <c r="D34" s="456">
        <f>ENERO!D34+FEBRERO!P34</f>
        <v>0</v>
      </c>
      <c r="E34" s="456">
        <f>ENERO!E34+FEBRERO!Q34</f>
        <v>0</v>
      </c>
      <c r="F34" s="170">
        <f>SUM(C34:E34)</f>
        <v>0</v>
      </c>
      <c r="G34" s="283">
        <f>ENERO!I34</f>
        <v>0</v>
      </c>
      <c r="H34" s="457">
        <v>0</v>
      </c>
      <c r="I34" s="170">
        <f>SUM(G34:H34)</f>
        <v>0</v>
      </c>
      <c r="J34" s="283">
        <f>ENERO!L34</f>
        <v>0</v>
      </c>
      <c r="K34" s="457">
        <v>0</v>
      </c>
      <c r="L34" s="170">
        <f>SUM(J34:K34)</f>
        <v>0</v>
      </c>
      <c r="M34" s="283">
        <f>F34-I34</f>
        <v>0</v>
      </c>
      <c r="N34" s="170">
        <f>F34-L34</f>
        <v>0</v>
      </c>
      <c r="O34" s="467"/>
      <c r="P34" s="455">
        <v>0</v>
      </c>
      <c r="Q34" s="458">
        <v>0</v>
      </c>
      <c r="R34" s="10"/>
      <c r="S34" s="448" t="str">
        <f>+IF(ENERO!S34=0,"",ENERO!S34)</f>
        <v/>
      </c>
      <c r="T34" s="649" t="str">
        <f>+IF(ENERO!T34=0,"",ENERO!T34)</f>
        <v/>
      </c>
      <c r="U34" s="450"/>
      <c r="V34" s="193"/>
      <c r="W34" s="193"/>
      <c r="X34" s="207"/>
      <c r="Y34" s="450"/>
      <c r="Z34" s="193"/>
      <c r="AA34" s="193"/>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+IF(ENERO!A35=0,"",ENERO!A35)</f>
        <v>1130103-3</v>
      </c>
      <c r="B35" s="62" t="str">
        <f>+IF(ENERO!B35=0,"",ENERO!B35)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+IF(ENERO!S35=0,"",ENERO!S35)</f>
        <v>1010200</v>
      </c>
      <c r="T35" s="237" t="str">
        <f>+IF(ENERO!T35=0,"",ENERO!T35)</f>
        <v>Servicios Personales Indirectos</v>
      </c>
      <c r="U35" s="151">
        <f t="shared" ref="U35:AJ35" si="35">SUM(U36:U41)</f>
        <v>113755696</v>
      </c>
      <c r="V35" s="144">
        <f t="shared" si="35"/>
        <v>-2668000</v>
      </c>
      <c r="W35" s="144">
        <f t="shared" si="35"/>
        <v>0</v>
      </c>
      <c r="X35" s="153">
        <f t="shared" si="35"/>
        <v>111087696</v>
      </c>
      <c r="Y35" s="151">
        <f t="shared" si="35"/>
        <v>3383291</v>
      </c>
      <c r="Z35" s="144">
        <f t="shared" si="35"/>
        <v>7499269</v>
      </c>
      <c r="AA35" s="152">
        <f t="shared" si="35"/>
        <v>10882560</v>
      </c>
      <c r="AB35" s="151">
        <f t="shared" si="35"/>
        <v>3383291</v>
      </c>
      <c r="AC35" s="144">
        <f t="shared" si="35"/>
        <v>7498469</v>
      </c>
      <c r="AD35" s="153">
        <f t="shared" si="35"/>
        <v>10881760</v>
      </c>
      <c r="AE35" s="151">
        <f t="shared" si="35"/>
        <v>530550</v>
      </c>
      <c r="AF35" s="144">
        <f t="shared" si="35"/>
        <v>2852741</v>
      </c>
      <c r="AG35" s="153">
        <f t="shared" si="35"/>
        <v>3383291</v>
      </c>
      <c r="AH35" s="151">
        <f t="shared" si="35"/>
        <v>100205136</v>
      </c>
      <c r="AI35" s="144">
        <f t="shared" si="35"/>
        <v>100205936</v>
      </c>
      <c r="AJ35" s="153">
        <f t="shared" si="35"/>
        <v>107704405</v>
      </c>
      <c r="AK35" s="10"/>
      <c r="AL35" s="151">
        <f>SUM(AL36:AL41)</f>
        <v>-2668000</v>
      </c>
      <c r="AM35" s="153">
        <f>SUM(AM36:AM41)</f>
        <v>0</v>
      </c>
      <c r="AN35" s="10"/>
      <c r="AO35" s="428"/>
      <c r="AP35" s="547"/>
      <c r="AQ35" s="363"/>
      <c r="AR35" s="548"/>
      <c r="AS35" s="548"/>
      <c r="AT35" s="548"/>
      <c r="AU35" s="549">
        <f>AR17-AR32</f>
        <v>115784025</v>
      </c>
      <c r="AV35" s="550">
        <f>AS17-AR32</f>
        <v>0</v>
      </c>
      <c r="AW35" s="550" t="s">
        <v>158</v>
      </c>
      <c r="AX35" s="551"/>
      <c r="AY35" s="550">
        <f>AY17+AY32</f>
        <v>-144528634</v>
      </c>
      <c r="AZ35" s="552">
        <f>AZ17+AY32</f>
        <v>-839948483</v>
      </c>
      <c r="BB35" s="514"/>
      <c r="BC35" s="514"/>
      <c r="BD35" s="514"/>
      <c r="BE35" s="514"/>
      <c r="BF35" s="514"/>
      <c r="BR35" s="514"/>
    </row>
    <row r="36" spans="1:70" s="467" customFormat="1" ht="15.75" thickBot="1" x14ac:dyDescent="0.25">
      <c r="A36" s="188" t="str">
        <f>+IF(ENERO!A36=0,"",ENERO!A36)</f>
        <v>1130103-3-1</v>
      </c>
      <c r="B36" s="189" t="str">
        <f>+CONCATENATE("Vigencia ",INSTRUCCIONES!$F$3)</f>
        <v>Vigencia 2014</v>
      </c>
      <c r="C36" s="456">
        <f>+ENERO!C36</f>
        <v>0</v>
      </c>
      <c r="D36" s="456">
        <f>ENERO!D36+FEBRERO!P36</f>
        <v>0</v>
      </c>
      <c r="E36" s="456">
        <f>ENERO!E36+FEBRERO!Q36</f>
        <v>0</v>
      </c>
      <c r="F36" s="170">
        <f t="shared" ref="F36:F41" si="36">SUM(C36:E36)</f>
        <v>0</v>
      </c>
      <c r="G36" s="283">
        <f>ENERO!I36</f>
        <v>0</v>
      </c>
      <c r="H36" s="457">
        <v>0</v>
      </c>
      <c r="I36" s="170">
        <f t="shared" ref="I36:I41" si="37">SUM(G36:H36)</f>
        <v>0</v>
      </c>
      <c r="J36" s="283">
        <f>ENERO!L36</f>
        <v>0</v>
      </c>
      <c r="K36" s="457">
        <v>0</v>
      </c>
      <c r="L36" s="170">
        <f t="shared" ref="L36:L41" si="38">SUM(J36:K36)</f>
        <v>0</v>
      </c>
      <c r="M36" s="283">
        <f t="shared" ref="M36:M41" si="39">F36-I36</f>
        <v>0</v>
      </c>
      <c r="N36" s="170">
        <f t="shared" ref="N36:N41" si="40">F36-L36</f>
        <v>0</v>
      </c>
      <c r="O36" s="10"/>
      <c r="P36" s="455">
        <v>0</v>
      </c>
      <c r="Q36" s="458">
        <v>0</v>
      </c>
      <c r="R36" s="10"/>
      <c r="S36" s="155" t="str">
        <f>+IF(ENERO!S36=0,"",ENERO!S36)</f>
        <v>1010200-1</v>
      </c>
      <c r="T36" s="238" t="str">
        <f>+IF(ENERO!T36=0,"",ENERO!T36)</f>
        <v>Remuneración y Honorarios por Servicios Técnicos y Profesionales</v>
      </c>
      <c r="U36" s="31">
        <f>+ENERO!U36</f>
        <v>16339906</v>
      </c>
      <c r="V36" s="17">
        <f>ENERO!V36+FEBRERO!AL36</f>
        <v>0</v>
      </c>
      <c r="W36" s="17">
        <f>ENERO!W36+FEBRERO!AM36</f>
        <v>0</v>
      </c>
      <c r="X36" s="18">
        <f t="shared" ref="X36:X41" si="41">SUM(U36:W36)</f>
        <v>16339906</v>
      </c>
      <c r="Y36" s="21">
        <f>ENERO!AA36</f>
        <v>0</v>
      </c>
      <c r="Z36" s="457">
        <v>1201873</v>
      </c>
      <c r="AA36" s="20">
        <f t="shared" ref="AA36:AA41" si="42">SUM(Y36:Z36)</f>
        <v>1201873</v>
      </c>
      <c r="AB36" s="21">
        <f>ENERO!AD36</f>
        <v>0</v>
      </c>
      <c r="AC36" s="457">
        <v>1201873</v>
      </c>
      <c r="AD36" s="18">
        <f t="shared" ref="AD36:AD41" si="43">SUM(AB36:AC36)</f>
        <v>1201873</v>
      </c>
      <c r="AE36" s="21">
        <f>ENERO!AG36</f>
        <v>0</v>
      </c>
      <c r="AF36" s="457">
        <v>0</v>
      </c>
      <c r="AG36" s="18">
        <f t="shared" ref="AG36:AG41" si="44">SUM(AE36:AF36)</f>
        <v>0</v>
      </c>
      <c r="AH36" s="21">
        <f t="shared" ref="AH36:AH41" si="45">X36-AA36</f>
        <v>15138033</v>
      </c>
      <c r="AI36" s="17">
        <f t="shared" ref="AI36:AI41" si="46">X36-AD36</f>
        <v>15138033</v>
      </c>
      <c r="AJ36" s="18">
        <f t="shared" ref="AJ36:AJ41" si="47">X36-AG36</f>
        <v>16339906</v>
      </c>
      <c r="AK36" s="10"/>
      <c r="AL36" s="455">
        <v>0</v>
      </c>
      <c r="AM36" s="458">
        <v>0</v>
      </c>
      <c r="AN36" s="10"/>
      <c r="AO36" s="553"/>
      <c r="AP36" s="24"/>
      <c r="AQ36" s="24"/>
      <c r="AR36" s="24"/>
      <c r="AS36" s="24"/>
      <c r="AT36" s="24"/>
      <c r="AU36" s="24"/>
      <c r="AV36" s="24"/>
      <c r="AW36" s="24"/>
      <c r="AX36" s="24"/>
      <c r="AY36" s="24"/>
      <c r="AZ36" s="25"/>
      <c r="BB36" s="514"/>
      <c r="BC36" s="514"/>
      <c r="BD36" s="514"/>
      <c r="BE36" s="514"/>
      <c r="BF36" s="514"/>
      <c r="BR36" s="514"/>
    </row>
    <row r="37" spans="1:70" s="467" customFormat="1" ht="15" x14ac:dyDescent="0.2">
      <c r="A37" s="188" t="str">
        <f>+IF(ENERO!A37=0,"",ENERO!A37)</f>
        <v>1130103-3-2</v>
      </c>
      <c r="B37" s="189" t="str">
        <f>+IF(ENERO!B37=0,"",ENERO!B37)</f>
        <v>Vigencias Anteriores</v>
      </c>
      <c r="C37" s="456">
        <f>+ENERO!C37</f>
        <v>0</v>
      </c>
      <c r="D37" s="456">
        <f>ENERO!D37+FEBRERO!P37</f>
        <v>0</v>
      </c>
      <c r="E37" s="456">
        <f>ENERO!E37+FEBRERO!Q37</f>
        <v>0</v>
      </c>
      <c r="F37" s="170">
        <f t="shared" si="36"/>
        <v>0</v>
      </c>
      <c r="G37" s="283">
        <f>ENERO!I37</f>
        <v>0</v>
      </c>
      <c r="H37" s="457">
        <v>0</v>
      </c>
      <c r="I37" s="170">
        <f t="shared" si="37"/>
        <v>0</v>
      </c>
      <c r="J37" s="283">
        <f>ENERO!L37</f>
        <v>0</v>
      </c>
      <c r="K37" s="457">
        <v>0</v>
      </c>
      <c r="L37" s="170">
        <f t="shared" si="38"/>
        <v>0</v>
      </c>
      <c r="M37" s="283">
        <f t="shared" si="39"/>
        <v>0</v>
      </c>
      <c r="N37" s="170">
        <f t="shared" si="40"/>
        <v>0</v>
      </c>
      <c r="P37" s="455">
        <v>0</v>
      </c>
      <c r="Q37" s="458">
        <v>0</v>
      </c>
      <c r="R37" s="10"/>
      <c r="S37" s="155" t="str">
        <f>+IF(ENERO!S37=0,"",ENERO!S37)</f>
        <v>1010200-2</v>
      </c>
      <c r="T37" s="238" t="str">
        <f>+IF(ENERO!T37=0,"",ENERO!T37)</f>
        <v>Personal Supernumerario</v>
      </c>
      <c r="U37" s="31">
        <f>+ENERO!U37</f>
        <v>10000000</v>
      </c>
      <c r="V37" s="17">
        <f>ENERO!V37+FEBRERO!AL37</f>
        <v>0</v>
      </c>
      <c r="W37" s="17">
        <f>ENERO!W37+FEBRERO!AM37</f>
        <v>0</v>
      </c>
      <c r="X37" s="18">
        <f t="shared" si="41"/>
        <v>10000000</v>
      </c>
      <c r="Y37" s="21">
        <f>ENERO!AA37</f>
        <v>0</v>
      </c>
      <c r="Z37" s="457">
        <v>0</v>
      </c>
      <c r="AA37" s="20">
        <f t="shared" si="42"/>
        <v>0</v>
      </c>
      <c r="AB37" s="21">
        <f>ENERO!AD37</f>
        <v>0</v>
      </c>
      <c r="AC37" s="457">
        <v>0</v>
      </c>
      <c r="AD37" s="18">
        <f t="shared" si="43"/>
        <v>0</v>
      </c>
      <c r="AE37" s="21">
        <f>ENERO!AG37</f>
        <v>0</v>
      </c>
      <c r="AF37" s="457">
        <v>0</v>
      </c>
      <c r="AG37" s="18">
        <f t="shared" si="44"/>
        <v>0</v>
      </c>
      <c r="AH37" s="21">
        <f t="shared" si="45"/>
        <v>10000000</v>
      </c>
      <c r="AI37" s="17">
        <f t="shared" si="46"/>
        <v>10000000</v>
      </c>
      <c r="AJ37" s="18">
        <f t="shared" si="47"/>
        <v>10000000</v>
      </c>
      <c r="AK37" s="10"/>
      <c r="AL37" s="455">
        <v>0</v>
      </c>
      <c r="AM37" s="458">
        <v>0</v>
      </c>
      <c r="AN37" s="10"/>
      <c r="AO37" s="26" t="s">
        <v>161</v>
      </c>
    </row>
    <row r="38" spans="1:70" s="467" customFormat="1" x14ac:dyDescent="0.2">
      <c r="A38" s="706"/>
      <c r="B38" s="707"/>
      <c r="C38" s="709"/>
      <c r="D38" s="709"/>
      <c r="E38" s="709"/>
      <c r="F38" s="710"/>
      <c r="G38" s="711"/>
      <c r="H38" s="712"/>
      <c r="I38" s="710"/>
      <c r="J38" s="711"/>
      <c r="K38" s="712"/>
      <c r="L38" s="710"/>
      <c r="M38" s="711"/>
      <c r="N38" s="710"/>
      <c r="O38" s="713"/>
      <c r="P38" s="708"/>
      <c r="Q38" s="714"/>
      <c r="R38" s="10"/>
      <c r="S38" s="155" t="str">
        <f>+IF(ENERO!S38=0,"",ENERO!S38)</f>
        <v>1010200-3</v>
      </c>
      <c r="T38" s="238" t="str">
        <f>+IF(ENERO!T38=0,"",ENERO!T38)</f>
        <v>Honorarios de la Junta Directiva</v>
      </c>
      <c r="U38" s="31">
        <f>+ENERO!U38</f>
        <v>1098240</v>
      </c>
      <c r="V38" s="17">
        <f>ENERO!V38+FEBRERO!AL38</f>
        <v>0</v>
      </c>
      <c r="W38" s="17">
        <f>ENERO!W38+FEBRERO!AM38</f>
        <v>0</v>
      </c>
      <c r="X38" s="18">
        <f t="shared" si="41"/>
        <v>1098240</v>
      </c>
      <c r="Y38" s="21">
        <f>ENERO!AA38</f>
        <v>530550</v>
      </c>
      <c r="Z38" s="457">
        <v>0</v>
      </c>
      <c r="AA38" s="20">
        <f t="shared" si="42"/>
        <v>530550</v>
      </c>
      <c r="AB38" s="21">
        <f>ENERO!AD38</f>
        <v>530550</v>
      </c>
      <c r="AC38" s="457">
        <v>0</v>
      </c>
      <c r="AD38" s="18">
        <f t="shared" si="43"/>
        <v>530550</v>
      </c>
      <c r="AE38" s="21">
        <f>ENERO!AG38</f>
        <v>530550</v>
      </c>
      <c r="AF38" s="457">
        <v>0</v>
      </c>
      <c r="AG38" s="18">
        <f t="shared" si="44"/>
        <v>530550</v>
      </c>
      <c r="AH38" s="21">
        <f t="shared" si="45"/>
        <v>567690</v>
      </c>
      <c r="AI38" s="17">
        <f t="shared" si="46"/>
        <v>567690</v>
      </c>
      <c r="AJ38" s="18">
        <f t="shared" si="47"/>
        <v>567690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06"/>
      <c r="B39" s="707"/>
      <c r="C39" s="709"/>
      <c r="D39" s="709"/>
      <c r="E39" s="709"/>
      <c r="F39" s="710"/>
      <c r="G39" s="711"/>
      <c r="H39" s="712"/>
      <c r="I39" s="710"/>
      <c r="J39" s="711"/>
      <c r="K39" s="712"/>
      <c r="L39" s="710"/>
      <c r="M39" s="711"/>
      <c r="N39" s="710"/>
      <c r="O39" s="713"/>
      <c r="P39" s="708"/>
      <c r="Q39" s="714"/>
      <c r="R39" s="10"/>
      <c r="S39" s="155" t="str">
        <f>+IF(ENERO!S39=0,"",ENERO!S39)</f>
        <v>1010200-4</v>
      </c>
      <c r="T39" s="238" t="str">
        <f>+IF(ENERO!T39=0,"",ENERO!T39)</f>
        <v>Otros Honorarios (Servicios de Cooperativa)</v>
      </c>
      <c r="U39" s="31">
        <f>+ENERO!U39</f>
        <v>80796809</v>
      </c>
      <c r="V39" s="17">
        <f>ENERO!V39+FEBRERO!AL39</f>
        <v>0</v>
      </c>
      <c r="W39" s="17">
        <f>ENERO!W39+FEBRERO!AM39</f>
        <v>0</v>
      </c>
      <c r="X39" s="18">
        <f t="shared" si="41"/>
        <v>80796809</v>
      </c>
      <c r="Y39" s="21">
        <f>ENERO!AA39</f>
        <v>0</v>
      </c>
      <c r="Z39" s="457">
        <v>6297396</v>
      </c>
      <c r="AA39" s="20">
        <f t="shared" si="42"/>
        <v>6297396</v>
      </c>
      <c r="AB39" s="21">
        <f>ENERO!AD39</f>
        <v>0</v>
      </c>
      <c r="AC39" s="457">
        <v>6296596</v>
      </c>
      <c r="AD39" s="18">
        <f t="shared" si="43"/>
        <v>6296596</v>
      </c>
      <c r="AE39" s="21">
        <f>ENERO!AG39</f>
        <v>0</v>
      </c>
      <c r="AF39" s="457">
        <v>0</v>
      </c>
      <c r="AG39" s="18">
        <f t="shared" si="44"/>
        <v>0</v>
      </c>
      <c r="AH39" s="21">
        <f t="shared" si="45"/>
        <v>74499413</v>
      </c>
      <c r="AI39" s="17">
        <f t="shared" si="46"/>
        <v>74500213</v>
      </c>
      <c r="AJ39" s="18">
        <f t="shared" si="47"/>
        <v>80796809</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06"/>
      <c r="B40" s="707"/>
      <c r="C40" s="709"/>
      <c r="D40" s="709"/>
      <c r="E40" s="709"/>
      <c r="F40" s="710"/>
      <c r="G40" s="711"/>
      <c r="H40" s="712"/>
      <c r="I40" s="710"/>
      <c r="J40" s="711"/>
      <c r="K40" s="712"/>
      <c r="L40" s="710"/>
      <c r="M40" s="711"/>
      <c r="N40" s="710"/>
      <c r="O40" s="713"/>
      <c r="P40" s="708"/>
      <c r="Q40" s="714"/>
      <c r="R40" s="10"/>
      <c r="S40" s="155" t="str">
        <f>+IF(ENERO!S40=0,"",ENERO!S40)</f>
        <v>1010200-6</v>
      </c>
      <c r="T40" s="238" t="str">
        <f>+IF(ENERO!T40=0,"",ENERO!T40)</f>
        <v>Certificación, Habilitación y Acreditación</v>
      </c>
      <c r="U40" s="31">
        <f>+ENERO!U40</f>
        <v>0</v>
      </c>
      <c r="V40" s="17">
        <f>ENERO!V40+FEBRERO!AL40</f>
        <v>0</v>
      </c>
      <c r="W40" s="17">
        <f>ENERO!W40+FEBRERO!AM40</f>
        <v>0</v>
      </c>
      <c r="X40" s="18">
        <f t="shared" si="41"/>
        <v>0</v>
      </c>
      <c r="Y40" s="21">
        <f>ENERO!AA40</f>
        <v>0</v>
      </c>
      <c r="Z40" s="457">
        <v>0</v>
      </c>
      <c r="AA40" s="20">
        <f t="shared" si="42"/>
        <v>0</v>
      </c>
      <c r="AB40" s="21">
        <f>ENERO!AD40</f>
        <v>0</v>
      </c>
      <c r="AC40" s="457">
        <v>0</v>
      </c>
      <c r="AD40" s="18">
        <f t="shared" si="43"/>
        <v>0</v>
      </c>
      <c r="AE40" s="21">
        <f>ENERO!AG40</f>
        <v>0</v>
      </c>
      <c r="AF40" s="457">
        <v>0</v>
      </c>
      <c r="AG40" s="18">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+IF(ENERO!A41=0,"",ENERO!A41)</f>
        <v>1130104</v>
      </c>
      <c r="B41" s="45" t="str">
        <f>+IF(ENERO!B41=0,"",ENERO!B41)</f>
        <v>SUBSIDIO A LA OFERTA- ACTIVIDADES NO POS-S</v>
      </c>
      <c r="C41" s="27">
        <f>+ENERO!C41</f>
        <v>0</v>
      </c>
      <c r="D41" s="27">
        <f>ENERO!D41+FEBRERO!P41</f>
        <v>0</v>
      </c>
      <c r="E41" s="27">
        <f>ENERO!E41+FEBRERO!Q41</f>
        <v>0</v>
      </c>
      <c r="F41" s="28">
        <f t="shared" si="36"/>
        <v>0</v>
      </c>
      <c r="G41" s="31">
        <f>ENERO!I41</f>
        <v>0</v>
      </c>
      <c r="H41" s="457">
        <v>0</v>
      </c>
      <c r="I41" s="28">
        <f t="shared" si="37"/>
        <v>0</v>
      </c>
      <c r="J41" s="31">
        <f>ENERO!L41</f>
        <v>0</v>
      </c>
      <c r="K41" s="457">
        <v>0</v>
      </c>
      <c r="L41" s="28">
        <f t="shared" si="38"/>
        <v>0</v>
      </c>
      <c r="M41" s="31">
        <f t="shared" si="39"/>
        <v>0</v>
      </c>
      <c r="N41" s="28">
        <f t="shared" si="40"/>
        <v>0</v>
      </c>
      <c r="O41" s="467"/>
      <c r="P41" s="455">
        <v>0</v>
      </c>
      <c r="Q41" s="458">
        <v>0</v>
      </c>
      <c r="R41" s="10"/>
      <c r="S41" s="155">
        <f>+IF(ENERO!S41=0,"",ENERO!S41)</f>
        <v>1010299</v>
      </c>
      <c r="T41" s="238" t="str">
        <f>+IF(ENERO!T41=0,"",ENERO!T41)</f>
        <v>Vigencias Anteriores</v>
      </c>
      <c r="U41" s="31">
        <f>+ENERO!U41</f>
        <v>5520741</v>
      </c>
      <c r="V41" s="17">
        <f>ENERO!V41+FEBRERO!AL41</f>
        <v>-2668000</v>
      </c>
      <c r="W41" s="17">
        <f>ENERO!W41+FEBRERO!AM41</f>
        <v>0</v>
      </c>
      <c r="X41" s="18">
        <f t="shared" si="41"/>
        <v>2852741</v>
      </c>
      <c r="Y41" s="21">
        <f>ENERO!AA41</f>
        <v>2852741</v>
      </c>
      <c r="Z41" s="457">
        <v>0</v>
      </c>
      <c r="AA41" s="20">
        <f t="shared" si="42"/>
        <v>2852741</v>
      </c>
      <c r="AB41" s="21">
        <f>ENERO!AD41</f>
        <v>2852741</v>
      </c>
      <c r="AC41" s="457">
        <v>0</v>
      </c>
      <c r="AD41" s="18">
        <f t="shared" si="43"/>
        <v>2852741</v>
      </c>
      <c r="AE41" s="21">
        <f>ENERO!AG41</f>
        <v>0</v>
      </c>
      <c r="AF41" s="457">
        <v>2852741</v>
      </c>
      <c r="AG41" s="18">
        <f t="shared" si="44"/>
        <v>2852741</v>
      </c>
      <c r="AH41" s="21">
        <f t="shared" si="45"/>
        <v>0</v>
      </c>
      <c r="AI41" s="17">
        <f t="shared" si="46"/>
        <v>0</v>
      </c>
      <c r="AJ41" s="18">
        <f t="shared" si="47"/>
        <v>0</v>
      </c>
      <c r="AK41" s="10"/>
      <c r="AL41" s="455">
        <v>-2668000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+IF(ENERO!A42=0,"",ENERO!A42)</f>
        <v>1130106</v>
      </c>
      <c r="B42" s="45" t="str">
        <f>+IF(ENERO!B42=0,"",ENERO!B42)</f>
        <v>SALUD PUBLICA - PLAN DE INTERVENCIONES COLECTIVAS</v>
      </c>
      <c r="C42" s="53">
        <f t="shared" ref="C42:N42" si="48">SUM(C43:C44)</f>
        <v>125397398</v>
      </c>
      <c r="D42" s="53">
        <f t="shared" si="48"/>
        <v>0</v>
      </c>
      <c r="E42" s="53">
        <f t="shared" si="48"/>
        <v>0</v>
      </c>
      <c r="F42" s="54">
        <f t="shared" si="48"/>
        <v>125397398</v>
      </c>
      <c r="G42" s="52">
        <f t="shared" si="48"/>
        <v>0</v>
      </c>
      <c r="H42" s="53">
        <f t="shared" si="48"/>
        <v>0</v>
      </c>
      <c r="I42" s="54">
        <f t="shared" si="48"/>
        <v>0</v>
      </c>
      <c r="J42" s="52">
        <f t="shared" si="48"/>
        <v>0</v>
      </c>
      <c r="K42" s="53">
        <f t="shared" si="48"/>
        <v>0</v>
      </c>
      <c r="L42" s="54">
        <f t="shared" si="48"/>
        <v>0</v>
      </c>
      <c r="M42" s="52">
        <f t="shared" si="48"/>
        <v>125397398</v>
      </c>
      <c r="N42" s="54">
        <f t="shared" si="48"/>
        <v>125397398</v>
      </c>
      <c r="P42" s="52">
        <f>SUM(P43:P44)</f>
        <v>0</v>
      </c>
      <c r="Q42" s="54">
        <f>SUM(Q43:Q44)</f>
        <v>0</v>
      </c>
      <c r="R42" s="10"/>
      <c r="S42" s="448" t="str">
        <f>+IF(ENERO!S42=0,"",ENERO!S42)</f>
        <v/>
      </c>
      <c r="T42" s="649" t="str">
        <f>+IF(ENERO!T42=0,"",ENERO!T42)</f>
        <v/>
      </c>
      <c r="U42" s="450"/>
      <c r="V42" s="193"/>
      <c r="W42" s="193"/>
      <c r="X42" s="207"/>
      <c r="Y42" s="450"/>
      <c r="Z42" s="193"/>
      <c r="AA42" s="193"/>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R42" s="514"/>
    </row>
    <row r="43" spans="1:70" s="514" customFormat="1" ht="15" x14ac:dyDescent="0.2">
      <c r="A43" s="188" t="str">
        <f>+IF(ENERO!A43=0,"",ENERO!A43)</f>
        <v>1130106-1</v>
      </c>
      <c r="B43" s="189" t="str">
        <f>+CONCATENATE("Vigencia ",INSTRUCCIONES!$F$3)</f>
        <v>Vigencia 2014</v>
      </c>
      <c r="C43" s="456">
        <f>+ENERO!C43</f>
        <v>125397398</v>
      </c>
      <c r="D43" s="456">
        <f>ENERO!D43+FEBRERO!P43</f>
        <v>0</v>
      </c>
      <c r="E43" s="456">
        <f>ENERO!E43+FEBRERO!Q43</f>
        <v>0</v>
      </c>
      <c r="F43" s="170">
        <f>SUM(C43:E43)</f>
        <v>125397398</v>
      </c>
      <c r="G43" s="283">
        <f>ENERO!I43</f>
        <v>0</v>
      </c>
      <c r="H43" s="457">
        <v>0</v>
      </c>
      <c r="I43" s="170">
        <f>SUM(G43:H43)</f>
        <v>0</v>
      </c>
      <c r="J43" s="283">
        <f>ENERO!L43</f>
        <v>0</v>
      </c>
      <c r="K43" s="457">
        <v>0</v>
      </c>
      <c r="L43" s="170">
        <f>SUM(J43:K43)</f>
        <v>0</v>
      </c>
      <c r="M43" s="283">
        <f>F43-I43</f>
        <v>125397398</v>
      </c>
      <c r="N43" s="170">
        <f>F43-L43</f>
        <v>125397398</v>
      </c>
      <c r="O43" s="467"/>
      <c r="P43" s="455">
        <v>0</v>
      </c>
      <c r="Q43" s="458">
        <v>0</v>
      </c>
      <c r="R43" s="10"/>
      <c r="S43" s="34">
        <f>+IF(ENERO!S43=0,"",ENERO!S43)</f>
        <v>1010300</v>
      </c>
      <c r="T43" s="237" t="str">
        <f>+IF(ENERO!T43=0,"",ENERO!T43)</f>
        <v>Contribuciones Inherentes nómina al Sector Privado</v>
      </c>
      <c r="U43" s="151">
        <f t="shared" ref="U43:AJ43" si="49">U44+U49+U55</f>
        <v>119647956</v>
      </c>
      <c r="V43" s="144">
        <f t="shared" si="49"/>
        <v>487148</v>
      </c>
      <c r="W43" s="144">
        <f t="shared" si="49"/>
        <v>0</v>
      </c>
      <c r="X43" s="153">
        <f t="shared" si="49"/>
        <v>120135104</v>
      </c>
      <c r="Y43" s="151">
        <f t="shared" si="49"/>
        <v>8118248</v>
      </c>
      <c r="Z43" s="144">
        <f t="shared" si="49"/>
        <v>33634202</v>
      </c>
      <c r="AA43" s="152">
        <f t="shared" si="49"/>
        <v>41752450</v>
      </c>
      <c r="AB43" s="151">
        <f t="shared" si="49"/>
        <v>8118248</v>
      </c>
      <c r="AC43" s="144">
        <f t="shared" si="49"/>
        <v>33634202</v>
      </c>
      <c r="AD43" s="153">
        <f t="shared" si="49"/>
        <v>41752450</v>
      </c>
      <c r="AE43" s="151">
        <f t="shared" si="49"/>
        <v>2721400</v>
      </c>
      <c r="AF43" s="144">
        <f t="shared" si="49"/>
        <v>33463082</v>
      </c>
      <c r="AG43" s="153">
        <f t="shared" si="49"/>
        <v>36184482</v>
      </c>
      <c r="AH43" s="151">
        <f t="shared" si="49"/>
        <v>78382654</v>
      </c>
      <c r="AI43" s="144">
        <f t="shared" si="49"/>
        <v>78382654</v>
      </c>
      <c r="AJ43" s="153">
        <f t="shared" si="49"/>
        <v>83950622</v>
      </c>
      <c r="AK43" s="10"/>
      <c r="AL43" s="151">
        <f>AL44+AL49+AL55</f>
        <v>487148</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row>
    <row r="44" spans="1:70" s="514" customFormat="1" ht="15" x14ac:dyDescent="0.2">
      <c r="A44" s="188" t="str">
        <f>+IF(ENERO!A44=0,"",ENERO!A44)</f>
        <v>1130106-2</v>
      </c>
      <c r="B44" s="189" t="str">
        <f>+IF(ENERO!B44=0,"",ENERO!B44)</f>
        <v>Vigencias Anteriores</v>
      </c>
      <c r="C44" s="456">
        <f>+ENERO!C44</f>
        <v>0</v>
      </c>
      <c r="D44" s="456">
        <f>ENERO!D44+FEBRERO!P44</f>
        <v>0</v>
      </c>
      <c r="E44" s="456">
        <f>ENERO!E44+FEBRERO!Q44</f>
        <v>0</v>
      </c>
      <c r="F44" s="170">
        <f>SUM(C44:E44)</f>
        <v>0</v>
      </c>
      <c r="G44" s="283">
        <f>ENERO!I44</f>
        <v>0</v>
      </c>
      <c r="H44" s="457">
        <v>0</v>
      </c>
      <c r="I44" s="170">
        <f>SUM(G44:H44)</f>
        <v>0</v>
      </c>
      <c r="J44" s="283">
        <f>ENERO!L44</f>
        <v>0</v>
      </c>
      <c r="K44" s="457">
        <v>0</v>
      </c>
      <c r="L44" s="170">
        <f>SUM(J44:K44)</f>
        <v>0</v>
      </c>
      <c r="M44" s="283">
        <f>F44-I44</f>
        <v>0</v>
      </c>
      <c r="N44" s="170">
        <f>F44-L44</f>
        <v>0</v>
      </c>
      <c r="O44" s="467"/>
      <c r="P44" s="455">
        <v>0</v>
      </c>
      <c r="Q44" s="458">
        <v>0</v>
      </c>
      <c r="R44" s="10"/>
      <c r="S44" s="155">
        <f>+IF(ENERO!S44=0,"",ENERO!S44)</f>
        <v>1010301</v>
      </c>
      <c r="T44" s="238" t="str">
        <f>+IF(ENERO!T44=0,"",ENERO!T44)</f>
        <v>Contribuciones - Sin Situación de Fondos</v>
      </c>
      <c r="U44" s="31">
        <f t="shared" ref="U44:AJ44" si="50">SUM(U45:U48)</f>
        <v>56401928</v>
      </c>
      <c r="V44" s="17">
        <f t="shared" si="50"/>
        <v>0</v>
      </c>
      <c r="W44" s="17">
        <f t="shared" si="50"/>
        <v>0</v>
      </c>
      <c r="X44" s="18">
        <f t="shared" si="50"/>
        <v>56401928</v>
      </c>
      <c r="Y44" s="21">
        <f t="shared" si="50"/>
        <v>2721400</v>
      </c>
      <c r="Z44" s="169">
        <f t="shared" si="50"/>
        <v>2644625</v>
      </c>
      <c r="AA44" s="20">
        <f t="shared" si="50"/>
        <v>5366025</v>
      </c>
      <c r="AB44" s="21">
        <f t="shared" si="50"/>
        <v>2721400</v>
      </c>
      <c r="AC44" s="169">
        <f t="shared" si="50"/>
        <v>2644625</v>
      </c>
      <c r="AD44" s="18">
        <f t="shared" si="50"/>
        <v>5366025</v>
      </c>
      <c r="AE44" s="21">
        <f t="shared" si="50"/>
        <v>2721400</v>
      </c>
      <c r="AF44" s="169">
        <f t="shared" si="50"/>
        <v>2644625</v>
      </c>
      <c r="AG44" s="18">
        <f t="shared" si="50"/>
        <v>5366025</v>
      </c>
      <c r="AH44" s="21">
        <f t="shared" si="50"/>
        <v>51035903</v>
      </c>
      <c r="AI44" s="17">
        <f t="shared" si="50"/>
        <v>51035903</v>
      </c>
      <c r="AJ44" s="18">
        <f t="shared" si="50"/>
        <v>51035903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+IF(ENERO!A45=0,"",ENERO!A45)</f>
        <v>1130107</v>
      </c>
      <c r="B45" s="45" t="str">
        <f>+IF(ENERO!B45=0,"",ENERO!B45)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+IF(ENERO!S45=0,"",ENERO!S45)</f>
        <v>1010301-1</v>
      </c>
      <c r="T45" s="251" t="str">
        <f>+IF(ENERO!T45=0,"",ENERO!T45)</f>
        <v>Aportes a E.P.S.- Sin sit. Fondos</v>
      </c>
      <c r="U45" s="31">
        <f>+ENERO!U45</f>
        <v>24712429</v>
      </c>
      <c r="V45" s="17">
        <f>ENERO!V45+FEBRERO!AL45</f>
        <v>0</v>
      </c>
      <c r="W45" s="17">
        <f>ENERO!W45+FEBRERO!AM45</f>
        <v>0</v>
      </c>
      <c r="X45" s="18">
        <f>SUM(U45:W45)</f>
        <v>24712429</v>
      </c>
      <c r="Y45" s="21">
        <f>ENERO!AA45</f>
        <v>1128400</v>
      </c>
      <c r="Z45" s="457">
        <v>1147925</v>
      </c>
      <c r="AA45" s="20">
        <f>SUM(Y45:Z45)</f>
        <v>2276325</v>
      </c>
      <c r="AB45" s="21">
        <f>ENERO!AD45</f>
        <v>1128400</v>
      </c>
      <c r="AC45" s="457">
        <v>1147925</v>
      </c>
      <c r="AD45" s="18">
        <f>SUM(AB45:AC45)</f>
        <v>2276325</v>
      </c>
      <c r="AE45" s="21">
        <f>ENERO!AG45</f>
        <v>1128400</v>
      </c>
      <c r="AF45" s="457">
        <v>1147925</v>
      </c>
      <c r="AG45" s="18">
        <f>SUM(AE45:AF45)</f>
        <v>2276325</v>
      </c>
      <c r="AH45" s="21">
        <f>X45-AA45</f>
        <v>22436104</v>
      </c>
      <c r="AI45" s="17">
        <f>X45-AD45</f>
        <v>22436104</v>
      </c>
      <c r="AJ45" s="18">
        <f>X45-AG45</f>
        <v>22436104</v>
      </c>
      <c r="AK45" s="10"/>
      <c r="AL45" s="455">
        <v>0</v>
      </c>
      <c r="AM45" s="458">
        <v>0</v>
      </c>
      <c r="AN45" s="10"/>
      <c r="AO45" s="365"/>
      <c r="AP45" s="365"/>
      <c r="AQ45" s="365"/>
      <c r="AR45" s="365"/>
      <c r="AS45" s="365"/>
      <c r="AT45" s="365"/>
      <c r="AU45" s="365"/>
      <c r="AV45" s="365"/>
      <c r="AW45" s="365"/>
      <c r="AX45" s="365"/>
      <c r="AY45" s="365"/>
      <c r="AZ45" s="365"/>
      <c r="BR45" s="514"/>
    </row>
    <row r="46" spans="1:70" s="514" customFormat="1" ht="15" x14ac:dyDescent="0.2">
      <c r="A46" s="188" t="str">
        <f>+IF(ENERO!A46=0,"",ENERO!A46)</f>
        <v>1130107-1</v>
      </c>
      <c r="B46" s="189" t="str">
        <f>+CONCATENATE("Vigencia ",INSTRUCCIONES!$F$3)</f>
        <v>Vigencia 2014</v>
      </c>
      <c r="C46" s="456">
        <f>+ENERO!C46</f>
        <v>0</v>
      </c>
      <c r="D46" s="456">
        <f>ENERO!D46+FEBRERO!P46</f>
        <v>0</v>
      </c>
      <c r="E46" s="456">
        <f>ENERO!E46+FEBRERO!Q46</f>
        <v>0</v>
      </c>
      <c r="F46" s="170">
        <f>SUM(C46:E46)</f>
        <v>0</v>
      </c>
      <c r="G46" s="283">
        <f>ENERO!I46</f>
        <v>0</v>
      </c>
      <c r="H46" s="457">
        <v>0</v>
      </c>
      <c r="I46" s="170">
        <f>SUM(G46:H46)</f>
        <v>0</v>
      </c>
      <c r="J46" s="283">
        <f>ENERO!L46</f>
        <v>0</v>
      </c>
      <c r="K46" s="457">
        <v>0</v>
      </c>
      <c r="L46" s="170">
        <f>SUM(J46:K46)</f>
        <v>0</v>
      </c>
      <c r="M46" s="283">
        <f>F46-I46</f>
        <v>0</v>
      </c>
      <c r="N46" s="170">
        <f>F46-L46</f>
        <v>0</v>
      </c>
      <c r="O46" s="467"/>
      <c r="P46" s="455">
        <v>0</v>
      </c>
      <c r="Q46" s="458">
        <v>0</v>
      </c>
      <c r="R46" s="10"/>
      <c r="S46" s="156" t="str">
        <f>+IF(ENERO!S46=0,"",ENERO!S46)</f>
        <v>1010301-2</v>
      </c>
      <c r="T46" s="251" t="str">
        <f>+IF(ENERO!T46=0,"",ENERO!T46)</f>
        <v>Aportes Fondos Pensionales - Sin Sit. Fondos</v>
      </c>
      <c r="U46" s="31">
        <f>+ENERO!U46</f>
        <v>26693987</v>
      </c>
      <c r="V46" s="17">
        <f>ENERO!V46+FEBRERO!AL46</f>
        <v>0</v>
      </c>
      <c r="W46" s="17">
        <f>ENERO!W46+FEBRERO!AM46</f>
        <v>0</v>
      </c>
      <c r="X46" s="18">
        <f>SUM(U46:W46)</f>
        <v>26693987</v>
      </c>
      <c r="Y46" s="21">
        <f>ENERO!AA46</f>
        <v>1593000</v>
      </c>
      <c r="Z46" s="457">
        <v>1496700</v>
      </c>
      <c r="AA46" s="20">
        <f>SUM(Y46:Z46)</f>
        <v>3089700</v>
      </c>
      <c r="AB46" s="21">
        <f>ENERO!AD46</f>
        <v>1593000</v>
      </c>
      <c r="AC46" s="457">
        <v>1496700</v>
      </c>
      <c r="AD46" s="18">
        <f>SUM(AB46:AC46)</f>
        <v>3089700</v>
      </c>
      <c r="AE46" s="21">
        <f>ENERO!AG46</f>
        <v>1593000</v>
      </c>
      <c r="AF46" s="457">
        <v>1496700</v>
      </c>
      <c r="AG46" s="18">
        <f>SUM(AE46:AF46)</f>
        <v>3089700</v>
      </c>
      <c r="AH46" s="21">
        <f>X46-AA46</f>
        <v>23604287</v>
      </c>
      <c r="AI46" s="17">
        <f>X46-AD46</f>
        <v>23604287</v>
      </c>
      <c r="AJ46" s="18">
        <f>X46-AG46</f>
        <v>23604287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+IF(ENERO!A47=0,"",ENERO!A47)</f>
        <v>1130107-2</v>
      </c>
      <c r="B47" s="189" t="str">
        <f>+IF(ENERO!B47=0,"",ENERO!B47)</f>
        <v>Vigencias Anteriores</v>
      </c>
      <c r="C47" s="456">
        <f>+ENERO!C47</f>
        <v>0</v>
      </c>
      <c r="D47" s="456">
        <f>ENERO!D47+FEBRERO!P47</f>
        <v>0</v>
      </c>
      <c r="E47" s="456">
        <f>ENERO!E47+FEBRERO!Q47</f>
        <v>0</v>
      </c>
      <c r="F47" s="170">
        <f>SUM(C47:E47)</f>
        <v>0</v>
      </c>
      <c r="G47" s="283">
        <f>ENERO!I47</f>
        <v>0</v>
      </c>
      <c r="H47" s="457">
        <v>0</v>
      </c>
      <c r="I47" s="170">
        <f>SUM(G47:H47)</f>
        <v>0</v>
      </c>
      <c r="J47" s="283">
        <f>ENERO!L47</f>
        <v>0</v>
      </c>
      <c r="K47" s="457">
        <v>0</v>
      </c>
      <c r="L47" s="170">
        <f>SUM(J47:K47)</f>
        <v>0</v>
      </c>
      <c r="M47" s="283">
        <f>F47-I47</f>
        <v>0</v>
      </c>
      <c r="N47" s="170">
        <f>F47-L47</f>
        <v>0</v>
      </c>
      <c r="O47" s="467"/>
      <c r="P47" s="455">
        <v>0</v>
      </c>
      <c r="Q47" s="458">
        <v>0</v>
      </c>
      <c r="R47" s="10"/>
      <c r="S47" s="156" t="str">
        <f>+IF(ENERO!S47=0,"",ENERO!S47)</f>
        <v>1010301-3</v>
      </c>
      <c r="T47" s="251" t="str">
        <f>+IF(ENERO!T47=0,"",ENERO!T47)</f>
        <v xml:space="preserve">Aportes a Fondos de Cesantia - Sin Sit. de Fondos </v>
      </c>
      <c r="U47" s="31">
        <f>+ENERO!U47</f>
        <v>4995512</v>
      </c>
      <c r="V47" s="17">
        <f>ENERO!V47+FEBRERO!AL47</f>
        <v>0</v>
      </c>
      <c r="W47" s="17">
        <f>ENERO!W47+FEBRERO!AM47</f>
        <v>0</v>
      </c>
      <c r="X47" s="18">
        <f>SUM(U47:W47)</f>
        <v>4995512</v>
      </c>
      <c r="Y47" s="21">
        <f>ENERO!AA47</f>
        <v>0</v>
      </c>
      <c r="Z47" s="457">
        <v>0</v>
      </c>
      <c r="AA47" s="20">
        <f>SUM(Y47:Z47)</f>
        <v>0</v>
      </c>
      <c r="AB47" s="21">
        <f>ENERO!AD47</f>
        <v>0</v>
      </c>
      <c r="AC47" s="457">
        <v>0</v>
      </c>
      <c r="AD47" s="18">
        <f>SUM(AB47:AC47)</f>
        <v>0</v>
      </c>
      <c r="AE47" s="21">
        <f>ENERO!AG47</f>
        <v>0</v>
      </c>
      <c r="AF47" s="457">
        <v>0</v>
      </c>
      <c r="AG47" s="18">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+IF(ENERO!A48=0,"",ENERO!A48)</f>
        <v>1130108</v>
      </c>
      <c r="B48" s="45" t="str">
        <f>+IF(ENERO!B48=0,"",ENERO!B48)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+IF(ENERO!S48=0,"",ENERO!S48)</f>
        <v>1010301-4</v>
      </c>
      <c r="T48" s="251" t="str">
        <f>+IF(ENERO!T48=0,"",ENERO!T48)</f>
        <v xml:space="preserve">Aporte a ARL. - Sin Sit. de Fondos </v>
      </c>
      <c r="U48" s="31">
        <f>+ENERO!U48</f>
        <v>0</v>
      </c>
      <c r="V48" s="17">
        <f>ENERO!V48+FEBRERO!AL48</f>
        <v>0</v>
      </c>
      <c r="W48" s="17">
        <f>ENERO!W48+FEBRERO!AM48</f>
        <v>0</v>
      </c>
      <c r="X48" s="18">
        <f>SUM(U48:W48)</f>
        <v>0</v>
      </c>
      <c r="Y48" s="21">
        <f>ENERO!AA48</f>
        <v>0</v>
      </c>
      <c r="Z48" s="457">
        <v>0</v>
      </c>
      <c r="AA48" s="20">
        <f>SUM(Y48:Z48)</f>
        <v>0</v>
      </c>
      <c r="AB48" s="21">
        <f>ENERO!AD48</f>
        <v>0</v>
      </c>
      <c r="AC48" s="457">
        <v>0</v>
      </c>
      <c r="AD48" s="18">
        <f>SUM(AB48:AC48)</f>
        <v>0</v>
      </c>
      <c r="AE48" s="21">
        <f>ENERO!AG48</f>
        <v>0</v>
      </c>
      <c r="AF48" s="457">
        <v>0</v>
      </c>
      <c r="AG48" s="18">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c r="BR48" s="514"/>
    </row>
    <row r="49" spans="1:70" s="514" customFormat="1" ht="15" x14ac:dyDescent="0.2">
      <c r="A49" s="188" t="str">
        <f>+IF(ENERO!A49=0,"",ENERO!A49)</f>
        <v>1130108-1</v>
      </c>
      <c r="B49" s="189" t="str">
        <f>+CONCATENATE("Vigencia ",INSTRUCCIONES!$F$3)</f>
        <v>Vigencia 2014</v>
      </c>
      <c r="C49" s="456">
        <f>+ENERO!C49</f>
        <v>0</v>
      </c>
      <c r="D49" s="456">
        <f>ENERO!D49+FEBRERO!P49</f>
        <v>0</v>
      </c>
      <c r="E49" s="456">
        <f>ENERO!E49+FEBRERO!Q49</f>
        <v>0</v>
      </c>
      <c r="F49" s="170">
        <f>SUM(C49:E49)</f>
        <v>0</v>
      </c>
      <c r="G49" s="283">
        <f>ENERO!I49</f>
        <v>0</v>
      </c>
      <c r="H49" s="457">
        <v>0</v>
      </c>
      <c r="I49" s="170">
        <f>SUM(G49:H49)</f>
        <v>0</v>
      </c>
      <c r="J49" s="283">
        <f>ENERO!L49</f>
        <v>0</v>
      </c>
      <c r="K49" s="457">
        <v>0</v>
      </c>
      <c r="L49" s="170">
        <f>SUM(J49:K49)</f>
        <v>0</v>
      </c>
      <c r="M49" s="283">
        <f>F49-I49</f>
        <v>0</v>
      </c>
      <c r="N49" s="170">
        <f>F49-L49</f>
        <v>0</v>
      </c>
      <c r="O49" s="467"/>
      <c r="P49" s="455">
        <v>0</v>
      </c>
      <c r="Q49" s="458">
        <v>0</v>
      </c>
      <c r="R49" s="10"/>
      <c r="S49" s="155">
        <f>+IF(ENERO!S49=0,"",ENERO!S49)</f>
        <v>1010302</v>
      </c>
      <c r="T49" s="238" t="str">
        <f>+IF(ENERO!T49=0,"",ENERO!T49)</f>
        <v>Contribuciones - Otros</v>
      </c>
      <c r="U49" s="31">
        <f t="shared" ref="U49:AJ49" si="53">SUM(U50:U54)</f>
        <v>63246028</v>
      </c>
      <c r="V49" s="17">
        <f t="shared" si="53"/>
        <v>0</v>
      </c>
      <c r="W49" s="17">
        <f t="shared" si="53"/>
        <v>0</v>
      </c>
      <c r="X49" s="18">
        <f t="shared" si="53"/>
        <v>63246028</v>
      </c>
      <c r="Y49" s="21">
        <f t="shared" si="53"/>
        <v>4909700</v>
      </c>
      <c r="Z49" s="169">
        <f t="shared" si="53"/>
        <v>30989577</v>
      </c>
      <c r="AA49" s="20">
        <f t="shared" si="53"/>
        <v>35899277</v>
      </c>
      <c r="AB49" s="21">
        <f t="shared" si="53"/>
        <v>4909700</v>
      </c>
      <c r="AC49" s="169">
        <f t="shared" si="53"/>
        <v>30989577</v>
      </c>
      <c r="AD49" s="18">
        <f t="shared" si="53"/>
        <v>35899277</v>
      </c>
      <c r="AE49" s="21">
        <f t="shared" si="53"/>
        <v>0</v>
      </c>
      <c r="AF49" s="169">
        <f t="shared" si="53"/>
        <v>30818457</v>
      </c>
      <c r="AG49" s="18">
        <f t="shared" si="53"/>
        <v>30818457</v>
      </c>
      <c r="AH49" s="21">
        <f t="shared" si="53"/>
        <v>27346751</v>
      </c>
      <c r="AI49" s="17">
        <f t="shared" si="53"/>
        <v>27346751</v>
      </c>
      <c r="AJ49" s="18">
        <f t="shared" si="53"/>
        <v>32427571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row>
    <row r="50" spans="1:70" s="514" customFormat="1" ht="15" x14ac:dyDescent="0.2">
      <c r="A50" s="188" t="str">
        <f>+IF(ENERO!A50=0,"",ENERO!A50)</f>
        <v>1130108-2</v>
      </c>
      <c r="B50" s="189" t="str">
        <f>+IF(ENERO!B50=0,"",ENERO!B50)</f>
        <v>Vigencias Anteriores</v>
      </c>
      <c r="C50" s="456">
        <f>+ENERO!C50</f>
        <v>0</v>
      </c>
      <c r="D50" s="456">
        <f>ENERO!D50+FEBRERO!P50</f>
        <v>0</v>
      </c>
      <c r="E50" s="456">
        <f>ENERO!E50+FEBRERO!Q50</f>
        <v>0</v>
      </c>
      <c r="F50" s="170">
        <f>SUM(C50:E50)</f>
        <v>0</v>
      </c>
      <c r="G50" s="283">
        <f>ENERO!I50</f>
        <v>0</v>
      </c>
      <c r="H50" s="457">
        <v>0</v>
      </c>
      <c r="I50" s="170">
        <f>SUM(G50:H50)</f>
        <v>0</v>
      </c>
      <c r="J50" s="283">
        <f>ENERO!L50</f>
        <v>0</v>
      </c>
      <c r="K50" s="457">
        <v>0</v>
      </c>
      <c r="L50" s="170">
        <f>SUM(J50:K50)</f>
        <v>0</v>
      </c>
      <c r="M50" s="283">
        <f>F50-I50</f>
        <v>0</v>
      </c>
      <c r="N50" s="170">
        <f>F50-L50</f>
        <v>0</v>
      </c>
      <c r="O50" s="467"/>
      <c r="P50" s="455">
        <v>0</v>
      </c>
      <c r="Q50" s="458">
        <v>0</v>
      </c>
      <c r="R50" s="10"/>
      <c r="S50" s="156" t="str">
        <f>+IF(ENERO!S50=0,"",ENERO!S50)</f>
        <v>1010302-1</v>
      </c>
      <c r="T50" s="251" t="str">
        <f>+IF(ENERO!T50=0,"",ENERO!T50)</f>
        <v>Aportes a E.P.S.- Con sit. Fondos</v>
      </c>
      <c r="U50" s="31">
        <f>+ENERO!U50</f>
        <v>4719263</v>
      </c>
      <c r="V50" s="17">
        <f>ENERO!V50+FEBRERO!AL50</f>
        <v>0</v>
      </c>
      <c r="W50" s="17">
        <f>ENERO!W50+FEBRERO!AM50</f>
        <v>0</v>
      </c>
      <c r="X50" s="18">
        <f t="shared" ref="X50:X55" si="54">SUM(U50:W50)</f>
        <v>4719263</v>
      </c>
      <c r="Y50" s="21">
        <f>ENERO!AA50</f>
        <v>1465100</v>
      </c>
      <c r="Z50" s="457">
        <v>1430960</v>
      </c>
      <c r="AA50" s="20">
        <f t="shared" ref="AA50:AA55" si="55">SUM(Y50:Z50)</f>
        <v>2896060</v>
      </c>
      <c r="AB50" s="21">
        <f>ENERO!AD50</f>
        <v>1465100</v>
      </c>
      <c r="AC50" s="457">
        <v>1430960</v>
      </c>
      <c r="AD50" s="18">
        <f t="shared" ref="AD50:AD55" si="56">SUM(AB50:AC50)</f>
        <v>2896060</v>
      </c>
      <c r="AE50" s="21">
        <f>ENERO!AG50</f>
        <v>0</v>
      </c>
      <c r="AF50" s="457">
        <v>1465100</v>
      </c>
      <c r="AG50" s="18">
        <f t="shared" ref="AG50:AG55" si="57">SUM(AE50:AF50)</f>
        <v>1465100</v>
      </c>
      <c r="AH50" s="21">
        <f t="shared" ref="AH50:AH55" si="58">X50-AA50</f>
        <v>1823203</v>
      </c>
      <c r="AI50" s="17">
        <f t="shared" ref="AI50:AI55" si="59">X50-AD50</f>
        <v>1823203</v>
      </c>
      <c r="AJ50" s="18">
        <f t="shared" ref="AJ50:AJ55" si="60">X50-AG50</f>
        <v>3254163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+IF(ENERO!A51=0,"",ENERO!A51)</f>
        <v>1130109</v>
      </c>
      <c r="B51" s="45" t="str">
        <f>+IF(ENERO!B51=0,"",ENERO!B51)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+IF(ENERO!S51=0,"",ENERO!S51)</f>
        <v>1010302-2</v>
      </c>
      <c r="T51" s="251" t="str">
        <f>+IF(ENERO!T51=0,"",ENERO!T51)</f>
        <v>Aportes Fondos Pensionales - Con Sit. Fondos</v>
      </c>
      <c r="U51" s="31">
        <f>+ENERO!U51</f>
        <v>14856625</v>
      </c>
      <c r="V51" s="17">
        <f>ENERO!V51+FEBRERO!AL51</f>
        <v>0</v>
      </c>
      <c r="W51" s="17">
        <f>ENERO!W51+FEBRERO!AM51</f>
        <v>0</v>
      </c>
      <c r="X51" s="18">
        <f t="shared" si="54"/>
        <v>14856625</v>
      </c>
      <c r="Y51" s="21">
        <f>ENERO!AA51</f>
        <v>2071800</v>
      </c>
      <c r="Z51" s="457">
        <v>2186160</v>
      </c>
      <c r="AA51" s="20">
        <f t="shared" si="55"/>
        <v>4257960</v>
      </c>
      <c r="AB51" s="21">
        <f>ENERO!AD51</f>
        <v>2071800</v>
      </c>
      <c r="AC51" s="457">
        <v>2186160</v>
      </c>
      <c r="AD51" s="18">
        <f t="shared" si="56"/>
        <v>4257960</v>
      </c>
      <c r="AE51" s="21">
        <f>ENERO!AG51</f>
        <v>0</v>
      </c>
      <c r="AF51" s="457">
        <v>2071800</v>
      </c>
      <c r="AG51" s="18">
        <f t="shared" si="57"/>
        <v>2071800</v>
      </c>
      <c r="AH51" s="21">
        <f t="shared" si="58"/>
        <v>10598665</v>
      </c>
      <c r="AI51" s="17">
        <f t="shared" si="59"/>
        <v>10598665</v>
      </c>
      <c r="AJ51" s="18">
        <f t="shared" si="60"/>
        <v>12784825</v>
      </c>
      <c r="AK51" s="10"/>
      <c r="AL51" s="455">
        <v>0</v>
      </c>
      <c r="AM51" s="458">
        <v>0</v>
      </c>
      <c r="AN51" s="10"/>
      <c r="AO51" s="365"/>
      <c r="AP51" s="365"/>
      <c r="AQ51" s="365"/>
      <c r="AR51" s="365"/>
      <c r="AS51" s="365"/>
      <c r="AT51" s="365"/>
      <c r="AU51" s="365"/>
      <c r="AV51" s="365"/>
      <c r="AW51" s="365"/>
      <c r="AX51" s="365"/>
      <c r="AY51" s="365"/>
      <c r="AZ51" s="365"/>
      <c r="BR51" s="514"/>
    </row>
    <row r="52" spans="1:70" s="514" customFormat="1" ht="15" x14ac:dyDescent="0.2">
      <c r="A52" s="188" t="str">
        <f>+IF(ENERO!A52=0,"",ENERO!A52)</f>
        <v>1130109-1</v>
      </c>
      <c r="B52" s="189" t="str">
        <f>+CONCATENATE("Vigencia ",INSTRUCCIONES!$F$3)</f>
        <v>Vigencia 2014</v>
      </c>
      <c r="C52" s="456">
        <f>+ENERO!C52</f>
        <v>0</v>
      </c>
      <c r="D52" s="456">
        <f>ENERO!D52+FEBRERO!P52</f>
        <v>0</v>
      </c>
      <c r="E52" s="456">
        <f>ENERO!E52+FEBRERO!Q52</f>
        <v>0</v>
      </c>
      <c r="F52" s="170">
        <f>SUM(C52:E52)</f>
        <v>0</v>
      </c>
      <c r="G52" s="283">
        <f>ENERO!I52</f>
        <v>0</v>
      </c>
      <c r="H52" s="457">
        <v>0</v>
      </c>
      <c r="I52" s="170">
        <f>SUM(G52:H52)</f>
        <v>0</v>
      </c>
      <c r="J52" s="283">
        <f>ENERO!L52</f>
        <v>0</v>
      </c>
      <c r="K52" s="457">
        <v>0</v>
      </c>
      <c r="L52" s="170">
        <f>SUM(J52:K52)</f>
        <v>0</v>
      </c>
      <c r="M52" s="283">
        <f>F52-I52</f>
        <v>0</v>
      </c>
      <c r="N52" s="170">
        <f>F52-L52</f>
        <v>0</v>
      </c>
      <c r="O52" s="467"/>
      <c r="P52" s="455">
        <v>0</v>
      </c>
      <c r="Q52" s="458">
        <v>0</v>
      </c>
      <c r="R52" s="10"/>
      <c r="S52" s="156" t="str">
        <f>+IF(ENERO!S52=0,"",ENERO!S52)</f>
        <v>1010302-3</v>
      </c>
      <c r="T52" s="251" t="str">
        <f>+IF(ENERO!T52=0,"",ENERO!T52)</f>
        <v xml:space="preserve">Aportes a Fondos de Cesantia - Con Sit. de Fondos </v>
      </c>
      <c r="U52" s="31">
        <f>+ENERO!U52</f>
        <v>26296821</v>
      </c>
      <c r="V52" s="17">
        <f>ENERO!V52+FEBRERO!AL52</f>
        <v>0</v>
      </c>
      <c r="W52" s="17">
        <f>ENERO!W52+FEBRERO!AM52</f>
        <v>0</v>
      </c>
      <c r="X52" s="18">
        <f t="shared" si="54"/>
        <v>26296821</v>
      </c>
      <c r="Y52" s="21">
        <f>ENERO!AA52</f>
        <v>0</v>
      </c>
      <c r="Z52" s="457">
        <v>25908757</v>
      </c>
      <c r="AA52" s="20">
        <f t="shared" si="55"/>
        <v>25908757</v>
      </c>
      <c r="AB52" s="21">
        <f>ENERO!AD52</f>
        <v>0</v>
      </c>
      <c r="AC52" s="457">
        <v>25908757</v>
      </c>
      <c r="AD52" s="18">
        <f t="shared" si="56"/>
        <v>25908757</v>
      </c>
      <c r="AE52" s="21">
        <f>ENERO!AG52</f>
        <v>0</v>
      </c>
      <c r="AF52" s="457">
        <v>25908757</v>
      </c>
      <c r="AG52" s="18">
        <f t="shared" si="57"/>
        <v>25908757</v>
      </c>
      <c r="AH52" s="21">
        <f t="shared" si="58"/>
        <v>388064</v>
      </c>
      <c r="AI52" s="17">
        <f t="shared" si="59"/>
        <v>388064</v>
      </c>
      <c r="AJ52" s="18">
        <f t="shared" si="60"/>
        <v>388064</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row>
    <row r="53" spans="1:70" s="514" customFormat="1" ht="15" x14ac:dyDescent="0.2">
      <c r="A53" s="188" t="str">
        <f>+IF(ENERO!A53=0,"",ENERO!A53)</f>
        <v>1130109-2</v>
      </c>
      <c r="B53" s="189" t="str">
        <f>+IF(ENERO!B53=0,"",ENERO!B53)</f>
        <v>Vigencias Anteriores</v>
      </c>
      <c r="C53" s="456">
        <f>+ENERO!C53</f>
        <v>0</v>
      </c>
      <c r="D53" s="456">
        <f>ENERO!D53+FEBRERO!P53</f>
        <v>0</v>
      </c>
      <c r="E53" s="456">
        <f>ENERO!E53+FEBRERO!Q53</f>
        <v>0</v>
      </c>
      <c r="F53" s="170">
        <f>SUM(C53:E53)</f>
        <v>0</v>
      </c>
      <c r="G53" s="283">
        <f>ENERO!I53</f>
        <v>0</v>
      </c>
      <c r="H53" s="457">
        <v>0</v>
      </c>
      <c r="I53" s="170">
        <f>SUM(G53:H53)</f>
        <v>0</v>
      </c>
      <c r="J53" s="283">
        <f>ENERO!L53</f>
        <v>0</v>
      </c>
      <c r="K53" s="457">
        <v>0</v>
      </c>
      <c r="L53" s="170">
        <f>SUM(J53:K53)</f>
        <v>0</v>
      </c>
      <c r="M53" s="283">
        <f>F53-I53</f>
        <v>0</v>
      </c>
      <c r="N53" s="170">
        <f>F53-L53</f>
        <v>0</v>
      </c>
      <c r="O53" s="467"/>
      <c r="P53" s="455">
        <v>0</v>
      </c>
      <c r="Q53" s="458">
        <v>0</v>
      </c>
      <c r="R53" s="10"/>
      <c r="S53" s="156" t="str">
        <f>+IF(ENERO!S53=0,"",ENERO!S53)</f>
        <v>1010302-4</v>
      </c>
      <c r="T53" s="251" t="str">
        <f>+IF(ENERO!T53=0,"",ENERO!T53)</f>
        <v>Aporte a ARL. - Con Sit. de Fondos</v>
      </c>
      <c r="U53" s="31">
        <f>+ENERO!U53</f>
        <v>1807452</v>
      </c>
      <c r="V53" s="17">
        <f>ENERO!V53+FEBRERO!AL53</f>
        <v>0</v>
      </c>
      <c r="W53" s="17">
        <f>ENERO!W53+FEBRERO!AM53</f>
        <v>0</v>
      </c>
      <c r="X53" s="18">
        <f t="shared" si="54"/>
        <v>1807452</v>
      </c>
      <c r="Y53" s="21">
        <f>ENERO!AA53</f>
        <v>265000</v>
      </c>
      <c r="Z53" s="457">
        <v>291100</v>
      </c>
      <c r="AA53" s="20">
        <f t="shared" si="55"/>
        <v>556100</v>
      </c>
      <c r="AB53" s="21">
        <f>ENERO!AD53</f>
        <v>265000</v>
      </c>
      <c r="AC53" s="457">
        <v>291100</v>
      </c>
      <c r="AD53" s="18">
        <f t="shared" si="56"/>
        <v>556100</v>
      </c>
      <c r="AE53" s="21">
        <f>ENERO!AG53</f>
        <v>0</v>
      </c>
      <c r="AF53" s="457">
        <v>265000</v>
      </c>
      <c r="AG53" s="18">
        <f t="shared" si="57"/>
        <v>265000</v>
      </c>
      <c r="AH53" s="21">
        <f t="shared" si="58"/>
        <v>1251352</v>
      </c>
      <c r="AI53" s="17">
        <f t="shared" si="59"/>
        <v>1251352</v>
      </c>
      <c r="AJ53" s="18">
        <f t="shared" si="60"/>
        <v>1542452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+IF(ENERO!A54=0,"",ENERO!A54)</f>
        <v>1130110</v>
      </c>
      <c r="B54" s="45" t="str">
        <f>+IF(ENERO!B54=0,"",ENERO!B54)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+IF(ENERO!S54=0,"",ENERO!S54)</f>
        <v>1010302-5</v>
      </c>
      <c r="T54" s="251" t="str">
        <f>+IF(ENERO!T54=0,"",ENERO!T54)</f>
        <v>Aporte a Caja Compensación Familiar</v>
      </c>
      <c r="U54" s="31">
        <f>+ENERO!U54</f>
        <v>15565867</v>
      </c>
      <c r="V54" s="17">
        <f>ENERO!V54+FEBRERO!AL54</f>
        <v>0</v>
      </c>
      <c r="W54" s="17">
        <f>ENERO!W54+FEBRERO!AM54</f>
        <v>0</v>
      </c>
      <c r="X54" s="18">
        <f t="shared" si="54"/>
        <v>15565867</v>
      </c>
      <c r="Y54" s="21">
        <f>ENERO!AA54</f>
        <v>1107800</v>
      </c>
      <c r="Z54" s="457">
        <v>1172600</v>
      </c>
      <c r="AA54" s="20">
        <f t="shared" si="55"/>
        <v>2280400</v>
      </c>
      <c r="AB54" s="21">
        <f>ENERO!AD54</f>
        <v>1107800</v>
      </c>
      <c r="AC54" s="457">
        <v>1172600</v>
      </c>
      <c r="AD54" s="18">
        <f t="shared" si="56"/>
        <v>2280400</v>
      </c>
      <c r="AE54" s="21">
        <f>ENERO!AG54</f>
        <v>0</v>
      </c>
      <c r="AF54" s="457">
        <v>1107800</v>
      </c>
      <c r="AG54" s="18">
        <f t="shared" si="57"/>
        <v>1107800</v>
      </c>
      <c r="AH54" s="21">
        <f t="shared" si="58"/>
        <v>13285467</v>
      </c>
      <c r="AI54" s="17">
        <f t="shared" si="59"/>
        <v>13285467</v>
      </c>
      <c r="AJ54" s="18">
        <f t="shared" si="60"/>
        <v>14458067</v>
      </c>
      <c r="AK54" s="10"/>
      <c r="AL54" s="455">
        <v>0</v>
      </c>
      <c r="AM54" s="458">
        <v>0</v>
      </c>
      <c r="AN54" s="10"/>
      <c r="AO54" s="365"/>
      <c r="AP54" s="365"/>
      <c r="AQ54" s="365"/>
      <c r="AR54" s="365"/>
      <c r="AS54" s="365"/>
      <c r="AT54" s="365"/>
      <c r="AU54" s="365"/>
      <c r="AV54" s="365"/>
      <c r="AW54" s="365"/>
      <c r="AX54" s="365"/>
      <c r="AY54" s="365"/>
      <c r="AZ54" s="365"/>
      <c r="BR54" s="514"/>
    </row>
    <row r="55" spans="1:70" s="514" customFormat="1" ht="15" x14ac:dyDescent="0.2">
      <c r="A55" s="188" t="str">
        <f>+IF(ENERO!A55=0,"",ENERO!A55)</f>
        <v>1130110-1</v>
      </c>
      <c r="B55" s="189" t="str">
        <f>+CONCATENATE("Vigencia ",INSTRUCCIONES!$F$3)</f>
        <v>Vigencia 2014</v>
      </c>
      <c r="C55" s="456">
        <f>+ENERO!C55</f>
        <v>0</v>
      </c>
      <c r="D55" s="456">
        <f>ENERO!D55+FEBRERO!P55</f>
        <v>0</v>
      </c>
      <c r="E55" s="456">
        <f>ENERO!E55+FEBRERO!Q55</f>
        <v>0</v>
      </c>
      <c r="F55" s="170">
        <f>SUM(C55:E55)</f>
        <v>0</v>
      </c>
      <c r="G55" s="283">
        <f>ENERO!I55</f>
        <v>0</v>
      </c>
      <c r="H55" s="457">
        <v>0</v>
      </c>
      <c r="I55" s="170">
        <f>SUM(G55:H55)</f>
        <v>0</v>
      </c>
      <c r="J55" s="283">
        <f>ENERO!L55</f>
        <v>0</v>
      </c>
      <c r="K55" s="457">
        <v>0</v>
      </c>
      <c r="L55" s="170">
        <f>SUM(J55:K55)</f>
        <v>0</v>
      </c>
      <c r="M55" s="283">
        <f>F55-I55</f>
        <v>0</v>
      </c>
      <c r="N55" s="170">
        <f>F55-L55</f>
        <v>0</v>
      </c>
      <c r="O55" s="467"/>
      <c r="P55" s="455">
        <v>0</v>
      </c>
      <c r="Q55" s="458">
        <v>0</v>
      </c>
      <c r="R55" s="10"/>
      <c r="S55" s="155">
        <f>+IF(ENERO!S55=0,"",ENERO!S55)</f>
        <v>1010399</v>
      </c>
      <c r="T55" s="238" t="str">
        <f>+IF(ENERO!T55=0,"",ENERO!T55)</f>
        <v>Vigencias Anteriores</v>
      </c>
      <c r="U55" s="31">
        <f>+ENERO!U55</f>
        <v>0</v>
      </c>
      <c r="V55" s="17">
        <f>ENERO!V55+FEBRERO!AL55</f>
        <v>487148</v>
      </c>
      <c r="W55" s="17">
        <f>ENERO!W55+FEBRERO!AM55</f>
        <v>0</v>
      </c>
      <c r="X55" s="18">
        <f t="shared" si="54"/>
        <v>487148</v>
      </c>
      <c r="Y55" s="21">
        <f>ENERO!AA55</f>
        <v>487148</v>
      </c>
      <c r="Z55" s="457">
        <v>0</v>
      </c>
      <c r="AA55" s="20">
        <f t="shared" si="55"/>
        <v>487148</v>
      </c>
      <c r="AB55" s="21">
        <f>ENERO!AD55</f>
        <v>487148</v>
      </c>
      <c r="AC55" s="457">
        <v>0</v>
      </c>
      <c r="AD55" s="18">
        <f t="shared" si="56"/>
        <v>487148</v>
      </c>
      <c r="AE55" s="21">
        <f>ENERO!AG55</f>
        <v>0</v>
      </c>
      <c r="AF55" s="457">
        <v>0</v>
      </c>
      <c r="AG55" s="18">
        <f t="shared" si="57"/>
        <v>0</v>
      </c>
      <c r="AH55" s="21">
        <f t="shared" si="58"/>
        <v>0</v>
      </c>
      <c r="AI55" s="17">
        <f t="shared" si="59"/>
        <v>0</v>
      </c>
      <c r="AJ55" s="18">
        <f t="shared" si="60"/>
        <v>487148</v>
      </c>
      <c r="AK55" s="10"/>
      <c r="AL55" s="455">
        <v>487148</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row>
    <row r="56" spans="1:70" s="514" customFormat="1" ht="15.75" x14ac:dyDescent="0.2">
      <c r="A56" s="188" t="str">
        <f>+IF(ENERO!A56=0,"",ENERO!A56)</f>
        <v>1130110-2</v>
      </c>
      <c r="B56" s="189" t="str">
        <f>+IF(ENERO!B56=0,"",ENERO!B56)</f>
        <v>Vigencias Anteriores</v>
      </c>
      <c r="C56" s="456">
        <f>+ENERO!C56</f>
        <v>0</v>
      </c>
      <c r="D56" s="456">
        <f>ENERO!D56+FEBRERO!P56</f>
        <v>0</v>
      </c>
      <c r="E56" s="456">
        <f>ENERO!E56+FEBRERO!Q56</f>
        <v>0</v>
      </c>
      <c r="F56" s="170">
        <f>SUM(C56:E56)</f>
        <v>0</v>
      </c>
      <c r="G56" s="283">
        <f>ENERO!I56</f>
        <v>0</v>
      </c>
      <c r="H56" s="457">
        <v>0</v>
      </c>
      <c r="I56" s="170">
        <f>SUM(G56:H56)</f>
        <v>0</v>
      </c>
      <c r="J56" s="283">
        <f>ENERO!L56</f>
        <v>0</v>
      </c>
      <c r="K56" s="457">
        <v>0</v>
      </c>
      <c r="L56" s="170">
        <f>SUM(J56:K56)</f>
        <v>0</v>
      </c>
      <c r="M56" s="283">
        <f>F56-I56</f>
        <v>0</v>
      </c>
      <c r="N56" s="170">
        <f>F56-L56</f>
        <v>0</v>
      </c>
      <c r="O56" s="467"/>
      <c r="P56" s="455">
        <v>0</v>
      </c>
      <c r="Q56" s="458">
        <v>0</v>
      </c>
      <c r="R56" s="10"/>
      <c r="S56" s="448" t="str">
        <f>+IF(ENERO!S56=0,"",ENERO!S56)</f>
        <v/>
      </c>
      <c r="T56" s="649" t="str">
        <f>+IF(ENERO!T56=0,"",ENERO!T56)</f>
        <v/>
      </c>
      <c r="U56" s="450"/>
      <c r="V56" s="193"/>
      <c r="W56" s="193"/>
      <c r="X56" s="207"/>
      <c r="Y56" s="450"/>
      <c r="Z56" s="193"/>
      <c r="AA56" s="193"/>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+IF(ENERO!A57=0,"",ENERO!A57)</f>
        <v>1130111</v>
      </c>
      <c r="B57" s="45" t="str">
        <f>+IF(ENERO!B57=0,"",ENERO!B57)</f>
        <v>IPS PRIVADAS</v>
      </c>
      <c r="C57" s="53">
        <f t="shared" ref="C57:N57" si="63">SUM(C58:C59)</f>
        <v>0</v>
      </c>
      <c r="D57" s="53">
        <f t="shared" si="63"/>
        <v>0</v>
      </c>
      <c r="E57" s="53">
        <f t="shared" si="63"/>
        <v>0</v>
      </c>
      <c r="F57" s="54">
        <f t="shared" si="63"/>
        <v>0</v>
      </c>
      <c r="G57" s="52">
        <f t="shared" si="63"/>
        <v>0</v>
      </c>
      <c r="H57" s="53">
        <f t="shared" si="63"/>
        <v>0</v>
      </c>
      <c r="I57" s="54">
        <f t="shared" si="63"/>
        <v>0</v>
      </c>
      <c r="J57" s="52">
        <f t="shared" si="63"/>
        <v>0</v>
      </c>
      <c r="K57" s="53">
        <f t="shared" si="63"/>
        <v>0</v>
      </c>
      <c r="L57" s="54">
        <f t="shared" si="63"/>
        <v>0</v>
      </c>
      <c r="M57" s="52">
        <f t="shared" si="63"/>
        <v>0</v>
      </c>
      <c r="N57" s="54">
        <f t="shared" si="63"/>
        <v>0</v>
      </c>
      <c r="P57" s="52">
        <f>SUM(P58:P59)</f>
        <v>0</v>
      </c>
      <c r="Q57" s="54">
        <f>SUM(Q58:Q59)</f>
        <v>0</v>
      </c>
      <c r="R57" s="10"/>
      <c r="S57" s="34">
        <f>+IF(ENERO!S57=0,"",ENERO!S57)</f>
        <v>1010400</v>
      </c>
      <c r="T57" s="237" t="str">
        <f>+IF(ENERO!T57=0,"",ENERO!T57)</f>
        <v>Contribuciones Inherentes nómina del Sector Publico</v>
      </c>
      <c r="U57" s="151">
        <f t="shared" ref="U57:AJ57" si="64">U58+U61</f>
        <v>19457334</v>
      </c>
      <c r="V57" s="144">
        <f t="shared" si="64"/>
        <v>0</v>
      </c>
      <c r="W57" s="144">
        <f t="shared" si="64"/>
        <v>0</v>
      </c>
      <c r="X57" s="153">
        <f t="shared" si="64"/>
        <v>19457334</v>
      </c>
      <c r="Y57" s="151">
        <f t="shared" si="64"/>
        <v>1624100</v>
      </c>
      <c r="Z57" s="144">
        <f t="shared" si="64"/>
        <v>1465300</v>
      </c>
      <c r="AA57" s="152">
        <f t="shared" si="64"/>
        <v>3089400</v>
      </c>
      <c r="AB57" s="151">
        <f t="shared" si="64"/>
        <v>1624100</v>
      </c>
      <c r="AC57" s="144">
        <f t="shared" si="64"/>
        <v>1465300</v>
      </c>
      <c r="AD57" s="153">
        <f t="shared" si="64"/>
        <v>3089400</v>
      </c>
      <c r="AE57" s="151">
        <f t="shared" si="64"/>
        <v>0</v>
      </c>
      <c r="AF57" s="144">
        <f t="shared" si="64"/>
        <v>1624100</v>
      </c>
      <c r="AG57" s="153">
        <f t="shared" si="64"/>
        <v>1624100</v>
      </c>
      <c r="AH57" s="151">
        <f t="shared" si="64"/>
        <v>16367934</v>
      </c>
      <c r="AI57" s="144">
        <f t="shared" si="64"/>
        <v>16367934</v>
      </c>
      <c r="AJ57" s="153">
        <f t="shared" si="64"/>
        <v>17833234</v>
      </c>
      <c r="AK57" s="10"/>
      <c r="AL57" s="151">
        <f>AL58+AL61</f>
        <v>0</v>
      </c>
      <c r="AM57" s="153">
        <f>AM58+AM61</f>
        <v>0</v>
      </c>
      <c r="AN57" s="10"/>
      <c r="AO57" s="365"/>
      <c r="AP57" s="365"/>
      <c r="AQ57" s="365"/>
      <c r="AR57" s="365"/>
      <c r="AS57" s="365"/>
      <c r="AT57" s="365"/>
      <c r="AU57" s="365"/>
      <c r="AV57" s="365"/>
      <c r="AW57" s="365"/>
      <c r="AX57" s="365"/>
      <c r="AY57" s="365"/>
      <c r="AZ57" s="365"/>
      <c r="BR57" s="514"/>
    </row>
    <row r="58" spans="1:70" s="514" customFormat="1" ht="15" x14ac:dyDescent="0.2">
      <c r="A58" s="188" t="str">
        <f>+IF(ENERO!A58=0,"",ENERO!A58)</f>
        <v>1130111-1</v>
      </c>
      <c r="B58" s="189" t="str">
        <f>+CONCATENATE("Vigencia ",INSTRUCCIONES!$F$3)</f>
        <v>Vigencia 2014</v>
      </c>
      <c r="C58" s="456">
        <f>+ENERO!C58</f>
        <v>0</v>
      </c>
      <c r="D58" s="456">
        <f>ENERO!D58+FEBRERO!P58</f>
        <v>0</v>
      </c>
      <c r="E58" s="456">
        <f>ENERO!E58+FEBRERO!Q58</f>
        <v>0</v>
      </c>
      <c r="F58" s="170">
        <f>SUM(C58:E58)</f>
        <v>0</v>
      </c>
      <c r="G58" s="283">
        <f>ENERO!I58</f>
        <v>0</v>
      </c>
      <c r="H58" s="457">
        <v>0</v>
      </c>
      <c r="I58" s="170">
        <f>SUM(G58:H58)</f>
        <v>0</v>
      </c>
      <c r="J58" s="283">
        <f>ENERO!L58</f>
        <v>0</v>
      </c>
      <c r="K58" s="457">
        <v>0</v>
      </c>
      <c r="L58" s="170">
        <f>SUM(J58:K58)</f>
        <v>0</v>
      </c>
      <c r="M58" s="283">
        <f>F58-I58</f>
        <v>0</v>
      </c>
      <c r="N58" s="170">
        <f>F58-L58</f>
        <v>0</v>
      </c>
      <c r="O58" s="467"/>
      <c r="P58" s="455">
        <v>0</v>
      </c>
      <c r="Q58" s="458">
        <v>0</v>
      </c>
      <c r="R58" s="10"/>
      <c r="S58" s="155">
        <f>+IF(ENERO!S58=0,"",ENERO!S58)</f>
        <v>1010402</v>
      </c>
      <c r="T58" s="238" t="str">
        <f>+IF(ENERO!T58=0,"",ENERO!T58)</f>
        <v>Contribuciones - Otros</v>
      </c>
      <c r="U58" s="31">
        <f t="shared" ref="U58:AJ58" si="65">SUM(U59:U60)</f>
        <v>19457334</v>
      </c>
      <c r="V58" s="17">
        <f t="shared" si="65"/>
        <v>0</v>
      </c>
      <c r="W58" s="17">
        <f t="shared" si="65"/>
        <v>0</v>
      </c>
      <c r="X58" s="18">
        <f t="shared" si="65"/>
        <v>19457334</v>
      </c>
      <c r="Y58" s="21">
        <f t="shared" si="65"/>
        <v>1624100</v>
      </c>
      <c r="Z58" s="169">
        <f t="shared" si="65"/>
        <v>1465300</v>
      </c>
      <c r="AA58" s="20">
        <f t="shared" si="65"/>
        <v>3089400</v>
      </c>
      <c r="AB58" s="21">
        <f t="shared" si="65"/>
        <v>1624100</v>
      </c>
      <c r="AC58" s="169">
        <f t="shared" si="65"/>
        <v>1465300</v>
      </c>
      <c r="AD58" s="18">
        <f t="shared" si="65"/>
        <v>3089400</v>
      </c>
      <c r="AE58" s="21">
        <f t="shared" si="65"/>
        <v>0</v>
      </c>
      <c r="AF58" s="169">
        <f t="shared" si="65"/>
        <v>1624100</v>
      </c>
      <c r="AG58" s="18">
        <f t="shared" si="65"/>
        <v>1624100</v>
      </c>
      <c r="AH58" s="21">
        <f t="shared" si="65"/>
        <v>16367934</v>
      </c>
      <c r="AI58" s="17">
        <f t="shared" si="65"/>
        <v>16367934</v>
      </c>
      <c r="AJ58" s="18">
        <f t="shared" si="65"/>
        <v>17833234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row>
    <row r="59" spans="1:70" s="514" customFormat="1" ht="15" x14ac:dyDescent="0.2">
      <c r="A59" s="188" t="str">
        <f>+IF(ENERO!A59=0,"",ENERO!A59)</f>
        <v>1130111-2</v>
      </c>
      <c r="B59" s="189" t="str">
        <f>+IF(ENERO!B59=0,"",ENERO!B59)</f>
        <v>Vigencias Anteriores</v>
      </c>
      <c r="C59" s="456">
        <f>+ENERO!C59</f>
        <v>0</v>
      </c>
      <c r="D59" s="456">
        <f>ENERO!D59+FEBRERO!P59</f>
        <v>0</v>
      </c>
      <c r="E59" s="456">
        <f>ENERO!E59+FEBRERO!Q59</f>
        <v>0</v>
      </c>
      <c r="F59" s="170">
        <f>SUM(C59:E59)</f>
        <v>0</v>
      </c>
      <c r="G59" s="283">
        <f>ENERO!I59</f>
        <v>0</v>
      </c>
      <c r="H59" s="457">
        <v>0</v>
      </c>
      <c r="I59" s="170">
        <f>SUM(G59:H59)</f>
        <v>0</v>
      </c>
      <c r="J59" s="283">
        <f>ENERO!L59</f>
        <v>0</v>
      </c>
      <c r="K59" s="457">
        <v>0</v>
      </c>
      <c r="L59" s="170">
        <f>SUM(J59:K59)</f>
        <v>0</v>
      </c>
      <c r="M59" s="283">
        <f>F59-I59</f>
        <v>0</v>
      </c>
      <c r="N59" s="170">
        <f>F59-L59</f>
        <v>0</v>
      </c>
      <c r="O59" s="467"/>
      <c r="P59" s="455">
        <v>0</v>
      </c>
      <c r="Q59" s="458">
        <v>0</v>
      </c>
      <c r="R59" s="10"/>
      <c r="S59" s="156" t="str">
        <f>+IF(ENERO!S59=0,"",ENERO!S59)</f>
        <v>1010402-1</v>
      </c>
      <c r="T59" s="238" t="str">
        <f>+IF(ENERO!T59=0,"",ENERO!T59)</f>
        <v>S.E.N.A.</v>
      </c>
      <c r="U59" s="31">
        <f>+ENERO!U59</f>
        <v>7782934</v>
      </c>
      <c r="V59" s="17">
        <f>ENERO!V59+FEBRERO!AL59</f>
        <v>0</v>
      </c>
      <c r="W59" s="17">
        <f>ENERO!W59+FEBRERO!AM59</f>
        <v>0</v>
      </c>
      <c r="X59" s="18">
        <f>SUM(U59:W59)</f>
        <v>7782934</v>
      </c>
      <c r="Y59" s="21">
        <f>ENERO!AA59</f>
        <v>571000</v>
      </c>
      <c r="Z59" s="457">
        <v>585800</v>
      </c>
      <c r="AA59" s="20">
        <f>SUM(Y59:Z59)</f>
        <v>1156800</v>
      </c>
      <c r="AB59" s="21">
        <f>ENERO!AD59</f>
        <v>571000</v>
      </c>
      <c r="AC59" s="457">
        <v>585800</v>
      </c>
      <c r="AD59" s="18">
        <f>SUM(AB59:AC59)</f>
        <v>1156800</v>
      </c>
      <c r="AE59" s="21">
        <f>ENERO!AG59</f>
        <v>0</v>
      </c>
      <c r="AF59" s="457">
        <v>571000</v>
      </c>
      <c r="AG59" s="18">
        <f>SUM(AE59:AF59)</f>
        <v>571000</v>
      </c>
      <c r="AH59" s="21">
        <f>X59-AA59</f>
        <v>6626134</v>
      </c>
      <c r="AI59" s="17">
        <f>X59-AD59</f>
        <v>6626134</v>
      </c>
      <c r="AJ59" s="18">
        <f>X59-AG59</f>
        <v>7211934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+IF(ENERO!A60=0,"",ENERO!A60)</f>
        <v>1130112</v>
      </c>
      <c r="B60" s="45" t="str">
        <f>+IF(ENERO!B60=0,"",ENERO!B60)</f>
        <v>IPS PUBLICAS</v>
      </c>
      <c r="C60" s="53">
        <f t="shared" ref="C60:N60" si="66">SUM(C61:C62)</f>
        <v>8883897</v>
      </c>
      <c r="D60" s="53">
        <f t="shared" si="66"/>
        <v>0</v>
      </c>
      <c r="E60" s="53">
        <f t="shared" si="66"/>
        <v>0</v>
      </c>
      <c r="F60" s="54">
        <f t="shared" si="66"/>
        <v>8883897</v>
      </c>
      <c r="G60" s="52">
        <f t="shared" si="66"/>
        <v>890848</v>
      </c>
      <c r="H60" s="53">
        <f t="shared" si="66"/>
        <v>803880</v>
      </c>
      <c r="I60" s="54">
        <f t="shared" si="66"/>
        <v>1694728</v>
      </c>
      <c r="J60" s="52">
        <f t="shared" si="66"/>
        <v>707266</v>
      </c>
      <c r="K60" s="53">
        <f t="shared" si="66"/>
        <v>602688</v>
      </c>
      <c r="L60" s="54">
        <f t="shared" si="66"/>
        <v>1309954</v>
      </c>
      <c r="M60" s="52">
        <f t="shared" si="66"/>
        <v>7189169</v>
      </c>
      <c r="N60" s="54">
        <f t="shared" si="66"/>
        <v>7573943</v>
      </c>
      <c r="P60" s="52">
        <f>SUM(P61:P62)</f>
        <v>0</v>
      </c>
      <c r="Q60" s="54">
        <f>SUM(Q61:Q62)</f>
        <v>0</v>
      </c>
      <c r="R60" s="10"/>
      <c r="S60" s="156" t="str">
        <f>+IF(ENERO!S60=0,"",ENERO!S60)</f>
        <v>1010402-2</v>
      </c>
      <c r="T60" s="238" t="str">
        <f>+IF(ENERO!T60=0,"",ENERO!T60)</f>
        <v>I.C.B.F.</v>
      </c>
      <c r="U60" s="31">
        <f>+ENERO!U60</f>
        <v>11674400</v>
      </c>
      <c r="V60" s="17">
        <f>ENERO!V60+FEBRERO!AL60</f>
        <v>0</v>
      </c>
      <c r="W60" s="17">
        <f>ENERO!W60+FEBRERO!AM60</f>
        <v>0</v>
      </c>
      <c r="X60" s="18">
        <f>SUM(U60:W60)</f>
        <v>11674400</v>
      </c>
      <c r="Y60" s="21">
        <f>ENERO!AA60</f>
        <v>1053100</v>
      </c>
      <c r="Z60" s="457">
        <v>879500</v>
      </c>
      <c r="AA60" s="20">
        <f>SUM(Y60:Z60)</f>
        <v>1932600</v>
      </c>
      <c r="AB60" s="21">
        <f>ENERO!AD60</f>
        <v>1053100</v>
      </c>
      <c r="AC60" s="457">
        <v>879500</v>
      </c>
      <c r="AD60" s="18">
        <f>SUM(AB60:AC60)</f>
        <v>1932600</v>
      </c>
      <c r="AE60" s="21">
        <f>ENERO!AG60</f>
        <v>0</v>
      </c>
      <c r="AF60" s="457">
        <v>1053100</v>
      </c>
      <c r="AG60" s="18">
        <f>SUM(AE60:AF60)</f>
        <v>1053100</v>
      </c>
      <c r="AH60" s="21">
        <f>X60-AA60</f>
        <v>9741800</v>
      </c>
      <c r="AI60" s="17">
        <f>X60-AD60</f>
        <v>9741800</v>
      </c>
      <c r="AJ60" s="18">
        <f>X60-AG60</f>
        <v>10621300</v>
      </c>
      <c r="AK60" s="10"/>
      <c r="AL60" s="455">
        <v>0</v>
      </c>
      <c r="AM60" s="458">
        <v>0</v>
      </c>
      <c r="AN60" s="10"/>
      <c r="AO60" s="365"/>
      <c r="AP60" s="365"/>
      <c r="AQ60" s="365"/>
      <c r="AR60" s="365"/>
      <c r="AS60" s="365"/>
      <c r="AT60" s="365"/>
      <c r="AU60" s="365"/>
      <c r="AV60" s="365"/>
      <c r="AW60" s="365"/>
      <c r="AX60" s="365"/>
      <c r="AY60" s="365"/>
      <c r="AZ60" s="365"/>
      <c r="BR60" s="514"/>
    </row>
    <row r="61" spans="1:70" s="514" customFormat="1" ht="15" x14ac:dyDescent="0.2">
      <c r="A61" s="188" t="str">
        <f>+IF(ENERO!A61=0,"",ENERO!A61)</f>
        <v>1130112-1</v>
      </c>
      <c r="B61" s="189" t="str">
        <f>+CONCATENATE("Vigencia ",INSTRUCCIONES!$F$3)</f>
        <v>Vigencia 2014</v>
      </c>
      <c r="C61" s="456">
        <f>+ENERO!C61</f>
        <v>5883897</v>
      </c>
      <c r="D61" s="456">
        <f>ENERO!D61+FEBRERO!P61</f>
        <v>0</v>
      </c>
      <c r="E61" s="456">
        <f>ENERO!E61+FEBRERO!Q61</f>
        <v>0</v>
      </c>
      <c r="F61" s="170">
        <f>SUM(C61:E61)</f>
        <v>5883897</v>
      </c>
      <c r="G61" s="283">
        <f>ENERO!I61</f>
        <v>183582</v>
      </c>
      <c r="H61" s="457">
        <v>201192</v>
      </c>
      <c r="I61" s="170">
        <f>SUM(G61:H61)</f>
        <v>384774</v>
      </c>
      <c r="J61" s="283">
        <f>ENERO!L61</f>
        <v>0</v>
      </c>
      <c r="K61" s="457">
        <v>0</v>
      </c>
      <c r="L61" s="170">
        <f>SUM(J61:K61)</f>
        <v>0</v>
      </c>
      <c r="M61" s="283">
        <f>F61-I61</f>
        <v>5499123</v>
      </c>
      <c r="N61" s="170">
        <f>F61-L61</f>
        <v>5883897</v>
      </c>
      <c r="O61" s="467"/>
      <c r="P61" s="455">
        <v>0</v>
      </c>
      <c r="Q61" s="458">
        <v>0</v>
      </c>
      <c r="R61" s="10"/>
      <c r="S61" s="155">
        <f>+IF(ENERO!S61=0,"",ENERO!S61)</f>
        <v>1010499</v>
      </c>
      <c r="T61" s="238" t="str">
        <f>+IF(ENERO!T61=0,"",ENERO!T61)</f>
        <v>Vigencias Anteriores</v>
      </c>
      <c r="U61" s="31">
        <f>+ENERO!U61</f>
        <v>0</v>
      </c>
      <c r="V61" s="17">
        <f>ENERO!V61+FEBRERO!AL61</f>
        <v>0</v>
      </c>
      <c r="W61" s="17">
        <f>ENERO!W61+FEBRERO!AM61</f>
        <v>0</v>
      </c>
      <c r="X61" s="18">
        <f>SUM(U61:W61)</f>
        <v>0</v>
      </c>
      <c r="Y61" s="21">
        <f>ENERO!AA61</f>
        <v>0</v>
      </c>
      <c r="Z61" s="457">
        <v>0</v>
      </c>
      <c r="AA61" s="20">
        <f>SUM(Y61:Z61)</f>
        <v>0</v>
      </c>
      <c r="AB61" s="21">
        <f>ENERO!AD61</f>
        <v>0</v>
      </c>
      <c r="AC61" s="457">
        <v>0</v>
      </c>
      <c r="AD61" s="18">
        <f>SUM(AB61:AC61)</f>
        <v>0</v>
      </c>
      <c r="AE61" s="21">
        <f>ENERO!AG61</f>
        <v>0</v>
      </c>
      <c r="AF61" s="457">
        <v>0</v>
      </c>
      <c r="AG61" s="18">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row>
    <row r="62" spans="1:70" s="514" customFormat="1" ht="15.75" x14ac:dyDescent="0.2">
      <c r="A62" s="188" t="str">
        <f>+IF(ENERO!A62=0,"",ENERO!A62)</f>
        <v>1130112-2</v>
      </c>
      <c r="B62" s="189" t="str">
        <f>+IF(ENERO!B62=0,"",ENERO!B62)</f>
        <v>Vigencias Anteriores</v>
      </c>
      <c r="C62" s="456">
        <f>+ENERO!C62</f>
        <v>3000000</v>
      </c>
      <c r="D62" s="456">
        <f>ENERO!D62+FEBRERO!P62</f>
        <v>0</v>
      </c>
      <c r="E62" s="456">
        <f>ENERO!E62+FEBRERO!Q62</f>
        <v>0</v>
      </c>
      <c r="F62" s="170">
        <f>SUM(C62:E62)</f>
        <v>3000000</v>
      </c>
      <c r="G62" s="283">
        <f>ENERO!I62</f>
        <v>707266</v>
      </c>
      <c r="H62" s="457">
        <v>602688</v>
      </c>
      <c r="I62" s="170">
        <f>SUM(G62:H62)</f>
        <v>1309954</v>
      </c>
      <c r="J62" s="283">
        <f>ENERO!L62</f>
        <v>707266</v>
      </c>
      <c r="K62" s="457">
        <v>602688</v>
      </c>
      <c r="L62" s="170">
        <f>SUM(J62:K62)</f>
        <v>1309954</v>
      </c>
      <c r="M62" s="283">
        <f>F62-I62</f>
        <v>1690046</v>
      </c>
      <c r="N62" s="170">
        <f>F62-L62</f>
        <v>1690046</v>
      </c>
      <c r="O62" s="467"/>
      <c r="P62" s="455">
        <v>0</v>
      </c>
      <c r="Q62" s="458">
        <v>0</v>
      </c>
      <c r="R62" s="10"/>
      <c r="S62" s="448" t="str">
        <f>+IF(ENERO!S62=0,"",ENERO!S62)</f>
        <v/>
      </c>
      <c r="T62" s="649" t="str">
        <f>+IF(ENERO!T62=0,"",ENERO!T62)</f>
        <v/>
      </c>
      <c r="U62" s="450"/>
      <c r="V62" s="193"/>
      <c r="W62" s="193"/>
      <c r="X62" s="207"/>
      <c r="Y62" s="450"/>
      <c r="Z62" s="193"/>
      <c r="AA62" s="193"/>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+IF(ENERO!A63=0,"",ENERO!A63)</f>
        <v>1130113</v>
      </c>
      <c r="B63" s="45" t="str">
        <f>+IF(ENERO!B63=0,"",ENERO!B63)</f>
        <v>COMPAÑIAS DE SEGUROS  - ACCIDENTES DE TRANSITO (SOAT)</v>
      </c>
      <c r="C63" s="53">
        <f t="shared" ref="C63:N63" si="67">SUM(C64:C65)</f>
        <v>52973202</v>
      </c>
      <c r="D63" s="53">
        <f t="shared" si="67"/>
        <v>0</v>
      </c>
      <c r="E63" s="53">
        <f t="shared" si="67"/>
        <v>0</v>
      </c>
      <c r="F63" s="54">
        <f t="shared" si="67"/>
        <v>52973202</v>
      </c>
      <c r="G63" s="52">
        <f t="shared" si="67"/>
        <v>7253365</v>
      </c>
      <c r="H63" s="53">
        <f t="shared" si="67"/>
        <v>8143202</v>
      </c>
      <c r="I63" s="54">
        <f t="shared" si="67"/>
        <v>15396567</v>
      </c>
      <c r="J63" s="52">
        <f t="shared" si="67"/>
        <v>5329312</v>
      </c>
      <c r="K63" s="53">
        <f t="shared" si="67"/>
        <v>1361101</v>
      </c>
      <c r="L63" s="54">
        <f t="shared" si="67"/>
        <v>6690413</v>
      </c>
      <c r="M63" s="52">
        <f t="shared" si="67"/>
        <v>37576635</v>
      </c>
      <c r="N63" s="54">
        <f t="shared" si="67"/>
        <v>46282789</v>
      </c>
      <c r="P63" s="52">
        <f>SUM(P64:P65)</f>
        <v>0</v>
      </c>
      <c r="Q63" s="54">
        <f>SUM(Q64:Q65)</f>
        <v>0</v>
      </c>
      <c r="R63" s="10"/>
      <c r="S63" s="469">
        <f>+IF(ENERO!S63=0,"",ENERO!S63)</f>
        <v>1020010</v>
      </c>
      <c r="T63" s="676" t="str">
        <f>+IF(ENERO!T63=0,"",ENERO!T63)</f>
        <v>Gastos de Operación</v>
      </c>
      <c r="U63" s="151">
        <f t="shared" ref="U63:AJ63" si="68">U65+U83+U90+U104</f>
        <v>1656122409</v>
      </c>
      <c r="V63" s="144">
        <f t="shared" si="68"/>
        <v>5657703</v>
      </c>
      <c r="W63" s="144">
        <f t="shared" si="68"/>
        <v>18324110</v>
      </c>
      <c r="X63" s="153">
        <f t="shared" si="68"/>
        <v>1680104222</v>
      </c>
      <c r="Y63" s="151">
        <f t="shared" si="68"/>
        <v>145990955</v>
      </c>
      <c r="Z63" s="144">
        <f t="shared" si="68"/>
        <v>172369258</v>
      </c>
      <c r="AA63" s="152">
        <f t="shared" si="68"/>
        <v>318360213</v>
      </c>
      <c r="AB63" s="151">
        <f t="shared" si="68"/>
        <v>145990255</v>
      </c>
      <c r="AC63" s="144">
        <f t="shared" si="68"/>
        <v>172369158</v>
      </c>
      <c r="AD63" s="153">
        <f t="shared" si="68"/>
        <v>318359413</v>
      </c>
      <c r="AE63" s="151">
        <f t="shared" si="68"/>
        <v>101509599</v>
      </c>
      <c r="AF63" s="144">
        <f t="shared" si="68"/>
        <v>178466560</v>
      </c>
      <c r="AG63" s="153">
        <f t="shared" si="68"/>
        <v>279976159</v>
      </c>
      <c r="AH63" s="151">
        <f t="shared" si="68"/>
        <v>1361744009</v>
      </c>
      <c r="AI63" s="144">
        <f t="shared" si="68"/>
        <v>1361744809</v>
      </c>
      <c r="AJ63" s="153">
        <f t="shared" si="68"/>
        <v>1400128063</v>
      </c>
      <c r="AK63" s="10"/>
      <c r="AL63" s="151">
        <f>AL65+AL83+AL90+AL104</f>
        <v>5657703</v>
      </c>
      <c r="AM63" s="153">
        <f>AM65+AM83+AM90+AM104</f>
        <v>18324110</v>
      </c>
      <c r="AN63" s="10"/>
      <c r="AO63" s="365"/>
      <c r="AP63" s="365"/>
      <c r="AQ63" s="365"/>
      <c r="AR63" s="365"/>
      <c r="AS63" s="365"/>
      <c r="AT63" s="365"/>
      <c r="AU63" s="365"/>
      <c r="AV63" s="365"/>
      <c r="AW63" s="365"/>
      <c r="AX63" s="365"/>
      <c r="AY63" s="365"/>
      <c r="AZ63" s="365"/>
      <c r="BR63" s="514"/>
    </row>
    <row r="64" spans="1:70" s="514" customFormat="1" ht="15.75" x14ac:dyDescent="0.2">
      <c r="A64" s="188" t="str">
        <f>+IF(ENERO!A64=0,"",ENERO!A64)</f>
        <v>1130113-1</v>
      </c>
      <c r="B64" s="189" t="str">
        <f>+CONCATENATE("Vigencia ",INSTRUCCIONES!$F$3)</f>
        <v>Vigencia 2014</v>
      </c>
      <c r="C64" s="456">
        <f>+ENERO!C64</f>
        <v>40103182</v>
      </c>
      <c r="D64" s="456">
        <f>ENERO!D64+FEBRERO!P64</f>
        <v>0</v>
      </c>
      <c r="E64" s="456">
        <f>ENERO!E64+FEBRERO!Q64</f>
        <v>0</v>
      </c>
      <c r="F64" s="170">
        <f>SUM(C64:E64)</f>
        <v>40103182</v>
      </c>
      <c r="G64" s="283">
        <f>ENERO!I64</f>
        <v>1924053</v>
      </c>
      <c r="H64" s="815">
        <v>6585001</v>
      </c>
      <c r="I64" s="170">
        <f>SUM(G64:H64)</f>
        <v>8509054</v>
      </c>
      <c r="J64" s="283">
        <f>ENERO!L64</f>
        <v>0</v>
      </c>
      <c r="K64" s="814">
        <v>-197100</v>
      </c>
      <c r="L64" s="170">
        <f>SUM(J64:K64)</f>
        <v>-197100</v>
      </c>
      <c r="M64" s="283">
        <f>F64-I64</f>
        <v>31594128</v>
      </c>
      <c r="N64" s="170">
        <f>F64-L64</f>
        <v>40300282</v>
      </c>
      <c r="O64" s="467"/>
      <c r="P64" s="455">
        <v>0</v>
      </c>
      <c r="Q64" s="458">
        <v>0</v>
      </c>
      <c r="R64" s="10"/>
      <c r="S64" s="448" t="str">
        <f>+IF(ENERO!S64=0,"",ENERO!S64)</f>
        <v/>
      </c>
      <c r="T64" s="649" t="str">
        <f>+IF(ENERO!T64=0,"",ENERO!T64)</f>
        <v/>
      </c>
      <c r="U64" s="450"/>
      <c r="V64" s="193"/>
      <c r="W64" s="193"/>
      <c r="X64" s="207"/>
      <c r="Y64" s="450"/>
      <c r="Z64" s="193"/>
      <c r="AA64" s="193"/>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row>
    <row r="65" spans="1:70" s="514" customFormat="1" ht="15" x14ac:dyDescent="0.2">
      <c r="A65" s="188" t="str">
        <f>+IF(ENERO!A65=0,"",ENERO!A65)</f>
        <v>1130113-2</v>
      </c>
      <c r="B65" s="189" t="str">
        <f>+IF(ENERO!B65=0,"",ENERO!B65)</f>
        <v>Vigencias Anteriores</v>
      </c>
      <c r="C65" s="456">
        <f>+ENERO!C65</f>
        <v>12870020</v>
      </c>
      <c r="D65" s="456">
        <f>ENERO!D65+FEBRERO!P65</f>
        <v>0</v>
      </c>
      <c r="E65" s="456">
        <f>ENERO!E65+FEBRERO!Q65</f>
        <v>0</v>
      </c>
      <c r="F65" s="170">
        <f>SUM(C65:E65)</f>
        <v>12870020</v>
      </c>
      <c r="G65" s="283">
        <f>ENERO!I65</f>
        <v>5329312</v>
      </c>
      <c r="H65" s="457">
        <v>1558201</v>
      </c>
      <c r="I65" s="170">
        <f>SUM(G65:H65)</f>
        <v>6887513</v>
      </c>
      <c r="J65" s="283">
        <f>ENERO!L65</f>
        <v>5329312</v>
      </c>
      <c r="K65" s="457">
        <v>1558201</v>
      </c>
      <c r="L65" s="170">
        <f>SUM(J65:K65)</f>
        <v>6887513</v>
      </c>
      <c r="M65" s="283">
        <f>F65-I65</f>
        <v>5982507</v>
      </c>
      <c r="N65" s="170">
        <f>F65-L65</f>
        <v>5982507</v>
      </c>
      <c r="O65" s="467"/>
      <c r="P65" s="455">
        <v>0</v>
      </c>
      <c r="Q65" s="458">
        <v>0</v>
      </c>
      <c r="R65" s="10"/>
      <c r="S65" s="34">
        <f>+IF(ENERO!S65=0,"",ENERO!S65)</f>
        <v>1020100</v>
      </c>
      <c r="T65" s="237" t="str">
        <f>+IF(ENERO!T65=0,"",ENERO!T65)</f>
        <v>Servicios Personales Asociados a Nómina</v>
      </c>
      <c r="U65" s="151">
        <f t="shared" ref="U65:AJ65" si="69">SUM(U66:U69)+U81</f>
        <v>1157487731</v>
      </c>
      <c r="V65" s="144">
        <f t="shared" si="69"/>
        <v>5657703</v>
      </c>
      <c r="W65" s="144">
        <f t="shared" si="69"/>
        <v>8284212</v>
      </c>
      <c r="X65" s="153">
        <f t="shared" si="69"/>
        <v>1171429646</v>
      </c>
      <c r="Y65" s="151">
        <f t="shared" si="69"/>
        <v>104631480</v>
      </c>
      <c r="Z65" s="144">
        <f t="shared" si="69"/>
        <v>87394459</v>
      </c>
      <c r="AA65" s="152">
        <f t="shared" si="69"/>
        <v>192025939</v>
      </c>
      <c r="AB65" s="151">
        <f t="shared" si="69"/>
        <v>104631480</v>
      </c>
      <c r="AC65" s="144">
        <f t="shared" si="69"/>
        <v>87394459</v>
      </c>
      <c r="AD65" s="153">
        <f t="shared" si="69"/>
        <v>192025939</v>
      </c>
      <c r="AE65" s="151">
        <f t="shared" si="69"/>
        <v>79986912</v>
      </c>
      <c r="AF65" s="144">
        <f t="shared" si="69"/>
        <v>94410040</v>
      </c>
      <c r="AG65" s="153">
        <f t="shared" si="69"/>
        <v>174396952</v>
      </c>
      <c r="AH65" s="151">
        <f t="shared" si="69"/>
        <v>979403707</v>
      </c>
      <c r="AI65" s="144">
        <f t="shared" si="69"/>
        <v>979403707</v>
      </c>
      <c r="AJ65" s="153">
        <f t="shared" si="69"/>
        <v>997032694</v>
      </c>
      <c r="AK65" s="10"/>
      <c r="AL65" s="151">
        <f>SUM(AL66:AL69)+AL81</f>
        <v>5657703</v>
      </c>
      <c r="AM65" s="153">
        <f>SUM(AM66:AM69)+AM81</f>
        <v>8284212</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+IF(ENERO!A66=0,"",ENERO!A66)</f>
        <v>1130114</v>
      </c>
      <c r="B66" s="45" t="str">
        <f>+IF(ENERO!B66=0,"",ENERO!B66)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+IF(ENERO!S66=0,"",ENERO!S66)</f>
        <v>1020101</v>
      </c>
      <c r="T66" s="238" t="str">
        <f>+IF(ENERO!T66=0,"",ENERO!T66)</f>
        <v>Sueldos del Personal de nómina</v>
      </c>
      <c r="U66" s="31">
        <f>+ENERO!U66</f>
        <v>901111176</v>
      </c>
      <c r="V66" s="17">
        <f>ENERO!V66+FEBRERO!AL66</f>
        <v>0</v>
      </c>
      <c r="W66" s="17">
        <f>ENERO!W66+FEBRERO!AM66</f>
        <v>0</v>
      </c>
      <c r="X66" s="18">
        <f>SUM(U66:W66)</f>
        <v>901111176</v>
      </c>
      <c r="Y66" s="21">
        <f>ENERO!AA66</f>
        <v>71186481</v>
      </c>
      <c r="Z66" s="457">
        <v>77941325</v>
      </c>
      <c r="AA66" s="20">
        <f>SUM(Y66:Z66)</f>
        <v>149127806</v>
      </c>
      <c r="AB66" s="21">
        <f>ENERO!AD66</f>
        <v>71186481</v>
      </c>
      <c r="AC66" s="457">
        <v>77941325</v>
      </c>
      <c r="AD66" s="18">
        <f>SUM(AB66:AC66)</f>
        <v>149127806</v>
      </c>
      <c r="AE66" s="21">
        <f>ENERO!AG66</f>
        <v>56741752</v>
      </c>
      <c r="AF66" s="457">
        <v>75737409</v>
      </c>
      <c r="AG66" s="18">
        <f>SUM(AE66:AF66)</f>
        <v>132479161</v>
      </c>
      <c r="AH66" s="21">
        <f>X66-AA66</f>
        <v>751983370</v>
      </c>
      <c r="AI66" s="17">
        <f>X66-AD66</f>
        <v>751983370</v>
      </c>
      <c r="AJ66" s="18">
        <f>X66-AG66</f>
        <v>768632015</v>
      </c>
      <c r="AK66" s="10"/>
      <c r="AL66" s="455">
        <v>0</v>
      </c>
      <c r="AM66" s="458">
        <v>0</v>
      </c>
      <c r="AN66" s="10"/>
      <c r="AO66" s="365"/>
      <c r="AP66" s="365"/>
      <c r="AQ66" s="365"/>
      <c r="AR66" s="365"/>
      <c r="AS66" s="365"/>
      <c r="AT66" s="365"/>
      <c r="AU66" s="365"/>
      <c r="AV66" s="365"/>
      <c r="AW66" s="365"/>
      <c r="AX66" s="365"/>
      <c r="AY66" s="365"/>
      <c r="AZ66" s="365"/>
      <c r="BR66" s="514"/>
    </row>
    <row r="67" spans="1:70" s="514" customFormat="1" ht="15" x14ac:dyDescent="0.2">
      <c r="A67" s="188" t="str">
        <f>+IF(ENERO!A67=0,"",ENERO!A67)</f>
        <v>1130114-1</v>
      </c>
      <c r="B67" s="189" t="str">
        <f>+CONCATENATE("Vigencia ",INSTRUCCIONES!$F$3)</f>
        <v>Vigencia 2014</v>
      </c>
      <c r="C67" s="456">
        <f>+ENERO!C67</f>
        <v>0</v>
      </c>
      <c r="D67" s="456">
        <f>ENERO!D67+FEBRERO!P67</f>
        <v>0</v>
      </c>
      <c r="E67" s="456">
        <f>ENERO!E67+FEBRERO!Q67</f>
        <v>0</v>
      </c>
      <c r="F67" s="170">
        <f>SUM(C67:E67)</f>
        <v>0</v>
      </c>
      <c r="G67" s="283">
        <f>ENERO!I67</f>
        <v>0</v>
      </c>
      <c r="H67" s="457">
        <v>0</v>
      </c>
      <c r="I67" s="170">
        <f>SUM(G67:H67)</f>
        <v>0</v>
      </c>
      <c r="J67" s="283">
        <f>ENERO!L67</f>
        <v>0</v>
      </c>
      <c r="K67" s="457">
        <v>0</v>
      </c>
      <c r="L67" s="170">
        <f>SUM(J67:K67)</f>
        <v>0</v>
      </c>
      <c r="M67" s="283">
        <f>F67-I67</f>
        <v>0</v>
      </c>
      <c r="N67" s="170">
        <f>F67-L67</f>
        <v>0</v>
      </c>
      <c r="O67" s="467"/>
      <c r="P67" s="455">
        <v>0</v>
      </c>
      <c r="Q67" s="458">
        <v>0</v>
      </c>
      <c r="R67" s="10"/>
      <c r="S67" s="155">
        <f>+IF(ENERO!S67=0,"",ENERO!S67)</f>
        <v>1020102</v>
      </c>
      <c r="T67" s="238" t="str">
        <f>+IF(ENERO!T67=0,"",ENERO!T67)</f>
        <v>Horas Extras,Dominic.,Festivos y Rec. Nocturnos</v>
      </c>
      <c r="U67" s="31">
        <f>+ENERO!U67</f>
        <v>116857377</v>
      </c>
      <c r="V67" s="17">
        <f>ENERO!V67+FEBRERO!AL67</f>
        <v>0</v>
      </c>
      <c r="W67" s="17">
        <f>ENERO!W67+FEBRERO!AM67</f>
        <v>0</v>
      </c>
      <c r="X67" s="18">
        <f>SUM(U67:W67)</f>
        <v>116857377</v>
      </c>
      <c r="Y67" s="21">
        <f>ENERO!AA67</f>
        <v>7792833</v>
      </c>
      <c r="Z67" s="457">
        <v>7967231</v>
      </c>
      <c r="AA67" s="20">
        <f>SUM(Y67:Z67)</f>
        <v>15760064</v>
      </c>
      <c r="AB67" s="21">
        <f>ENERO!AD67</f>
        <v>7792833</v>
      </c>
      <c r="AC67" s="457">
        <v>7967231</v>
      </c>
      <c r="AD67" s="18">
        <f>SUM(AB67:AC67)</f>
        <v>15760064</v>
      </c>
      <c r="AE67" s="21">
        <f>ENERO!AG67</f>
        <v>7792833</v>
      </c>
      <c r="AF67" s="457">
        <v>7967231</v>
      </c>
      <c r="AG67" s="18">
        <f>SUM(AE67:AF67)</f>
        <v>15760064</v>
      </c>
      <c r="AH67" s="21">
        <f>X67-AA67</f>
        <v>101097313</v>
      </c>
      <c r="AI67" s="17">
        <f>X67-AD67</f>
        <v>101097313</v>
      </c>
      <c r="AJ67" s="18">
        <f>X67-AG67</f>
        <v>101097313</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row>
    <row r="68" spans="1:70" s="514" customFormat="1" ht="15" x14ac:dyDescent="0.2">
      <c r="A68" s="188" t="str">
        <f>+IF(ENERO!A68=0,"",ENERO!A68)</f>
        <v>1130114-2</v>
      </c>
      <c r="B68" s="189" t="str">
        <f>+IF(ENERO!B68=0,"",ENERO!B68)</f>
        <v>Vigencias Anteriores</v>
      </c>
      <c r="C68" s="456">
        <f>+ENERO!C68</f>
        <v>0</v>
      </c>
      <c r="D68" s="456">
        <f>ENERO!D68+FEBRERO!P68</f>
        <v>0</v>
      </c>
      <c r="E68" s="456">
        <f>ENERO!E68+FEBRERO!Q68</f>
        <v>0</v>
      </c>
      <c r="F68" s="170">
        <f>SUM(C68:E68)</f>
        <v>0</v>
      </c>
      <c r="G68" s="283">
        <f>ENERO!I68</f>
        <v>0</v>
      </c>
      <c r="H68" s="457">
        <v>0</v>
      </c>
      <c r="I68" s="170">
        <f>SUM(G68:H68)</f>
        <v>0</v>
      </c>
      <c r="J68" s="283">
        <f>ENERO!L68</f>
        <v>0</v>
      </c>
      <c r="K68" s="457">
        <v>0</v>
      </c>
      <c r="L68" s="170">
        <f>SUM(J68:K68)</f>
        <v>0</v>
      </c>
      <c r="M68" s="283">
        <f>F68-I68</f>
        <v>0</v>
      </c>
      <c r="N68" s="170">
        <f>F68-L68</f>
        <v>0</v>
      </c>
      <c r="O68" s="467"/>
      <c r="P68" s="455">
        <v>0</v>
      </c>
      <c r="Q68" s="458">
        <v>0</v>
      </c>
      <c r="R68" s="10"/>
      <c r="S68" s="155">
        <f>+IF(ENERO!S68=0,"",ENERO!S68)</f>
        <v>1020103</v>
      </c>
      <c r="T68" s="238" t="str">
        <f>+IF(ENERO!T68=0,"",ENERO!T68)</f>
        <v>Prima Técnica</v>
      </c>
      <c r="U68" s="31">
        <f>+ENERO!U68</f>
        <v>0</v>
      </c>
      <c r="V68" s="17">
        <f>ENERO!V68+FEBRERO!AL68</f>
        <v>0</v>
      </c>
      <c r="W68" s="17">
        <f>ENERO!W68+FEBRERO!AM68</f>
        <v>0</v>
      </c>
      <c r="X68" s="18">
        <f>SUM(U68:W68)</f>
        <v>0</v>
      </c>
      <c r="Y68" s="21">
        <f>ENERO!AA68</f>
        <v>0</v>
      </c>
      <c r="Z68" s="457">
        <v>0</v>
      </c>
      <c r="AA68" s="20">
        <f>SUM(Y68:Z68)</f>
        <v>0</v>
      </c>
      <c r="AB68" s="21">
        <f>ENERO!AD68</f>
        <v>0</v>
      </c>
      <c r="AC68" s="457">
        <v>0</v>
      </c>
      <c r="AD68" s="18">
        <f>SUM(AB68:AC68)</f>
        <v>0</v>
      </c>
      <c r="AE68" s="21">
        <f>ENERO!AG68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+IF(ENERO!A69=0,"",ENERO!A69)</f>
        <v>1130115</v>
      </c>
      <c r="B69" s="45" t="str">
        <f>+IF(ENERO!B69=0,"",ENERO!B69)</f>
        <v>ENTIDADES DE REGIMEN ESPECIAL (Magisterio, Fuerza Pca.)</v>
      </c>
      <c r="C69" s="53">
        <f t="shared" ref="C69:N69" si="71">SUM(C70:C71)</f>
        <v>111446544</v>
      </c>
      <c r="D69" s="53">
        <f t="shared" si="71"/>
        <v>0</v>
      </c>
      <c r="E69" s="53">
        <f t="shared" si="71"/>
        <v>0</v>
      </c>
      <c r="F69" s="54">
        <f t="shared" si="71"/>
        <v>111446544</v>
      </c>
      <c r="G69" s="52">
        <f t="shared" si="71"/>
        <v>1040705</v>
      </c>
      <c r="H69" s="53">
        <f t="shared" si="71"/>
        <v>1605177</v>
      </c>
      <c r="I69" s="54">
        <f t="shared" si="71"/>
        <v>2645882</v>
      </c>
      <c r="J69" s="52">
        <f t="shared" si="71"/>
        <v>0</v>
      </c>
      <c r="K69" s="53">
        <f t="shared" si="71"/>
        <v>550315</v>
      </c>
      <c r="L69" s="54">
        <f t="shared" si="71"/>
        <v>550315</v>
      </c>
      <c r="M69" s="52">
        <f t="shared" si="71"/>
        <v>108800662</v>
      </c>
      <c r="N69" s="54">
        <f t="shared" si="71"/>
        <v>110896229</v>
      </c>
      <c r="P69" s="52">
        <f>SUM(P70:P71)</f>
        <v>0</v>
      </c>
      <c r="Q69" s="54">
        <f>SUM(Q70:Q71)</f>
        <v>0</v>
      </c>
      <c r="R69" s="10"/>
      <c r="S69" s="155">
        <f>+IF(ENERO!S69=0,"",ENERO!S69)</f>
        <v>1020104</v>
      </c>
      <c r="T69" s="238" t="str">
        <f>+IF(ENERO!T69=0,"",ENERO!T69)</f>
        <v>Otros</v>
      </c>
      <c r="U69" s="31">
        <f t="shared" ref="U69:AJ69" si="72">SUM(U70:U80)</f>
        <v>130781064</v>
      </c>
      <c r="V69" s="17">
        <f t="shared" si="72"/>
        <v>0</v>
      </c>
      <c r="W69" s="17">
        <f t="shared" si="72"/>
        <v>0</v>
      </c>
      <c r="X69" s="18">
        <f t="shared" si="72"/>
        <v>130781064</v>
      </c>
      <c r="Y69" s="21">
        <f t="shared" si="72"/>
        <v>2972137</v>
      </c>
      <c r="Z69" s="169">
        <f t="shared" si="72"/>
        <v>1485903</v>
      </c>
      <c r="AA69" s="20">
        <f t="shared" si="72"/>
        <v>4458040</v>
      </c>
      <c r="AB69" s="21">
        <f t="shared" si="72"/>
        <v>2972137</v>
      </c>
      <c r="AC69" s="169">
        <f t="shared" si="72"/>
        <v>1485903</v>
      </c>
      <c r="AD69" s="18">
        <f t="shared" si="72"/>
        <v>4458040</v>
      </c>
      <c r="AE69" s="21">
        <f t="shared" si="72"/>
        <v>2972137</v>
      </c>
      <c r="AF69" s="169">
        <f t="shared" si="72"/>
        <v>1485903</v>
      </c>
      <c r="AG69" s="18">
        <f t="shared" si="72"/>
        <v>4458040</v>
      </c>
      <c r="AH69" s="21">
        <f t="shared" si="72"/>
        <v>126323024</v>
      </c>
      <c r="AI69" s="17">
        <f t="shared" si="72"/>
        <v>126323024</v>
      </c>
      <c r="AJ69" s="18">
        <f t="shared" si="72"/>
        <v>126323024</v>
      </c>
      <c r="AK69" s="10"/>
      <c r="AL69" s="31">
        <f>SUM(AL70:AL80)</f>
        <v>0</v>
      </c>
      <c r="AM69" s="28">
        <f>SUM(AM70:AM80)</f>
        <v>0</v>
      </c>
      <c r="AN69" s="10"/>
      <c r="AO69" s="365"/>
      <c r="AP69" s="365"/>
      <c r="AQ69" s="365"/>
      <c r="AR69" s="365"/>
      <c r="AS69" s="365"/>
      <c r="AT69" s="365"/>
      <c r="AU69" s="365"/>
      <c r="AV69" s="365"/>
      <c r="AW69" s="365"/>
      <c r="AX69" s="365"/>
      <c r="AY69" s="365"/>
      <c r="AZ69" s="365"/>
      <c r="BR69" s="514"/>
    </row>
    <row r="70" spans="1:70" s="514" customFormat="1" ht="15" x14ac:dyDescent="0.2">
      <c r="A70" s="188" t="str">
        <f>+IF(ENERO!A70=0,"",ENERO!A70)</f>
        <v>1130115-1</v>
      </c>
      <c r="B70" s="189" t="str">
        <f>+CONCATENATE("Vigencia ",INSTRUCCIONES!$F$3)</f>
        <v>Vigencia 2014</v>
      </c>
      <c r="C70" s="456">
        <f>+ENERO!C70</f>
        <v>75639118</v>
      </c>
      <c r="D70" s="456">
        <f>ENERO!D70+FEBRERO!P70</f>
        <v>0</v>
      </c>
      <c r="E70" s="456">
        <f>ENERO!E70+FEBRERO!Q70</f>
        <v>0</v>
      </c>
      <c r="F70" s="170">
        <f>SUM(C70:E70)</f>
        <v>75639118</v>
      </c>
      <c r="G70" s="283">
        <f>ENERO!I70</f>
        <v>1040705</v>
      </c>
      <c r="H70" s="457">
        <v>1054862</v>
      </c>
      <c r="I70" s="170">
        <f>SUM(G70:H70)</f>
        <v>2095567</v>
      </c>
      <c r="J70" s="283">
        <f>ENERO!L70</f>
        <v>0</v>
      </c>
      <c r="K70" s="457">
        <v>0</v>
      </c>
      <c r="L70" s="170">
        <f>SUM(J70:K70)</f>
        <v>0</v>
      </c>
      <c r="M70" s="283">
        <f>F70-I70</f>
        <v>73543551</v>
      </c>
      <c r="N70" s="170">
        <f>F70-L70</f>
        <v>75639118</v>
      </c>
      <c r="O70" s="467"/>
      <c r="P70" s="455">
        <v>0</v>
      </c>
      <c r="Q70" s="458">
        <v>0</v>
      </c>
      <c r="R70" s="10"/>
      <c r="S70" s="156" t="str">
        <f>+IF(ENERO!S70=0,"",ENERO!S70)</f>
        <v>1020104-1</v>
      </c>
      <c r="T70" s="251" t="str">
        <f>+IF(ENERO!T70=0,"",ENERO!T70)</f>
        <v xml:space="preserve">Prima de Navidad </v>
      </c>
      <c r="U70" s="31">
        <f>+ENERO!U70</f>
        <v>78694383</v>
      </c>
      <c r="V70" s="17">
        <f>ENERO!V70+FEBRERO!AL70</f>
        <v>0</v>
      </c>
      <c r="W70" s="17">
        <f>ENERO!W70+FEBRERO!AM70</f>
        <v>0</v>
      </c>
      <c r="X70" s="18">
        <f t="shared" ref="X70:X81" si="73">SUM(U70:W70)</f>
        <v>78694383</v>
      </c>
      <c r="Y70" s="21">
        <f>ENERO!AA70</f>
        <v>0</v>
      </c>
      <c r="Z70" s="457">
        <v>0</v>
      </c>
      <c r="AA70" s="20">
        <f t="shared" ref="AA70:AA81" si="74">SUM(Y70:Z70)</f>
        <v>0</v>
      </c>
      <c r="AB70" s="21">
        <f>ENERO!AD70</f>
        <v>0</v>
      </c>
      <c r="AC70" s="457">
        <v>0</v>
      </c>
      <c r="AD70" s="18">
        <f t="shared" ref="AD70:AD81" si="75">SUM(AB70:AC70)</f>
        <v>0</v>
      </c>
      <c r="AE70" s="21">
        <f>ENERO!AG70</f>
        <v>0</v>
      </c>
      <c r="AF70" s="457">
        <v>0</v>
      </c>
      <c r="AG70" s="18">
        <f t="shared" ref="AG70:AG81" si="76">SUM(AE70:AF70)</f>
        <v>0</v>
      </c>
      <c r="AH70" s="21">
        <f t="shared" ref="AH70:AH81" si="77">X70-AA70</f>
        <v>78694383</v>
      </c>
      <c r="AI70" s="17">
        <f t="shared" ref="AI70:AI81" si="78">X70-AD70</f>
        <v>78694383</v>
      </c>
      <c r="AJ70" s="18">
        <f t="shared" ref="AJ70:AJ81" si="79">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row>
    <row r="71" spans="1:70" s="514" customFormat="1" ht="15" x14ac:dyDescent="0.2">
      <c r="A71" s="188" t="str">
        <f>+IF(ENERO!A71=0,"",ENERO!A71)</f>
        <v>1130115-2</v>
      </c>
      <c r="B71" s="189" t="str">
        <f>+IF(ENERO!B71=0,"",ENERO!B71)</f>
        <v>Vigencias Anteriores</v>
      </c>
      <c r="C71" s="456">
        <f>+ENERO!C71</f>
        <v>35807426</v>
      </c>
      <c r="D71" s="456">
        <f>ENERO!D71+FEBRERO!P71</f>
        <v>0</v>
      </c>
      <c r="E71" s="456">
        <f>ENERO!E71+FEBRERO!Q71</f>
        <v>0</v>
      </c>
      <c r="F71" s="170">
        <f>SUM(C71:E71)</f>
        <v>35807426</v>
      </c>
      <c r="G71" s="283">
        <f>ENERO!I71</f>
        <v>0</v>
      </c>
      <c r="H71" s="457">
        <v>550315</v>
      </c>
      <c r="I71" s="170">
        <f>SUM(G71:H71)</f>
        <v>550315</v>
      </c>
      <c r="J71" s="283">
        <f>ENERO!L71</f>
        <v>0</v>
      </c>
      <c r="K71" s="457">
        <v>550315</v>
      </c>
      <c r="L71" s="170">
        <f>SUM(J71:K71)</f>
        <v>550315</v>
      </c>
      <c r="M71" s="283">
        <f>F71-I71</f>
        <v>35257111</v>
      </c>
      <c r="N71" s="170">
        <f>F71-L71</f>
        <v>35257111</v>
      </c>
      <c r="O71" s="467"/>
      <c r="P71" s="455">
        <v>0</v>
      </c>
      <c r="Q71" s="458">
        <v>0</v>
      </c>
      <c r="R71" s="10"/>
      <c r="S71" s="156" t="str">
        <f>+IF(ENERO!S71=0,"",ENERO!S71)</f>
        <v>1020104-2</v>
      </c>
      <c r="T71" s="251" t="str">
        <f>+IF(ENERO!T71=0,"",ENERO!T71)</f>
        <v>Prima Vida Cara</v>
      </c>
      <c r="U71" s="31">
        <f>+ENERO!U71</f>
        <v>0</v>
      </c>
      <c r="V71" s="17">
        <f>ENERO!V71+FEBRERO!AL71</f>
        <v>0</v>
      </c>
      <c r="W71" s="17">
        <f>ENERO!W71+FEBRERO!AM71</f>
        <v>0</v>
      </c>
      <c r="X71" s="18">
        <f t="shared" si="73"/>
        <v>0</v>
      </c>
      <c r="Y71" s="21">
        <f>ENERO!AA71</f>
        <v>0</v>
      </c>
      <c r="Z71" s="457">
        <v>0</v>
      </c>
      <c r="AA71" s="20">
        <f t="shared" si="74"/>
        <v>0</v>
      </c>
      <c r="AB71" s="21">
        <f>ENERO!AD71</f>
        <v>0</v>
      </c>
      <c r="AC71" s="457">
        <v>0</v>
      </c>
      <c r="AD71" s="18">
        <f t="shared" si="75"/>
        <v>0</v>
      </c>
      <c r="AE71" s="21">
        <f>ENERO!AG71</f>
        <v>0</v>
      </c>
      <c r="AF71" s="457">
        <v>0</v>
      </c>
      <c r="AG71" s="18">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+IF(ENERO!A72=0,"",ENERO!A72)</f>
        <v>1130116</v>
      </c>
      <c r="B72" s="45" t="str">
        <f>+IF(ENERO!B72=0,"",ENERO!B72)</f>
        <v>ADMINISTRADORAS DE RIESGOS PROFESIONALES</v>
      </c>
      <c r="C72" s="53">
        <f t="shared" ref="C72:N72" si="80">SUM(C73:C74)</f>
        <v>17675457</v>
      </c>
      <c r="D72" s="53">
        <f t="shared" si="80"/>
        <v>0</v>
      </c>
      <c r="E72" s="53">
        <f t="shared" si="80"/>
        <v>0</v>
      </c>
      <c r="F72" s="54">
        <f t="shared" si="80"/>
        <v>17675457</v>
      </c>
      <c r="G72" s="52">
        <f t="shared" si="80"/>
        <v>2032668</v>
      </c>
      <c r="H72" s="53">
        <f t="shared" si="80"/>
        <v>2307968</v>
      </c>
      <c r="I72" s="54">
        <f t="shared" si="80"/>
        <v>4340636</v>
      </c>
      <c r="J72" s="52">
        <f t="shared" si="80"/>
        <v>946882</v>
      </c>
      <c r="K72" s="53">
        <f t="shared" si="80"/>
        <v>1479327</v>
      </c>
      <c r="L72" s="54">
        <f t="shared" si="80"/>
        <v>2426209</v>
      </c>
      <c r="M72" s="52">
        <f t="shared" si="80"/>
        <v>13334821</v>
      </c>
      <c r="N72" s="54">
        <f t="shared" si="80"/>
        <v>15249248</v>
      </c>
      <c r="P72" s="52">
        <f>SUM(P73:P74)</f>
        <v>0</v>
      </c>
      <c r="Q72" s="54">
        <f>SUM(Q73:Q74)</f>
        <v>0</v>
      </c>
      <c r="R72" s="10"/>
      <c r="S72" s="156" t="str">
        <f>+IF(ENERO!S72=0,"",ENERO!S72)</f>
        <v>1020104-3</v>
      </c>
      <c r="T72" s="251" t="str">
        <f>+IF(ENERO!T72=0,"",ENERO!T72)</f>
        <v>Prima de Vacaciones</v>
      </c>
      <c r="U72" s="31">
        <f>+ENERO!U72</f>
        <v>37546299</v>
      </c>
      <c r="V72" s="17">
        <f>ENERO!V72+FEBRERO!AL72</f>
        <v>0</v>
      </c>
      <c r="W72" s="17">
        <f>ENERO!W72+FEBRERO!AM72</f>
        <v>0</v>
      </c>
      <c r="X72" s="18">
        <f t="shared" si="73"/>
        <v>37546299</v>
      </c>
      <c r="Y72" s="21">
        <f>ENERO!AA72</f>
        <v>2343963</v>
      </c>
      <c r="Z72" s="457">
        <v>1053187</v>
      </c>
      <c r="AA72" s="20">
        <f t="shared" si="74"/>
        <v>3397150</v>
      </c>
      <c r="AB72" s="21">
        <f>ENERO!AD72</f>
        <v>2343963</v>
      </c>
      <c r="AC72" s="457">
        <v>1053187</v>
      </c>
      <c r="AD72" s="18">
        <f t="shared" si="75"/>
        <v>3397150</v>
      </c>
      <c r="AE72" s="21">
        <f>ENERO!AG72</f>
        <v>2343963</v>
      </c>
      <c r="AF72" s="457">
        <v>1053187</v>
      </c>
      <c r="AG72" s="18">
        <f t="shared" si="76"/>
        <v>3397150</v>
      </c>
      <c r="AH72" s="21">
        <f t="shared" si="77"/>
        <v>34149149</v>
      </c>
      <c r="AI72" s="17">
        <f t="shared" si="78"/>
        <v>34149149</v>
      </c>
      <c r="AJ72" s="18">
        <f t="shared" si="79"/>
        <v>34149149</v>
      </c>
      <c r="AK72" s="10"/>
      <c r="AL72" s="455">
        <v>0</v>
      </c>
      <c r="AM72" s="458">
        <v>0</v>
      </c>
      <c r="AN72" s="10"/>
      <c r="AO72" s="365"/>
      <c r="AP72" s="365"/>
      <c r="AQ72" s="365"/>
      <c r="AR72" s="365"/>
      <c r="AS72" s="365"/>
      <c r="AT72" s="365"/>
      <c r="AU72" s="365"/>
      <c r="AV72" s="365"/>
      <c r="AW72" s="365"/>
      <c r="AX72" s="365"/>
      <c r="AY72" s="365"/>
      <c r="AZ72" s="365"/>
      <c r="BR72" s="514"/>
    </row>
    <row r="73" spans="1:70" s="514" customFormat="1" ht="15" x14ac:dyDescent="0.2">
      <c r="A73" s="188" t="str">
        <f>+IF(ENERO!A73=0,"",ENERO!A73)</f>
        <v>1130116-1</v>
      </c>
      <c r="B73" s="189" t="str">
        <f>+CONCATENATE("Vigencia ",INSTRUCCIONES!$F$3)</f>
        <v>Vigencia 2014</v>
      </c>
      <c r="C73" s="456">
        <f>+ENERO!C73</f>
        <v>13187137</v>
      </c>
      <c r="D73" s="456">
        <f>ENERO!D73+FEBRERO!P73</f>
        <v>0</v>
      </c>
      <c r="E73" s="456">
        <f>ENERO!E73+FEBRERO!Q73</f>
        <v>0</v>
      </c>
      <c r="F73" s="170">
        <f>SUM(C73:E73)</f>
        <v>13187137</v>
      </c>
      <c r="G73" s="283">
        <f>ENERO!I73</f>
        <v>1085786</v>
      </c>
      <c r="H73" s="457">
        <v>828641</v>
      </c>
      <c r="I73" s="170">
        <f>SUM(G73:H73)</f>
        <v>1914427</v>
      </c>
      <c r="J73" s="283">
        <f>ENERO!L73</f>
        <v>0</v>
      </c>
      <c r="K73" s="457">
        <v>0</v>
      </c>
      <c r="L73" s="170">
        <f>SUM(J73:K73)</f>
        <v>0</v>
      </c>
      <c r="M73" s="283">
        <f>F73-I73</f>
        <v>11272710</v>
      </c>
      <c r="N73" s="170">
        <f>F73-L73</f>
        <v>13187137</v>
      </c>
      <c r="O73" s="467"/>
      <c r="P73" s="455">
        <v>0</v>
      </c>
      <c r="Q73" s="458">
        <v>0</v>
      </c>
      <c r="R73" s="10"/>
      <c r="S73" s="156" t="str">
        <f>+IF(ENERO!S73=0,"",ENERO!S73)</f>
        <v>1020104-4</v>
      </c>
      <c r="T73" s="251" t="str">
        <f>+IF(ENERO!T73=0,"",ENERO!T73)</f>
        <v>Prima Clima</v>
      </c>
      <c r="U73" s="31">
        <f>+ENERO!U73</f>
        <v>0</v>
      </c>
      <c r="V73" s="17">
        <f>ENERO!V73+FEBRERO!AL73</f>
        <v>0</v>
      </c>
      <c r="W73" s="17">
        <f>ENERO!W73+FEBRERO!AM73</f>
        <v>0</v>
      </c>
      <c r="X73" s="18">
        <f t="shared" si="73"/>
        <v>0</v>
      </c>
      <c r="Y73" s="21">
        <f>ENERO!AA73</f>
        <v>0</v>
      </c>
      <c r="Z73" s="457">
        <v>0</v>
      </c>
      <c r="AA73" s="20">
        <f t="shared" si="74"/>
        <v>0</v>
      </c>
      <c r="AB73" s="21">
        <f>ENERO!AD73</f>
        <v>0</v>
      </c>
      <c r="AC73" s="457">
        <v>0</v>
      </c>
      <c r="AD73" s="18">
        <f t="shared" si="75"/>
        <v>0</v>
      </c>
      <c r="AE73" s="21">
        <f>ENERO!AG73</f>
        <v>0</v>
      </c>
      <c r="AF73" s="457">
        <v>0</v>
      </c>
      <c r="AG73" s="18">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row>
    <row r="74" spans="1:70" s="514" customFormat="1" ht="15" x14ac:dyDescent="0.2">
      <c r="A74" s="188" t="str">
        <f>+IF(ENERO!A74=0,"",ENERO!A74)</f>
        <v>1130116-2</v>
      </c>
      <c r="B74" s="189" t="str">
        <f>+IF(ENERO!B74=0,"",ENERO!B74)</f>
        <v>Vigencias Anteriores</v>
      </c>
      <c r="C74" s="456">
        <f>+ENERO!C74</f>
        <v>4488320</v>
      </c>
      <c r="D74" s="456">
        <f>ENERO!D74+FEBRERO!P74</f>
        <v>0</v>
      </c>
      <c r="E74" s="456">
        <f>ENERO!E74+FEBRERO!Q74</f>
        <v>0</v>
      </c>
      <c r="F74" s="170">
        <f>SUM(C74:E74)</f>
        <v>4488320</v>
      </c>
      <c r="G74" s="283">
        <f>ENERO!I74</f>
        <v>946882</v>
      </c>
      <c r="H74" s="457">
        <v>1479327</v>
      </c>
      <c r="I74" s="170">
        <f>SUM(G74:H74)</f>
        <v>2426209</v>
      </c>
      <c r="J74" s="283">
        <f>ENERO!L74</f>
        <v>946882</v>
      </c>
      <c r="K74" s="457">
        <v>1479327</v>
      </c>
      <c r="L74" s="170">
        <f>SUM(J74:K74)</f>
        <v>2426209</v>
      </c>
      <c r="M74" s="283">
        <f>F74-I74</f>
        <v>2062111</v>
      </c>
      <c r="N74" s="170">
        <f>F74-L74</f>
        <v>2062111</v>
      </c>
      <c r="O74" s="467"/>
      <c r="P74" s="455">
        <v>0</v>
      </c>
      <c r="Q74" s="458">
        <v>0</v>
      </c>
      <c r="R74" s="10"/>
      <c r="S74" s="156" t="str">
        <f>+IF(ENERO!S74=0,"",ENERO!S74)</f>
        <v>1020104-5</v>
      </c>
      <c r="T74" s="251" t="str">
        <f>+IF(ENERO!T74=0,"",ENERO!T74)</f>
        <v>Prima de Servicios</v>
      </c>
      <c r="U74" s="31">
        <f>+ENERO!U74</f>
        <v>5675116</v>
      </c>
      <c r="V74" s="17">
        <f>ENERO!V74+FEBRERO!AL74</f>
        <v>0</v>
      </c>
      <c r="W74" s="17">
        <f>ENERO!W74+FEBRERO!AM74</f>
        <v>0</v>
      </c>
      <c r="X74" s="18">
        <f t="shared" si="73"/>
        <v>5675116</v>
      </c>
      <c r="Y74" s="21">
        <f>ENERO!AA74</f>
        <v>0</v>
      </c>
      <c r="Z74" s="457">
        <v>0</v>
      </c>
      <c r="AA74" s="20">
        <f t="shared" si="74"/>
        <v>0</v>
      </c>
      <c r="AB74" s="21">
        <f>ENERO!AD74</f>
        <v>0</v>
      </c>
      <c r="AC74" s="457">
        <v>0</v>
      </c>
      <c r="AD74" s="18">
        <f t="shared" si="75"/>
        <v>0</v>
      </c>
      <c r="AE74" s="21">
        <f>ENERO!AG74</f>
        <v>0</v>
      </c>
      <c r="AF74" s="457">
        <v>0</v>
      </c>
      <c r="AG74" s="18">
        <f t="shared" si="76"/>
        <v>0</v>
      </c>
      <c r="AH74" s="21">
        <f t="shared" si="77"/>
        <v>5675116</v>
      </c>
      <c r="AI74" s="17">
        <f t="shared" si="78"/>
        <v>5675116</v>
      </c>
      <c r="AJ74" s="18">
        <f t="shared" si="79"/>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+IF(ENERO!A75=0,"",ENERO!A75)</f>
        <v>1130117</v>
      </c>
      <c r="B75" s="45" t="str">
        <f>+IF(ENERO!B75=0,"",ENERO!B75)</f>
        <v>CUOTAS DE RECUPERACION</v>
      </c>
      <c r="C75" s="53">
        <f t="shared" ref="C75:N75" si="81">SUM(C76:C77)</f>
        <v>1100000</v>
      </c>
      <c r="D75" s="53">
        <f t="shared" si="81"/>
        <v>0</v>
      </c>
      <c r="E75" s="53">
        <f t="shared" si="81"/>
        <v>0</v>
      </c>
      <c r="F75" s="54">
        <f t="shared" si="81"/>
        <v>1100000</v>
      </c>
      <c r="G75" s="52">
        <f t="shared" si="81"/>
        <v>6662612</v>
      </c>
      <c r="H75" s="53">
        <f t="shared" si="81"/>
        <v>8132878</v>
      </c>
      <c r="I75" s="54">
        <f t="shared" si="81"/>
        <v>14795490</v>
      </c>
      <c r="J75" s="52">
        <f t="shared" si="81"/>
        <v>6662612</v>
      </c>
      <c r="K75" s="53">
        <f t="shared" si="81"/>
        <v>8132878</v>
      </c>
      <c r="L75" s="54">
        <f t="shared" si="81"/>
        <v>14795490</v>
      </c>
      <c r="M75" s="52">
        <f t="shared" si="81"/>
        <v>-13695490</v>
      </c>
      <c r="N75" s="54">
        <f t="shared" si="81"/>
        <v>-13695490</v>
      </c>
      <c r="P75" s="52">
        <f>SUM(P76:P77)</f>
        <v>0</v>
      </c>
      <c r="Q75" s="54">
        <f>SUM(Q76:Q77)</f>
        <v>0</v>
      </c>
      <c r="R75" s="10"/>
      <c r="S75" s="156" t="str">
        <f>+IF(ENERO!S75=0,"",ENERO!S75)</f>
        <v>1020104-8</v>
      </c>
      <c r="T75" s="251" t="str">
        <f>+IF(ENERO!T75=0,"",ENERO!T75)</f>
        <v>Bonific. por Servicios Prestados (Convencional)</v>
      </c>
      <c r="U75" s="31">
        <f>+ENERO!U75</f>
        <v>0</v>
      </c>
      <c r="V75" s="17">
        <f>ENERO!V75+FEBRERO!AL75</f>
        <v>0</v>
      </c>
      <c r="W75" s="17">
        <f>ENERO!W75+FEBRERO!AM75</f>
        <v>0</v>
      </c>
      <c r="X75" s="18">
        <f t="shared" si="73"/>
        <v>0</v>
      </c>
      <c r="Y75" s="21">
        <f>ENERO!AA75</f>
        <v>0</v>
      </c>
      <c r="Z75" s="457">
        <v>0</v>
      </c>
      <c r="AA75" s="20">
        <f t="shared" si="74"/>
        <v>0</v>
      </c>
      <c r="AB75" s="21">
        <f>ENERO!AD75</f>
        <v>0</v>
      </c>
      <c r="AC75" s="457">
        <v>0</v>
      </c>
      <c r="AD75" s="18">
        <f t="shared" si="75"/>
        <v>0</v>
      </c>
      <c r="AE75" s="21">
        <f>ENERO!AG75</f>
        <v>0</v>
      </c>
      <c r="AF75" s="457">
        <v>0</v>
      </c>
      <c r="AG75" s="18">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c r="BR75" s="514"/>
    </row>
    <row r="76" spans="1:70" s="514" customFormat="1" ht="15" x14ac:dyDescent="0.2">
      <c r="A76" s="188" t="str">
        <f>+IF(ENERO!A76=0,"",ENERO!A76)</f>
        <v>1130117-1</v>
      </c>
      <c r="B76" s="189" t="str">
        <f>+CONCATENATE("Vigencia ",INSTRUCCIONES!$F$3)</f>
        <v>Vigencia 2014</v>
      </c>
      <c r="C76" s="456">
        <f>+ENERO!C76</f>
        <v>1100000</v>
      </c>
      <c r="D76" s="456">
        <f>ENERO!D76+FEBRERO!P76</f>
        <v>0</v>
      </c>
      <c r="E76" s="456">
        <f>ENERO!E76+FEBRERO!Q76</f>
        <v>0</v>
      </c>
      <c r="F76" s="170">
        <f t="shared" ref="F76:F83" si="82">SUM(C76:E76)</f>
        <v>1100000</v>
      </c>
      <c r="G76" s="283">
        <f>ENERO!I76</f>
        <v>6662612</v>
      </c>
      <c r="H76" s="457">
        <v>8132878</v>
      </c>
      <c r="I76" s="170">
        <f t="shared" ref="I76:I83" si="83">SUM(G76:H76)</f>
        <v>14795490</v>
      </c>
      <c r="J76" s="283">
        <f>ENERO!L76</f>
        <v>6662612</v>
      </c>
      <c r="K76" s="457">
        <v>8132878</v>
      </c>
      <c r="L76" s="170">
        <f t="shared" ref="L76:L83" si="84">SUM(J76:K76)</f>
        <v>14795490</v>
      </c>
      <c r="M76" s="283">
        <f t="shared" ref="M76:M83" si="85">F76-I76</f>
        <v>-13695490</v>
      </c>
      <c r="N76" s="170">
        <f t="shared" ref="N76:N83" si="86">F76-L76</f>
        <v>-13695490</v>
      </c>
      <c r="O76" s="467"/>
      <c r="P76" s="455">
        <v>0</v>
      </c>
      <c r="Q76" s="458">
        <v>0</v>
      </c>
      <c r="R76" s="10"/>
      <c r="S76" s="156" t="str">
        <f>+IF(ENERO!S76=0,"",ENERO!S76)</f>
        <v>1020104-9</v>
      </c>
      <c r="T76" s="251" t="str">
        <f>+IF(ENERO!T76=0,"",ENERO!T76)</f>
        <v>Auxilio de Transporte</v>
      </c>
      <c r="U76" s="31">
        <f>+ENERO!U76</f>
        <v>0</v>
      </c>
      <c r="V76" s="17">
        <f>ENERO!V76+FEBRERO!AL76</f>
        <v>0</v>
      </c>
      <c r="W76" s="17">
        <f>ENERO!W76+FEBRERO!AM76</f>
        <v>0</v>
      </c>
      <c r="X76" s="18">
        <f t="shared" si="73"/>
        <v>0</v>
      </c>
      <c r="Y76" s="21">
        <f>ENERO!AA76</f>
        <v>0</v>
      </c>
      <c r="Z76" s="457">
        <v>0</v>
      </c>
      <c r="AA76" s="20">
        <f t="shared" si="74"/>
        <v>0</v>
      </c>
      <c r="AB76" s="21">
        <f>ENERO!AD76</f>
        <v>0</v>
      </c>
      <c r="AC76" s="457">
        <v>0</v>
      </c>
      <c r="AD76" s="18">
        <f t="shared" si="75"/>
        <v>0</v>
      </c>
      <c r="AE76" s="21">
        <f>ENERO!AG76</f>
        <v>0</v>
      </c>
      <c r="AF76" s="457">
        <v>0</v>
      </c>
      <c r="AG76" s="18">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row>
    <row r="77" spans="1:70" s="514" customFormat="1" ht="15" x14ac:dyDescent="0.2">
      <c r="A77" s="188" t="str">
        <f>+IF(ENERO!A77=0,"",ENERO!A77)</f>
        <v>1130117-2</v>
      </c>
      <c r="B77" s="189" t="str">
        <f>+IF(ENERO!B77=0,"",ENERO!B77)</f>
        <v>Vigencias Anteriores</v>
      </c>
      <c r="C77" s="456">
        <f>+ENERO!C77</f>
        <v>0</v>
      </c>
      <c r="D77" s="456">
        <f>ENERO!D77+FEBRERO!P77</f>
        <v>0</v>
      </c>
      <c r="E77" s="456">
        <f>ENERO!E77+FEBRERO!Q77</f>
        <v>0</v>
      </c>
      <c r="F77" s="170">
        <f t="shared" si="82"/>
        <v>0</v>
      </c>
      <c r="G77" s="283">
        <f>ENERO!I77</f>
        <v>0</v>
      </c>
      <c r="H77" s="457">
        <v>0</v>
      </c>
      <c r="I77" s="170">
        <f t="shared" si="83"/>
        <v>0</v>
      </c>
      <c r="J77" s="283">
        <f>ENERO!L77</f>
        <v>0</v>
      </c>
      <c r="K77" s="457">
        <v>0</v>
      </c>
      <c r="L77" s="170">
        <f t="shared" si="84"/>
        <v>0</v>
      </c>
      <c r="M77" s="283">
        <f t="shared" si="85"/>
        <v>0</v>
      </c>
      <c r="N77" s="170">
        <f t="shared" si="86"/>
        <v>0</v>
      </c>
      <c r="O77" s="467"/>
      <c r="P77" s="455">
        <v>0</v>
      </c>
      <c r="Q77" s="458">
        <v>0</v>
      </c>
      <c r="R77" s="10"/>
      <c r="S77" s="156" t="str">
        <f>+IF(ENERO!S77=0,"",ENERO!S77)</f>
        <v>1020104-10</v>
      </c>
      <c r="T77" s="251" t="str">
        <f>+IF(ENERO!T77=0,"",ENERO!T77)</f>
        <v>Subsidio de Alimentación</v>
      </c>
      <c r="U77" s="31">
        <f>+ENERO!U77</f>
        <v>3859093</v>
      </c>
      <c r="V77" s="17">
        <f>ENERO!V77+FEBRERO!AL77</f>
        <v>0</v>
      </c>
      <c r="W77" s="17">
        <f>ENERO!W77+FEBRERO!AM77</f>
        <v>0</v>
      </c>
      <c r="X77" s="18">
        <f t="shared" si="73"/>
        <v>3859093</v>
      </c>
      <c r="Y77" s="21">
        <f>ENERO!AA77</f>
        <v>292550</v>
      </c>
      <c r="Z77" s="457">
        <v>320264</v>
      </c>
      <c r="AA77" s="20">
        <f t="shared" si="74"/>
        <v>612814</v>
      </c>
      <c r="AB77" s="21">
        <f>ENERO!AD77</f>
        <v>292550</v>
      </c>
      <c r="AC77" s="457">
        <v>320264</v>
      </c>
      <c r="AD77" s="18">
        <f t="shared" si="75"/>
        <v>612814</v>
      </c>
      <c r="AE77" s="21">
        <f>ENERO!AG77</f>
        <v>292550</v>
      </c>
      <c r="AF77" s="457">
        <v>320264</v>
      </c>
      <c r="AG77" s="18">
        <f t="shared" si="76"/>
        <v>612814</v>
      </c>
      <c r="AH77" s="21">
        <f t="shared" si="77"/>
        <v>3246279</v>
      </c>
      <c r="AI77" s="17">
        <f t="shared" si="78"/>
        <v>3246279</v>
      </c>
      <c r="AJ77" s="18">
        <f t="shared" si="79"/>
        <v>3246279</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+IF(ENERO!A78=0,"",ENERO!A78)</f>
        <v>1130118</v>
      </c>
      <c r="B78" s="45" t="str">
        <f>+IF(ENERO!B78=0,"",ENERO!B78)</f>
        <v>PARTICULARES   (Venta de Contado)</v>
      </c>
      <c r="C78" s="53">
        <f>SUM(C79:C80)</f>
        <v>81679743</v>
      </c>
      <c r="D78" s="53">
        <f>SUM(D79:D80)</f>
        <v>0</v>
      </c>
      <c r="E78" s="53">
        <f>SUM(E79:E80)</f>
        <v>0</v>
      </c>
      <c r="F78" s="54">
        <f t="shared" si="82"/>
        <v>81679743</v>
      </c>
      <c r="G78" s="52">
        <f>SUM(G79:G80)</f>
        <v>2393187</v>
      </c>
      <c r="H78" s="53">
        <f>SUM(H79:H80)</f>
        <v>470701</v>
      </c>
      <c r="I78" s="54">
        <f t="shared" si="83"/>
        <v>2863888</v>
      </c>
      <c r="J78" s="52">
        <f>SUM(J79:J80)</f>
        <v>2065009</v>
      </c>
      <c r="K78" s="53">
        <f>SUM(K79:K80)</f>
        <v>338775</v>
      </c>
      <c r="L78" s="54">
        <f t="shared" si="84"/>
        <v>2403784</v>
      </c>
      <c r="M78" s="52">
        <f t="shared" si="85"/>
        <v>78815855</v>
      </c>
      <c r="N78" s="54">
        <f t="shared" si="86"/>
        <v>79275959</v>
      </c>
      <c r="O78" s="467"/>
      <c r="P78" s="52">
        <f>SUM(P79:P80)</f>
        <v>0</v>
      </c>
      <c r="Q78" s="54">
        <f>SUM(Q79:Q80)</f>
        <v>0</v>
      </c>
      <c r="R78" s="10"/>
      <c r="S78" s="156" t="str">
        <f>+IF(ENERO!S78=0,"",ENERO!S78)</f>
        <v>1020104-12</v>
      </c>
      <c r="T78" s="251" t="str">
        <f>+IF(ENERO!T78=0,"",ENERO!T78)</f>
        <v>Indemnizaciones por Vacaciones o Supresión de Cargos por Reestructuración</v>
      </c>
      <c r="U78" s="31">
        <f>+ENERO!U78</f>
        <v>0</v>
      </c>
      <c r="V78" s="17">
        <f>ENERO!V78+FEBRERO!AL78</f>
        <v>0</v>
      </c>
      <c r="W78" s="17">
        <f>ENERO!W78+FEBRERO!AM78</f>
        <v>0</v>
      </c>
      <c r="X78" s="18">
        <f t="shared" si="73"/>
        <v>0</v>
      </c>
      <c r="Y78" s="21">
        <f>ENERO!AA78</f>
        <v>0</v>
      </c>
      <c r="Z78" s="457">
        <v>0</v>
      </c>
      <c r="AA78" s="20">
        <f t="shared" si="74"/>
        <v>0</v>
      </c>
      <c r="AB78" s="21">
        <f>ENERO!AD78</f>
        <v>0</v>
      </c>
      <c r="AC78" s="457">
        <v>0</v>
      </c>
      <c r="AD78" s="18">
        <f t="shared" si="75"/>
        <v>0</v>
      </c>
      <c r="AE78" s="21">
        <f>ENERO!AG78</f>
        <v>0</v>
      </c>
      <c r="AF78" s="457">
        <v>0</v>
      </c>
      <c r="AG78" s="18">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row>
    <row r="79" spans="1:70" s="467" customFormat="1" ht="15" x14ac:dyDescent="0.2">
      <c r="A79" s="188" t="str">
        <f>+IF(ENERO!A79=0,"",ENERO!A79)</f>
        <v>1130118-1</v>
      </c>
      <c r="B79" s="189" t="str">
        <f>+CONCATENATE("Vigencia ",INSTRUCCIONES!$F$3)</f>
        <v>Vigencia 2014</v>
      </c>
      <c r="C79" s="456">
        <f>+ENERO!C79</f>
        <v>81679743</v>
      </c>
      <c r="D79" s="456">
        <f>ENERO!D79+FEBRERO!P79</f>
        <v>0</v>
      </c>
      <c r="E79" s="456">
        <f>ENERO!E79+FEBRERO!Q79</f>
        <v>0</v>
      </c>
      <c r="F79" s="170">
        <f t="shared" si="82"/>
        <v>81679743</v>
      </c>
      <c r="G79" s="283">
        <f>ENERO!I79</f>
        <v>2393187</v>
      </c>
      <c r="H79" s="457">
        <v>470701</v>
      </c>
      <c r="I79" s="170">
        <f t="shared" si="83"/>
        <v>2863888</v>
      </c>
      <c r="J79" s="283">
        <f>ENERO!L79</f>
        <v>2065009</v>
      </c>
      <c r="K79" s="457">
        <v>338775</v>
      </c>
      <c r="L79" s="170">
        <f t="shared" si="84"/>
        <v>2403784</v>
      </c>
      <c r="M79" s="283">
        <f t="shared" si="85"/>
        <v>78815855</v>
      </c>
      <c r="N79" s="170">
        <f t="shared" si="86"/>
        <v>79275959</v>
      </c>
      <c r="P79" s="455">
        <v>0</v>
      </c>
      <c r="Q79" s="458">
        <v>0</v>
      </c>
      <c r="R79" s="10"/>
      <c r="S79" s="156" t="str">
        <f>+IF(ENERO!S79=0,"",ENERO!S79)</f>
        <v>1020104-13</v>
      </c>
      <c r="T79" s="251" t="str">
        <f>+IF(ENERO!T79=0,"",ENERO!T79)</f>
        <v>Bonificación Especial por Recreación</v>
      </c>
      <c r="U79" s="31">
        <f>+ENERO!U79</f>
        <v>5006173</v>
      </c>
      <c r="V79" s="17">
        <f>ENERO!V79+FEBRERO!AL79</f>
        <v>0</v>
      </c>
      <c r="W79" s="17">
        <f>ENERO!W79+FEBRERO!AM79</f>
        <v>0</v>
      </c>
      <c r="X79" s="18">
        <f t="shared" si="73"/>
        <v>5006173</v>
      </c>
      <c r="Y79" s="21">
        <f>ENERO!AA79</f>
        <v>335624</v>
      </c>
      <c r="Z79" s="457">
        <v>112452</v>
      </c>
      <c r="AA79" s="20">
        <f t="shared" si="74"/>
        <v>448076</v>
      </c>
      <c r="AB79" s="21">
        <f>ENERO!AD79</f>
        <v>335624</v>
      </c>
      <c r="AC79" s="457">
        <v>112452</v>
      </c>
      <c r="AD79" s="18">
        <f t="shared" si="75"/>
        <v>448076</v>
      </c>
      <c r="AE79" s="21">
        <f>ENERO!AG79</f>
        <v>335624</v>
      </c>
      <c r="AF79" s="457">
        <v>112452</v>
      </c>
      <c r="AG79" s="18">
        <f t="shared" si="76"/>
        <v>448076</v>
      </c>
      <c r="AH79" s="21">
        <f t="shared" si="77"/>
        <v>4558097</v>
      </c>
      <c r="AI79" s="17">
        <f t="shared" si="78"/>
        <v>4558097</v>
      </c>
      <c r="AJ79" s="18">
        <f t="shared" si="79"/>
        <v>4558097</v>
      </c>
      <c r="AK79" s="10"/>
      <c r="AL79" s="455">
        <v>0</v>
      </c>
      <c r="AM79" s="458">
        <v>0</v>
      </c>
      <c r="AN79" s="10"/>
      <c r="AO79" s="365"/>
      <c r="AP79" s="365"/>
      <c r="AQ79" s="365"/>
      <c r="AR79" s="365"/>
      <c r="AS79" s="365"/>
      <c r="AT79" s="365"/>
      <c r="AU79" s="365"/>
      <c r="AV79" s="365"/>
      <c r="AW79" s="365"/>
      <c r="AX79" s="365"/>
      <c r="AY79" s="365"/>
      <c r="AZ79" s="365"/>
      <c r="BL79" s="10"/>
      <c r="BR79" s="514"/>
    </row>
    <row r="80" spans="1:70" s="10" customFormat="1" ht="15" x14ac:dyDescent="0.2">
      <c r="A80" s="188" t="str">
        <f>+IF(ENERO!A80=0,"",ENERO!A80)</f>
        <v>1130118-2</v>
      </c>
      <c r="B80" s="189" t="str">
        <f>+IF(ENERO!B80=0,"",ENERO!B80)</f>
        <v>Vigencias Anteriores</v>
      </c>
      <c r="C80" s="456">
        <f>+ENERO!C80</f>
        <v>0</v>
      </c>
      <c r="D80" s="456">
        <f>ENERO!D80+FEBRERO!P80</f>
        <v>0</v>
      </c>
      <c r="E80" s="456">
        <f>ENERO!E80+FEBRERO!Q80</f>
        <v>0</v>
      </c>
      <c r="F80" s="170">
        <f t="shared" si="82"/>
        <v>0</v>
      </c>
      <c r="G80" s="283">
        <f>ENERO!I80</f>
        <v>0</v>
      </c>
      <c r="H80" s="457">
        <v>0</v>
      </c>
      <c r="I80" s="170">
        <f t="shared" si="83"/>
        <v>0</v>
      </c>
      <c r="J80" s="283">
        <f>ENERO!L80</f>
        <v>0</v>
      </c>
      <c r="K80" s="457">
        <v>0</v>
      </c>
      <c r="L80" s="170">
        <f t="shared" si="84"/>
        <v>0</v>
      </c>
      <c r="M80" s="283">
        <f t="shared" si="85"/>
        <v>0</v>
      </c>
      <c r="N80" s="170">
        <f t="shared" si="86"/>
        <v>0</v>
      </c>
      <c r="O80" s="467"/>
      <c r="P80" s="455">
        <v>0</v>
      </c>
      <c r="Q80" s="458">
        <v>0</v>
      </c>
      <c r="S80" s="156" t="str">
        <f>+IF(ENERO!S80=0,"",ENERO!S80)</f>
        <v>1020104-14</v>
      </c>
      <c r="T80" s="251" t="str">
        <f>+IF(ENERO!T80=0,"",ENERO!T80)</f>
        <v/>
      </c>
      <c r="U80" s="31">
        <f>+ENERO!U80</f>
        <v>0</v>
      </c>
      <c r="V80" s="17">
        <f>ENERO!V80+FEBRERO!AL80</f>
        <v>0</v>
      </c>
      <c r="W80" s="17">
        <f>ENERO!W80+FEBRERO!AM80</f>
        <v>0</v>
      </c>
      <c r="X80" s="18">
        <f t="shared" si="73"/>
        <v>0</v>
      </c>
      <c r="Y80" s="21">
        <f>ENERO!AA80</f>
        <v>0</v>
      </c>
      <c r="Z80" s="457">
        <v>0</v>
      </c>
      <c r="AA80" s="20">
        <f t="shared" si="74"/>
        <v>0</v>
      </c>
      <c r="AB80" s="21">
        <f>ENERO!AD80</f>
        <v>0</v>
      </c>
      <c r="AC80" s="457">
        <v>0</v>
      </c>
      <c r="AD80" s="18">
        <f t="shared" si="75"/>
        <v>0</v>
      </c>
      <c r="AE80" s="21">
        <f>ENERO!AG80</f>
        <v>0</v>
      </c>
      <c r="AF80" s="457">
        <v>0</v>
      </c>
      <c r="AG80" s="18">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514"/>
    </row>
    <row r="81" spans="1:70" s="467" customFormat="1" x14ac:dyDescent="0.2">
      <c r="A81" s="57">
        <f>+IF(ENERO!A81=0,"",ENERO!A81)</f>
        <v>1130119</v>
      </c>
      <c r="B81" s="45" t="str">
        <f>+IF(ENERO!B81=0,"",ENERO!B81)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+IF(ENERO!S81=0,"",ENERO!S81)</f>
        <v>1020199</v>
      </c>
      <c r="T81" s="238" t="str">
        <f>+IF(ENERO!T81=0,"",ENERO!T81)</f>
        <v>Vigencias Anteriores</v>
      </c>
      <c r="U81" s="31">
        <f>+ENERO!U81</f>
        <v>8738114</v>
      </c>
      <c r="V81" s="17">
        <f>ENERO!V81+FEBRERO!AL81</f>
        <v>5657703</v>
      </c>
      <c r="W81" s="17">
        <f>ENERO!W81+FEBRERO!AM81</f>
        <v>8284212</v>
      </c>
      <c r="X81" s="18">
        <f t="shared" si="73"/>
        <v>22680029</v>
      </c>
      <c r="Y81" s="21">
        <f>ENERO!AA81</f>
        <v>22680029</v>
      </c>
      <c r="Z81" s="457">
        <v>0</v>
      </c>
      <c r="AA81" s="20">
        <f t="shared" si="74"/>
        <v>22680029</v>
      </c>
      <c r="AB81" s="21">
        <f>ENERO!AD81</f>
        <v>22680029</v>
      </c>
      <c r="AC81" s="457">
        <v>0</v>
      </c>
      <c r="AD81" s="18">
        <f t="shared" si="75"/>
        <v>22680029</v>
      </c>
      <c r="AE81" s="21">
        <f>ENERO!AG81</f>
        <v>12480190</v>
      </c>
      <c r="AF81" s="457">
        <v>9219497</v>
      </c>
      <c r="AG81" s="18">
        <f t="shared" si="76"/>
        <v>21699687</v>
      </c>
      <c r="AH81" s="21">
        <f t="shared" si="77"/>
        <v>0</v>
      </c>
      <c r="AI81" s="17">
        <f t="shared" si="78"/>
        <v>0</v>
      </c>
      <c r="AJ81" s="18">
        <f t="shared" si="79"/>
        <v>980342</v>
      </c>
      <c r="AK81" s="10"/>
      <c r="AL81" s="455">
        <v>5657703</v>
      </c>
      <c r="AM81" s="458">
        <v>8284212</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+IF(ENERO!A82=0,"",ENERO!A82)</f>
        <v>1130119-1</v>
      </c>
      <c r="B82" s="189" t="str">
        <f>+CONCATENATE("Vigencia ",INSTRUCCIONES!$F$3)</f>
        <v>Vigencia 2014</v>
      </c>
      <c r="C82" s="456">
        <f>+ENERO!C82</f>
        <v>0</v>
      </c>
      <c r="D82" s="456">
        <f>ENERO!D82+FEBRERO!P82</f>
        <v>0</v>
      </c>
      <c r="E82" s="456">
        <f>ENERO!E82+FEBRERO!Q82</f>
        <v>0</v>
      </c>
      <c r="F82" s="170">
        <f t="shared" si="82"/>
        <v>0</v>
      </c>
      <c r="G82" s="283">
        <f>ENERO!I82</f>
        <v>0</v>
      </c>
      <c r="H82" s="457">
        <v>0</v>
      </c>
      <c r="I82" s="170">
        <f t="shared" si="83"/>
        <v>0</v>
      </c>
      <c r="J82" s="283">
        <f>ENERO!L82</f>
        <v>0</v>
      </c>
      <c r="K82" s="457">
        <v>0</v>
      </c>
      <c r="L82" s="170">
        <f t="shared" si="84"/>
        <v>0</v>
      </c>
      <c r="M82" s="283">
        <f t="shared" si="85"/>
        <v>0</v>
      </c>
      <c r="N82" s="170">
        <f t="shared" si="86"/>
        <v>0</v>
      </c>
      <c r="P82" s="455">
        <v>0</v>
      </c>
      <c r="Q82" s="458">
        <v>0</v>
      </c>
      <c r="R82" s="10"/>
      <c r="S82" s="448" t="str">
        <f>+IF(ENERO!S82=0,"",ENERO!S82)</f>
        <v/>
      </c>
      <c r="T82" s="649" t="str">
        <f>+IF(ENERO!T82=0,"",ENERO!T82)</f>
        <v/>
      </c>
      <c r="U82" s="450"/>
      <c r="V82" s="193"/>
      <c r="W82" s="193"/>
      <c r="X82" s="207"/>
      <c r="Y82" s="450"/>
      <c r="Z82" s="193"/>
      <c r="AA82" s="193"/>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+IF(ENERO!A83=0,"",ENERO!A83)</f>
        <v>1130119-2</v>
      </c>
      <c r="B83" s="189" t="str">
        <f>+IF(ENERO!B83=0,"",ENERO!B83)</f>
        <v>Vigencias Anteriores</v>
      </c>
      <c r="C83" s="456">
        <f>+ENERO!C83</f>
        <v>0</v>
      </c>
      <c r="D83" s="456">
        <f>ENERO!D83+FEBRERO!P83</f>
        <v>0</v>
      </c>
      <c r="E83" s="456">
        <f>ENERO!E83+FEBRERO!Q83</f>
        <v>0</v>
      </c>
      <c r="F83" s="170">
        <f t="shared" si="82"/>
        <v>0</v>
      </c>
      <c r="G83" s="283">
        <f>ENERO!I83</f>
        <v>0</v>
      </c>
      <c r="H83" s="457">
        <v>0</v>
      </c>
      <c r="I83" s="170">
        <f t="shared" si="83"/>
        <v>0</v>
      </c>
      <c r="J83" s="283">
        <f>ENERO!L83</f>
        <v>0</v>
      </c>
      <c r="K83" s="457">
        <v>0</v>
      </c>
      <c r="L83" s="170">
        <f t="shared" si="84"/>
        <v>0</v>
      </c>
      <c r="M83" s="283">
        <f t="shared" si="85"/>
        <v>0</v>
      </c>
      <c r="N83" s="170">
        <f t="shared" si="86"/>
        <v>0</v>
      </c>
      <c r="P83" s="455">
        <v>0</v>
      </c>
      <c r="Q83" s="458">
        <v>0</v>
      </c>
      <c r="R83" s="10"/>
      <c r="S83" s="34">
        <f>+IF(ENERO!S83=0,"",ENERO!S83)</f>
        <v>1020200</v>
      </c>
      <c r="T83" s="237" t="str">
        <f>+IF(ENERO!T83=0,"",ENERO!T83)</f>
        <v>Servicios Personales Indirectos</v>
      </c>
      <c r="U83" s="151">
        <f t="shared" ref="U83:AJ83" si="88">SUM(U84:U88)</f>
        <v>71000000</v>
      </c>
      <c r="V83" s="144">
        <f t="shared" si="88"/>
        <v>0</v>
      </c>
      <c r="W83" s="144">
        <f t="shared" si="88"/>
        <v>4687311</v>
      </c>
      <c r="X83" s="153">
        <f t="shared" si="88"/>
        <v>75687311</v>
      </c>
      <c r="Y83" s="151">
        <f t="shared" si="88"/>
        <v>10510988</v>
      </c>
      <c r="Z83" s="144">
        <f t="shared" si="88"/>
        <v>5358030</v>
      </c>
      <c r="AA83" s="152">
        <f t="shared" si="88"/>
        <v>15869018</v>
      </c>
      <c r="AB83" s="151">
        <f t="shared" si="88"/>
        <v>10510288</v>
      </c>
      <c r="AC83" s="144">
        <f t="shared" si="88"/>
        <v>5357930</v>
      </c>
      <c r="AD83" s="153">
        <f t="shared" si="88"/>
        <v>15868218</v>
      </c>
      <c r="AE83" s="151">
        <f t="shared" si="88"/>
        <v>7331156</v>
      </c>
      <c r="AF83" s="144">
        <f t="shared" si="88"/>
        <v>2872755</v>
      </c>
      <c r="AG83" s="153">
        <f t="shared" si="88"/>
        <v>10203911</v>
      </c>
      <c r="AH83" s="151">
        <f t="shared" si="88"/>
        <v>59818293</v>
      </c>
      <c r="AI83" s="144">
        <f t="shared" si="88"/>
        <v>59819093</v>
      </c>
      <c r="AJ83" s="153">
        <f t="shared" si="88"/>
        <v>65483400</v>
      </c>
      <c r="AK83" s="10"/>
      <c r="AL83" s="151">
        <f>SUM(AL84:AL88)</f>
        <v>0</v>
      </c>
      <c r="AM83" s="153">
        <f>SUM(AM84:AM88)</f>
        <v>4687311</v>
      </c>
      <c r="AN83" s="10"/>
      <c r="AO83" s="365"/>
      <c r="AP83" s="365"/>
      <c r="AQ83" s="365"/>
      <c r="AR83" s="365"/>
      <c r="AS83" s="365"/>
      <c r="AT83" s="365"/>
      <c r="AU83" s="365"/>
      <c r="AV83" s="365"/>
      <c r="AW83" s="365"/>
      <c r="AX83" s="365"/>
      <c r="AY83" s="365"/>
      <c r="AZ83" s="365"/>
      <c r="BM83" s="10"/>
    </row>
    <row r="84" spans="1:70" s="467" customFormat="1" x14ac:dyDescent="0.2">
      <c r="A84" s="200" t="str">
        <f>+IF(ENERO!A84=0,"",ENERO!A84)</f>
        <v/>
      </c>
      <c r="B84" s="557" t="str">
        <f>+IF(ENERO!B84=0,"",ENERO!B84)</f>
        <v/>
      </c>
      <c r="C84" s="495"/>
      <c r="D84" s="495"/>
      <c r="E84" s="495"/>
      <c r="F84" s="495"/>
      <c r="G84" s="495"/>
      <c r="H84" s="495"/>
      <c r="I84" s="495"/>
      <c r="J84" s="495"/>
      <c r="K84" s="495"/>
      <c r="L84" s="495"/>
      <c r="M84" s="495"/>
      <c r="N84" s="496"/>
      <c r="P84" s="497"/>
      <c r="Q84" s="496"/>
      <c r="R84" s="10"/>
      <c r="S84" s="155" t="str">
        <f>+IF(ENERO!S84=0,"",ENERO!S84)</f>
        <v>1020200-1</v>
      </c>
      <c r="T84" s="238" t="str">
        <f>+IF(ENERO!T84=0,"",ENERO!T84)</f>
        <v>Remuneración y Honorarios por Servicios Técnicos y Profesionales</v>
      </c>
      <c r="U84" s="31">
        <f>+ENERO!U84</f>
        <v>20000000</v>
      </c>
      <c r="V84" s="17">
        <f>ENERO!V84+FEBRERO!AL84</f>
        <v>0</v>
      </c>
      <c r="W84" s="17">
        <f>ENERO!W84+FEBRERO!AM84</f>
        <v>0</v>
      </c>
      <c r="X84" s="18">
        <f>SUM(U84:W84)</f>
        <v>20000000</v>
      </c>
      <c r="Y84" s="21">
        <f>ENERO!AA84</f>
        <v>1310477</v>
      </c>
      <c r="Z84" s="457">
        <v>1497552</v>
      </c>
      <c r="AA84" s="20">
        <f>SUM(Y84:Z84)</f>
        <v>2808029</v>
      </c>
      <c r="AB84" s="21">
        <f>ENERO!AD84</f>
        <v>1310477</v>
      </c>
      <c r="AC84" s="457">
        <v>1497552</v>
      </c>
      <c r="AD84" s="18">
        <f>SUM(AB84:AC84)</f>
        <v>2808029</v>
      </c>
      <c r="AE84" s="21">
        <f>ENERO!AG84</f>
        <v>0</v>
      </c>
      <c r="AF84" s="457">
        <v>0</v>
      </c>
      <c r="AG84" s="18">
        <f>SUM(AE84:AF84)</f>
        <v>0</v>
      </c>
      <c r="AH84" s="21">
        <f>X84-AA84</f>
        <v>17191971</v>
      </c>
      <c r="AI84" s="17">
        <f>X84-AD84</f>
        <v>17191971</v>
      </c>
      <c r="AJ84" s="18">
        <f>X84-AG84</f>
        <v>20000000</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+IF(ENERO!A85=0,"",ENERO!A85)</f>
        <v>11302</v>
      </c>
      <c r="B85" s="460" t="str">
        <f>+IF(ENERO!B85=0,"",ENERO!B85)</f>
        <v>Venta de Otros Bienes y Servicios</v>
      </c>
      <c r="C85" s="559">
        <f t="shared" ref="C85:N85" si="89">SUM(C86:C93)</f>
        <v>115179029</v>
      </c>
      <c r="D85" s="559">
        <f t="shared" si="89"/>
        <v>0</v>
      </c>
      <c r="E85" s="559">
        <f t="shared" si="89"/>
        <v>0</v>
      </c>
      <c r="F85" s="560">
        <f t="shared" si="89"/>
        <v>115179029</v>
      </c>
      <c r="G85" s="558">
        <f t="shared" si="89"/>
        <v>1099705</v>
      </c>
      <c r="H85" s="559">
        <f t="shared" si="89"/>
        <v>62796424</v>
      </c>
      <c r="I85" s="560">
        <f t="shared" si="89"/>
        <v>63896129</v>
      </c>
      <c r="J85" s="558">
        <f t="shared" si="89"/>
        <v>1099705</v>
      </c>
      <c r="K85" s="559">
        <f t="shared" si="89"/>
        <v>62796424</v>
      </c>
      <c r="L85" s="560">
        <f t="shared" si="89"/>
        <v>63896129</v>
      </c>
      <c r="M85" s="558">
        <f t="shared" si="89"/>
        <v>51282900</v>
      </c>
      <c r="N85" s="560">
        <f t="shared" si="89"/>
        <v>51282900</v>
      </c>
      <c r="P85" s="52">
        <f>SUM(P86:P93)</f>
        <v>0</v>
      </c>
      <c r="Q85" s="54">
        <f>SUM(Q86:Q93)</f>
        <v>0</v>
      </c>
      <c r="R85" s="10"/>
      <c r="S85" s="155" t="str">
        <f>+IF(ENERO!S85=0,"",ENERO!S85)</f>
        <v>1020200-2</v>
      </c>
      <c r="T85" s="238" t="str">
        <f>+IF(ENERO!T85=0,"",ENERO!T85)</f>
        <v>Personal Supernumerario</v>
      </c>
      <c r="U85" s="31">
        <f>+ENERO!U85</f>
        <v>22000000</v>
      </c>
      <c r="V85" s="17">
        <f>ENERO!V85+FEBRERO!AL85</f>
        <v>0</v>
      </c>
      <c r="W85" s="17">
        <f>ENERO!W85+FEBRERO!AM85</f>
        <v>0</v>
      </c>
      <c r="X85" s="18">
        <f>SUM(U85:W85)</f>
        <v>22000000</v>
      </c>
      <c r="Y85" s="21">
        <f>ENERO!AA85</f>
        <v>0</v>
      </c>
      <c r="Z85" s="457">
        <v>414978</v>
      </c>
      <c r="AA85" s="20">
        <f>SUM(Y85:Z85)</f>
        <v>414978</v>
      </c>
      <c r="AB85" s="21">
        <f>ENERO!AD85</f>
        <v>0</v>
      </c>
      <c r="AC85" s="457">
        <v>414978</v>
      </c>
      <c r="AD85" s="18">
        <f>SUM(AB85:AC85)</f>
        <v>414978</v>
      </c>
      <c r="AE85" s="21">
        <f>ENERO!AG85</f>
        <v>0</v>
      </c>
      <c r="AF85" s="457">
        <v>0</v>
      </c>
      <c r="AG85" s="18">
        <f>SUM(AE85:AF85)</f>
        <v>0</v>
      </c>
      <c r="AH85" s="21">
        <f>X85-AA85</f>
        <v>21585022</v>
      </c>
      <c r="AI85" s="17">
        <f>X85-AD85</f>
        <v>21585022</v>
      </c>
      <c r="AJ85" s="18">
        <f>X85-AG85</f>
        <v>22000000</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+IF(ENERO!A86=0,"",ENERO!A86)</f>
        <v>1130201</v>
      </c>
      <c r="B86" s="55" t="str">
        <f>+IF(ENERO!B86=0,"",ENERO!B86)</f>
        <v>ARRENDAMIENTO Y ALQUILER DE BIENES MUEBLES E INMUEBLES</v>
      </c>
      <c r="C86" s="456">
        <f>+ENERO!C86</f>
        <v>3552425</v>
      </c>
      <c r="D86" s="456">
        <f>ENERO!D86+FEBRERO!P86</f>
        <v>0</v>
      </c>
      <c r="E86" s="456">
        <f>ENERO!E86+FEBRERO!Q86</f>
        <v>0</v>
      </c>
      <c r="F86" s="170">
        <f t="shared" ref="F86:F92" si="90">SUM(C86:E86)</f>
        <v>3552425</v>
      </c>
      <c r="G86" s="576">
        <f>ENERO!I86</f>
        <v>106947</v>
      </c>
      <c r="H86" s="457">
        <v>1378003</v>
      </c>
      <c r="I86" s="170">
        <f t="shared" ref="I86:I92" si="91">SUM(G86:H86)</f>
        <v>1484950</v>
      </c>
      <c r="J86" s="283">
        <f>ENERO!L86</f>
        <v>106947</v>
      </c>
      <c r="K86" s="457">
        <v>1378003</v>
      </c>
      <c r="L86" s="170">
        <f t="shared" ref="L86:L92" si="92">SUM(J86:K86)</f>
        <v>1484950</v>
      </c>
      <c r="M86" s="283">
        <f t="shared" ref="M86:M92" si="93">F86-I86</f>
        <v>2067475</v>
      </c>
      <c r="N86" s="170">
        <f t="shared" ref="N86:N92" si="94">F86-L86</f>
        <v>2067475</v>
      </c>
      <c r="O86" s="467"/>
      <c r="P86" s="455">
        <v>0</v>
      </c>
      <c r="Q86" s="458">
        <v>0</v>
      </c>
      <c r="S86" s="155" t="str">
        <f>+IF(ENERO!S86=0,"",ENERO!S86)</f>
        <v>1020200-4</v>
      </c>
      <c r="T86" s="238" t="str">
        <f>+IF(ENERO!T86=0,"",ENERO!T86)</f>
        <v>Otros Honorarios (Servicios de Cooperativa)</v>
      </c>
      <c r="U86" s="31">
        <f>+ENERO!U86</f>
        <v>25000000</v>
      </c>
      <c r="V86" s="17">
        <f>ENERO!V86+FEBRERO!AL86</f>
        <v>0</v>
      </c>
      <c r="W86" s="17">
        <f>ENERO!W86+FEBRERO!AM86</f>
        <v>0</v>
      </c>
      <c r="X86" s="18">
        <f>SUM(U86:W86)</f>
        <v>25000000</v>
      </c>
      <c r="Y86" s="21">
        <f>ENERO!AA86</f>
        <v>513200</v>
      </c>
      <c r="Z86" s="457">
        <v>3445500</v>
      </c>
      <c r="AA86" s="20">
        <f>SUM(Y86:Z86)</f>
        <v>3958700</v>
      </c>
      <c r="AB86" s="21">
        <f>ENERO!AD86</f>
        <v>512500</v>
      </c>
      <c r="AC86" s="457">
        <v>3445400</v>
      </c>
      <c r="AD86" s="18">
        <f>SUM(AB86:AC86)</f>
        <v>3957900</v>
      </c>
      <c r="AE86" s="21">
        <f>ENERO!AG86</f>
        <v>0</v>
      </c>
      <c r="AF86" s="457">
        <v>1563900</v>
      </c>
      <c r="AG86" s="18">
        <f>SUM(AE86:AF86)</f>
        <v>1563900</v>
      </c>
      <c r="AH86" s="21">
        <f>X86-AA86</f>
        <v>21041300</v>
      </c>
      <c r="AI86" s="17">
        <f>X86-AD86</f>
        <v>21042100</v>
      </c>
      <c r="AJ86" s="18">
        <f>X86-AG86</f>
        <v>23436100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+IF(ENERO!A87=0,"",ENERO!A87)</f>
        <v>1130202</v>
      </c>
      <c r="B87" s="55" t="str">
        <f>+IF(ENERO!B87=0,"",ENERO!B87)</f>
        <v>COMERCIALIZACIÓN DE MERCANCÍAS</v>
      </c>
      <c r="C87" s="456">
        <f>+ENERO!C87</f>
        <v>0</v>
      </c>
      <c r="D87" s="456">
        <f>ENERO!D87+FEBRERO!P87</f>
        <v>0</v>
      </c>
      <c r="E87" s="456">
        <f>ENERO!E87+FEBRERO!Q87</f>
        <v>0</v>
      </c>
      <c r="F87" s="170">
        <f t="shared" si="90"/>
        <v>0</v>
      </c>
      <c r="G87" s="283">
        <f>ENERO!I87</f>
        <v>0</v>
      </c>
      <c r="H87" s="457">
        <v>0</v>
      </c>
      <c r="I87" s="170">
        <f t="shared" si="91"/>
        <v>0</v>
      </c>
      <c r="J87" s="283">
        <f>ENERO!L87</f>
        <v>0</v>
      </c>
      <c r="K87" s="457">
        <v>0</v>
      </c>
      <c r="L87" s="170">
        <f t="shared" si="92"/>
        <v>0</v>
      </c>
      <c r="M87" s="283">
        <f t="shared" si="93"/>
        <v>0</v>
      </c>
      <c r="N87" s="170">
        <f t="shared" si="94"/>
        <v>0</v>
      </c>
      <c r="P87" s="455">
        <v>0</v>
      </c>
      <c r="Q87" s="458">
        <v>0</v>
      </c>
      <c r="R87" s="10"/>
      <c r="S87" s="155" t="str">
        <f>+IF(ENERO!S87=0,"",ENERO!S87)</f>
        <v/>
      </c>
      <c r="T87" s="238" t="str">
        <f>+IF(ENERO!T87=0,"",ENERO!T87)</f>
        <v/>
      </c>
      <c r="U87" s="31">
        <f>+ENERO!U87</f>
        <v>0</v>
      </c>
      <c r="V87" s="17">
        <f>ENERO!V87+FEBRERO!AL87</f>
        <v>0</v>
      </c>
      <c r="W87" s="17">
        <f>ENERO!W87+FEBRERO!AM87</f>
        <v>0</v>
      </c>
      <c r="X87" s="18">
        <f>SUM(U87:W87)</f>
        <v>0</v>
      </c>
      <c r="Y87" s="21">
        <f>ENERO!AA87</f>
        <v>0</v>
      </c>
      <c r="Z87" s="457">
        <v>0</v>
      </c>
      <c r="AA87" s="20">
        <f>SUM(Y87:Z87)</f>
        <v>0</v>
      </c>
      <c r="AB87" s="21">
        <f>ENERO!AD87</f>
        <v>0</v>
      </c>
      <c r="AC87" s="457">
        <v>0</v>
      </c>
      <c r="AD87" s="18">
        <f>SUM(AB87:AC87)</f>
        <v>0</v>
      </c>
      <c r="AE87" s="21">
        <f>ENERO!AG87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+IF(ENERO!A88=0,"",ENERO!A88)</f>
        <v>1130203</v>
      </c>
      <c r="B88" s="55" t="str">
        <f>+IF(ENERO!B88=0,"",ENERO!B88)</f>
        <v>CONVENIOS CON LA NACION LIGADOS A LA VTA DE SERVICIOS</v>
      </c>
      <c r="C88" s="456">
        <f>+ENERO!C88</f>
        <v>0</v>
      </c>
      <c r="D88" s="456">
        <f>ENERO!D88+FEBRERO!P88</f>
        <v>0</v>
      </c>
      <c r="E88" s="456">
        <f>ENERO!E88+FEBRERO!Q88</f>
        <v>0</v>
      </c>
      <c r="F88" s="170">
        <f t="shared" si="90"/>
        <v>0</v>
      </c>
      <c r="G88" s="283">
        <f>ENERO!I88</f>
        <v>0</v>
      </c>
      <c r="H88" s="457">
        <v>0</v>
      </c>
      <c r="I88" s="170">
        <f t="shared" si="91"/>
        <v>0</v>
      </c>
      <c r="J88" s="283">
        <f>ENERO!L88</f>
        <v>0</v>
      </c>
      <c r="K88" s="457">
        <v>0</v>
      </c>
      <c r="L88" s="170">
        <f t="shared" si="92"/>
        <v>0</v>
      </c>
      <c r="M88" s="283">
        <f t="shared" si="93"/>
        <v>0</v>
      </c>
      <c r="N88" s="170">
        <f t="shared" si="94"/>
        <v>0</v>
      </c>
      <c r="P88" s="455">
        <v>0</v>
      </c>
      <c r="Q88" s="458">
        <v>0</v>
      </c>
      <c r="R88" s="10"/>
      <c r="S88" s="155">
        <f>+IF(ENERO!S88=0,"",ENERO!S88)</f>
        <v>1020299</v>
      </c>
      <c r="T88" s="238" t="str">
        <f>+IF(ENERO!T88=0,"",ENERO!T88)</f>
        <v>Vigencias Anteriores</v>
      </c>
      <c r="U88" s="31">
        <f>+ENERO!U88</f>
        <v>4000000</v>
      </c>
      <c r="V88" s="17">
        <f>ENERO!V88+FEBRERO!AL88</f>
        <v>0</v>
      </c>
      <c r="W88" s="17">
        <f>ENERO!W88+FEBRERO!AM88</f>
        <v>4687311</v>
      </c>
      <c r="X88" s="18">
        <f>SUM(U88:W88)</f>
        <v>8687311</v>
      </c>
      <c r="Y88" s="21">
        <f>ENERO!AA88</f>
        <v>8687311</v>
      </c>
      <c r="Z88" s="457">
        <v>0</v>
      </c>
      <c r="AA88" s="20">
        <f>SUM(Y88:Z88)</f>
        <v>8687311</v>
      </c>
      <c r="AB88" s="21">
        <f>ENERO!AD88</f>
        <v>8687311</v>
      </c>
      <c r="AC88" s="457">
        <v>0</v>
      </c>
      <c r="AD88" s="18">
        <f>SUM(AB88:AC88)</f>
        <v>8687311</v>
      </c>
      <c r="AE88" s="21">
        <f>ENERO!AG88</f>
        <v>7331156</v>
      </c>
      <c r="AF88" s="457">
        <v>1308855</v>
      </c>
      <c r="AG88" s="18">
        <f>SUM(AE88:AF88)</f>
        <v>8640011</v>
      </c>
      <c r="AH88" s="21">
        <f>X88-AA88</f>
        <v>0</v>
      </c>
      <c r="AI88" s="17">
        <f>X88-AD88</f>
        <v>0</v>
      </c>
      <c r="AJ88" s="18">
        <f>X88-AG88</f>
        <v>47300</v>
      </c>
      <c r="AK88" s="10"/>
      <c r="AL88" s="455">
        <v>0</v>
      </c>
      <c r="AM88" s="458">
        <v>4687311</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+IF(ENERO!A89=0,"",ENERO!A89)</f>
        <v>1130204</v>
      </c>
      <c r="B89" s="55" t="str">
        <f>+IF(ENERO!B89=0,"",ENERO!B89)</f>
        <v>CONVENIOS CON EL DEPARTAMENTO LIGADOS A LA VTA SERVICIOS</v>
      </c>
      <c r="C89" s="456">
        <f>+ENERO!C89</f>
        <v>0</v>
      </c>
      <c r="D89" s="456">
        <f>ENERO!D89+FEBRERO!P89</f>
        <v>0</v>
      </c>
      <c r="E89" s="456">
        <f>ENERO!E89+FEBRERO!Q89</f>
        <v>0</v>
      </c>
      <c r="F89" s="170">
        <f t="shared" si="90"/>
        <v>0</v>
      </c>
      <c r="G89" s="283">
        <f>ENERO!I89</f>
        <v>0</v>
      </c>
      <c r="H89" s="457">
        <v>0</v>
      </c>
      <c r="I89" s="170">
        <f t="shared" si="91"/>
        <v>0</v>
      </c>
      <c r="J89" s="283">
        <f>ENERO!L89</f>
        <v>0</v>
      </c>
      <c r="K89" s="457">
        <v>0</v>
      </c>
      <c r="L89" s="170">
        <f t="shared" si="92"/>
        <v>0</v>
      </c>
      <c r="M89" s="283">
        <f t="shared" si="93"/>
        <v>0</v>
      </c>
      <c r="N89" s="170">
        <f t="shared" si="94"/>
        <v>0</v>
      </c>
      <c r="P89" s="455">
        <v>0</v>
      </c>
      <c r="Q89" s="458">
        <v>0</v>
      </c>
      <c r="R89" s="10"/>
      <c r="S89" s="448" t="str">
        <f>+IF(ENERO!S89=0,"",ENERO!S89)</f>
        <v/>
      </c>
      <c r="T89" s="649" t="str">
        <f>+IF(ENERO!T89=0,"",ENERO!T89)</f>
        <v/>
      </c>
      <c r="U89" s="450"/>
      <c r="V89" s="193"/>
      <c r="W89" s="193"/>
      <c r="X89" s="207"/>
      <c r="Y89" s="450"/>
      <c r="Z89" s="193"/>
      <c r="AA89" s="193"/>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+IF(ENERO!A90=0,"",ENERO!A90)</f>
        <v>1130205</v>
      </c>
      <c r="B90" s="55" t="str">
        <f>+IF(ENERO!B90=0,"",ENERO!B90)</f>
        <v>CONVENIOS CON EL MUNICIPIO LIGADOS A LA VTA DE SERVICIOS</v>
      </c>
      <c r="C90" s="456">
        <f>+ENERO!C90</f>
        <v>0</v>
      </c>
      <c r="D90" s="456">
        <f>ENERO!D90+FEBRERO!P90</f>
        <v>0</v>
      </c>
      <c r="E90" s="456">
        <f>ENERO!E90+FEBRERO!Q90</f>
        <v>0</v>
      </c>
      <c r="F90" s="170">
        <f t="shared" si="90"/>
        <v>0</v>
      </c>
      <c r="G90" s="283">
        <f>ENERO!I90</f>
        <v>0</v>
      </c>
      <c r="H90" s="457">
        <v>0</v>
      </c>
      <c r="I90" s="170">
        <f t="shared" si="91"/>
        <v>0</v>
      </c>
      <c r="J90" s="283">
        <f>ENERO!L90</f>
        <v>0</v>
      </c>
      <c r="K90" s="457">
        <v>0</v>
      </c>
      <c r="L90" s="170">
        <f t="shared" si="92"/>
        <v>0</v>
      </c>
      <c r="M90" s="283">
        <f t="shared" si="93"/>
        <v>0</v>
      </c>
      <c r="N90" s="170">
        <f t="shared" si="94"/>
        <v>0</v>
      </c>
      <c r="O90" s="467"/>
      <c r="P90" s="455">
        <v>0</v>
      </c>
      <c r="Q90" s="458">
        <v>0</v>
      </c>
      <c r="R90" s="32"/>
      <c r="S90" s="34">
        <f>+IF(ENERO!S90=0,"",ENERO!S90)</f>
        <v>1020300</v>
      </c>
      <c r="T90" s="237" t="str">
        <f>+IF(ENERO!T90=0,"",ENERO!T90)</f>
        <v>Contribuciones Inherentes nómina al Sector Privado</v>
      </c>
      <c r="U90" s="151">
        <f t="shared" ref="U90:AJ90" si="95">U91+U96+U102</f>
        <v>371241003</v>
      </c>
      <c r="V90" s="144">
        <f t="shared" si="95"/>
        <v>0</v>
      </c>
      <c r="W90" s="144">
        <f t="shared" si="95"/>
        <v>5352587</v>
      </c>
      <c r="X90" s="153">
        <f t="shared" si="95"/>
        <v>376593590</v>
      </c>
      <c r="Y90" s="151">
        <f t="shared" si="95"/>
        <v>27078187</v>
      </c>
      <c r="Z90" s="144">
        <f t="shared" si="95"/>
        <v>75448869</v>
      </c>
      <c r="AA90" s="152">
        <f t="shared" si="95"/>
        <v>102527056</v>
      </c>
      <c r="AB90" s="151">
        <f t="shared" si="95"/>
        <v>27078187</v>
      </c>
      <c r="AC90" s="144">
        <f t="shared" si="95"/>
        <v>75448869</v>
      </c>
      <c r="AD90" s="153">
        <f t="shared" si="95"/>
        <v>102527056</v>
      </c>
      <c r="AE90" s="151">
        <f t="shared" si="95"/>
        <v>14191531</v>
      </c>
      <c r="AF90" s="144">
        <f t="shared" si="95"/>
        <v>77413465</v>
      </c>
      <c r="AG90" s="153">
        <f t="shared" si="95"/>
        <v>91604996</v>
      </c>
      <c r="AH90" s="151">
        <f t="shared" si="95"/>
        <v>274066534</v>
      </c>
      <c r="AI90" s="144">
        <f t="shared" si="95"/>
        <v>274066534</v>
      </c>
      <c r="AJ90" s="153">
        <f t="shared" si="95"/>
        <v>284988594</v>
      </c>
      <c r="AK90" s="10"/>
      <c r="AL90" s="151">
        <f>AL91+AL96+AL102</f>
        <v>0</v>
      </c>
      <c r="AM90" s="153">
        <f>AM91+AM96+AM102</f>
        <v>5352587</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+IF(ENERO!A91=0,"",ENERO!A91)</f>
        <v>1130206</v>
      </c>
      <c r="B91" s="55" t="str">
        <f>+IF(ENERO!B91=0,"",ENERO!B91)</f>
        <v>OTROS CONVENIOS LIGADOS A LA VTA DE SERVICIOS</v>
      </c>
      <c r="C91" s="456">
        <f>+ENERO!C91</f>
        <v>0</v>
      </c>
      <c r="D91" s="456">
        <f>ENERO!D91+FEBRERO!P91</f>
        <v>0</v>
      </c>
      <c r="E91" s="456">
        <f>ENERO!E91+FEBRERO!Q91</f>
        <v>0</v>
      </c>
      <c r="F91" s="170">
        <f t="shared" si="90"/>
        <v>0</v>
      </c>
      <c r="G91" s="283">
        <f>ENERO!I91</f>
        <v>0</v>
      </c>
      <c r="H91" s="457">
        <v>0</v>
      </c>
      <c r="I91" s="170">
        <f t="shared" si="91"/>
        <v>0</v>
      </c>
      <c r="J91" s="283">
        <f>ENERO!L91</f>
        <v>0</v>
      </c>
      <c r="K91" s="457">
        <v>0</v>
      </c>
      <c r="L91" s="170">
        <f t="shared" si="92"/>
        <v>0</v>
      </c>
      <c r="M91" s="283">
        <f t="shared" si="93"/>
        <v>0</v>
      </c>
      <c r="N91" s="170">
        <f t="shared" si="94"/>
        <v>0</v>
      </c>
      <c r="O91" s="467"/>
      <c r="P91" s="455">
        <v>0</v>
      </c>
      <c r="Q91" s="458">
        <v>0</v>
      </c>
      <c r="R91" s="32"/>
      <c r="S91" s="155">
        <f>+IF(ENERO!S91=0,"",ENERO!S91)</f>
        <v>1020301</v>
      </c>
      <c r="T91" s="238" t="str">
        <f>+IF(ENERO!T91=0,"",ENERO!T91)</f>
        <v>Contribuciones - Sin Situación de Fondos</v>
      </c>
      <c r="U91" s="31">
        <f t="shared" ref="U91:AJ91" si="96">SUM(U92:U95)</f>
        <v>165265755</v>
      </c>
      <c r="V91" s="17">
        <f t="shared" si="96"/>
        <v>0</v>
      </c>
      <c r="W91" s="17">
        <f t="shared" si="96"/>
        <v>0</v>
      </c>
      <c r="X91" s="18">
        <f t="shared" si="96"/>
        <v>165265755</v>
      </c>
      <c r="Y91" s="21">
        <f t="shared" si="96"/>
        <v>11621400</v>
      </c>
      <c r="Z91" s="169">
        <f t="shared" si="96"/>
        <v>11541050</v>
      </c>
      <c r="AA91" s="20">
        <f t="shared" si="96"/>
        <v>23162450</v>
      </c>
      <c r="AB91" s="21">
        <f t="shared" si="96"/>
        <v>11621400</v>
      </c>
      <c r="AC91" s="169">
        <f t="shared" si="96"/>
        <v>11541050</v>
      </c>
      <c r="AD91" s="18">
        <f t="shared" si="96"/>
        <v>23162450</v>
      </c>
      <c r="AE91" s="21">
        <f t="shared" si="96"/>
        <v>11621400</v>
      </c>
      <c r="AF91" s="169">
        <f t="shared" si="96"/>
        <v>11541050</v>
      </c>
      <c r="AG91" s="18">
        <f t="shared" si="96"/>
        <v>23162450</v>
      </c>
      <c r="AH91" s="21">
        <f t="shared" si="96"/>
        <v>142103305</v>
      </c>
      <c r="AI91" s="17">
        <f t="shared" si="96"/>
        <v>142103305</v>
      </c>
      <c r="AJ91" s="18">
        <f t="shared" si="96"/>
        <v>142103305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+IF(ENERO!A92=0,"",ENERO!A92)</f>
        <v>1130207</v>
      </c>
      <c r="B92" s="563" t="s">
        <v>482</v>
      </c>
      <c r="C92" s="456">
        <f>+ENERO!C92</f>
        <v>0</v>
      </c>
      <c r="D92" s="456">
        <f>ENERO!D92+FEBRERO!P92</f>
        <v>0</v>
      </c>
      <c r="E92" s="456">
        <f>ENERO!E92+FEBRERO!Q92</f>
        <v>0</v>
      </c>
      <c r="F92" s="170">
        <f t="shared" si="90"/>
        <v>0</v>
      </c>
      <c r="G92" s="283">
        <f>ENERO!I92</f>
        <v>0</v>
      </c>
      <c r="H92" s="457">
        <v>0</v>
      </c>
      <c r="I92" s="170">
        <f t="shared" si="91"/>
        <v>0</v>
      </c>
      <c r="J92" s="283">
        <f>ENERO!L92</f>
        <v>0</v>
      </c>
      <c r="K92" s="457">
        <v>0</v>
      </c>
      <c r="L92" s="170">
        <f t="shared" si="92"/>
        <v>0</v>
      </c>
      <c r="M92" s="283">
        <f t="shared" si="93"/>
        <v>0</v>
      </c>
      <c r="N92" s="170">
        <f t="shared" si="94"/>
        <v>0</v>
      </c>
      <c r="O92" s="467"/>
      <c r="P92" s="455">
        <v>0</v>
      </c>
      <c r="Q92" s="458">
        <v>0</v>
      </c>
      <c r="R92" s="32"/>
      <c r="S92" s="156" t="str">
        <f>+IF(ENERO!S92=0,"",ENERO!S92)</f>
        <v>1020301-1</v>
      </c>
      <c r="T92" s="251" t="str">
        <f>+IF(ENERO!T92=0,"",ENERO!T92)</f>
        <v>Aportes a E.P.S.- Sin sit. Fondos</v>
      </c>
      <c r="U92" s="31">
        <f>+ENERO!U92</f>
        <v>72234575</v>
      </c>
      <c r="V92" s="17">
        <f>ENERO!V92+FEBRERO!AL92</f>
        <v>0</v>
      </c>
      <c r="W92" s="17">
        <f>ENERO!W92+FEBRERO!AM92</f>
        <v>0</v>
      </c>
      <c r="X92" s="18">
        <f>SUM(U92:W92)</f>
        <v>72234575</v>
      </c>
      <c r="Y92" s="21">
        <f>ENERO!AA92</f>
        <v>4818500</v>
      </c>
      <c r="Z92" s="457">
        <v>4785050</v>
      </c>
      <c r="AA92" s="20">
        <f>SUM(Y92:Z92)</f>
        <v>9603550</v>
      </c>
      <c r="AB92" s="21">
        <f>ENERO!AD92</f>
        <v>4818500</v>
      </c>
      <c r="AC92" s="457">
        <v>4785050</v>
      </c>
      <c r="AD92" s="18">
        <f>SUM(AB92:AC92)</f>
        <v>9603550</v>
      </c>
      <c r="AE92" s="21">
        <f>ENERO!AG92</f>
        <v>4818500</v>
      </c>
      <c r="AF92" s="457">
        <v>4785050</v>
      </c>
      <c r="AG92" s="18">
        <f>SUM(AE92:AF92)</f>
        <v>9603550</v>
      </c>
      <c r="AH92" s="21">
        <f>X92-AA92</f>
        <v>62631025</v>
      </c>
      <c r="AI92" s="17">
        <f>X92-AD92</f>
        <v>62631025</v>
      </c>
      <c r="AJ92" s="18">
        <f>X92-AG92</f>
        <v>62631025</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+IF(ENERO!A93=0,"",ENERO!A93)</f>
        <v>1130209</v>
      </c>
      <c r="B93" s="170" t="str">
        <f>+IF(ENERO!B93=0,"",ENERO!B93)</f>
        <v>OTROS</v>
      </c>
      <c r="C93" s="172">
        <f t="shared" ref="C93:N93" si="97">SUM(C94:C97)</f>
        <v>111626604</v>
      </c>
      <c r="D93" s="172">
        <f t="shared" si="97"/>
        <v>0</v>
      </c>
      <c r="E93" s="172">
        <f t="shared" si="97"/>
        <v>0</v>
      </c>
      <c r="F93" s="173">
        <f t="shared" si="97"/>
        <v>111626604</v>
      </c>
      <c r="G93" s="171">
        <f t="shared" si="97"/>
        <v>992758</v>
      </c>
      <c r="H93" s="172">
        <f t="shared" si="97"/>
        <v>61418421</v>
      </c>
      <c r="I93" s="173">
        <f t="shared" si="97"/>
        <v>62411179</v>
      </c>
      <c r="J93" s="171">
        <f t="shared" si="97"/>
        <v>992758</v>
      </c>
      <c r="K93" s="172">
        <f t="shared" si="97"/>
        <v>61418421</v>
      </c>
      <c r="L93" s="173">
        <f t="shared" si="97"/>
        <v>62411179</v>
      </c>
      <c r="M93" s="171">
        <f t="shared" si="97"/>
        <v>49215425</v>
      </c>
      <c r="N93" s="173">
        <f t="shared" si="97"/>
        <v>49215425</v>
      </c>
      <c r="O93" s="467"/>
      <c r="P93" s="171">
        <f>SUM(P94:P97)</f>
        <v>0</v>
      </c>
      <c r="Q93" s="173">
        <f>SUM(Q94:Q97)</f>
        <v>0</v>
      </c>
      <c r="R93" s="32"/>
      <c r="S93" s="156" t="str">
        <f>+IF(ENERO!S93=0,"",ENERO!S93)</f>
        <v>1020301-2</v>
      </c>
      <c r="T93" s="251" t="str">
        <f>+IF(ENERO!T93=0,"",ENERO!T93)</f>
        <v>Aportes Fondos Pensionales - Sin Sit. Fondos</v>
      </c>
      <c r="U93" s="31">
        <f>+ENERO!U93</f>
        <v>78026691</v>
      </c>
      <c r="V93" s="17">
        <f>ENERO!V93+FEBRERO!AL93</f>
        <v>0</v>
      </c>
      <c r="W93" s="17">
        <f>ENERO!W93+FEBRERO!AM93</f>
        <v>0</v>
      </c>
      <c r="X93" s="18">
        <f>SUM(U93:W93)</f>
        <v>78026691</v>
      </c>
      <c r="Y93" s="21">
        <f>ENERO!AA93</f>
        <v>6802900</v>
      </c>
      <c r="Z93" s="457">
        <v>6756000</v>
      </c>
      <c r="AA93" s="20">
        <f>SUM(Y93:Z93)</f>
        <v>13558900</v>
      </c>
      <c r="AB93" s="21">
        <f>ENERO!AD93</f>
        <v>6802900</v>
      </c>
      <c r="AC93" s="457">
        <v>6756000</v>
      </c>
      <c r="AD93" s="18">
        <f>SUM(AB93:AC93)</f>
        <v>13558900</v>
      </c>
      <c r="AE93" s="21">
        <f>ENERO!AG93</f>
        <v>6802900</v>
      </c>
      <c r="AF93" s="457">
        <v>6756000</v>
      </c>
      <c r="AG93" s="18">
        <f>SUM(AE93:AF93)</f>
        <v>13558900</v>
      </c>
      <c r="AH93" s="21">
        <f>X93-AA93</f>
        <v>64467791</v>
      </c>
      <c r="AI93" s="17">
        <f>X93-AD93</f>
        <v>64467791</v>
      </c>
      <c r="AJ93" s="18">
        <f>X93-AG93</f>
        <v>64467791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+IF(ENERO!A94=0,"",ENERO!A94)</f>
        <v>1130209 - 1</v>
      </c>
      <c r="B94" s="58" t="str">
        <f>+IF(ENERO!B94=0,"",ENERO!B94)</f>
        <v>Bienestar Social</v>
      </c>
      <c r="C94" s="456">
        <f>+ENERO!C94</f>
        <v>6347410</v>
      </c>
      <c r="D94" s="456">
        <f>ENERO!D94+FEBRERO!P94</f>
        <v>0</v>
      </c>
      <c r="E94" s="456">
        <f>ENERO!E94+FEBRERO!Q94</f>
        <v>0</v>
      </c>
      <c r="F94" s="170">
        <f>SUM(C94:E94)</f>
        <v>6347410</v>
      </c>
      <c r="G94" s="283">
        <f>ENERO!I94</f>
        <v>0</v>
      </c>
      <c r="H94" s="457">
        <v>0</v>
      </c>
      <c r="I94" s="170">
        <f>SUM(G94:H94)</f>
        <v>0</v>
      </c>
      <c r="J94" s="283">
        <f>ENERO!L94</f>
        <v>0</v>
      </c>
      <c r="K94" s="457">
        <v>0</v>
      </c>
      <c r="L94" s="170">
        <f>SUM(J94:K94)</f>
        <v>0</v>
      </c>
      <c r="M94" s="283">
        <f>F94-I94</f>
        <v>6347410</v>
      </c>
      <c r="N94" s="170">
        <f>F94-L94</f>
        <v>6347410</v>
      </c>
      <c r="O94" s="467"/>
      <c r="P94" s="455">
        <v>0</v>
      </c>
      <c r="Q94" s="458">
        <v>0</v>
      </c>
      <c r="R94" s="32"/>
      <c r="S94" s="156" t="str">
        <f>+IF(ENERO!S94=0,"",ENERO!S94)</f>
        <v>1020301-3</v>
      </c>
      <c r="T94" s="251" t="str">
        <f>+IF(ENERO!T94=0,"",ENERO!T94)</f>
        <v xml:space="preserve">Aportes a Fondos de Cesantia - Sin Sit. de Fondos </v>
      </c>
      <c r="U94" s="31">
        <f>+ENERO!U94</f>
        <v>15004488</v>
      </c>
      <c r="V94" s="17">
        <f>ENERO!V94+FEBRERO!AL94</f>
        <v>0</v>
      </c>
      <c r="W94" s="17">
        <f>ENERO!W94+FEBRERO!AM94</f>
        <v>0</v>
      </c>
      <c r="X94" s="18">
        <f>SUM(U94:W94)</f>
        <v>15004488</v>
      </c>
      <c r="Y94" s="21">
        <f>ENERO!AA94</f>
        <v>0</v>
      </c>
      <c r="Z94" s="457">
        <v>0</v>
      </c>
      <c r="AA94" s="20">
        <f>SUM(Y94:Z94)</f>
        <v>0</v>
      </c>
      <c r="AB94" s="21">
        <f>ENERO!AD94</f>
        <v>0</v>
      </c>
      <c r="AC94" s="457">
        <v>0</v>
      </c>
      <c r="AD94" s="18">
        <f>SUM(AB94:AC94)</f>
        <v>0</v>
      </c>
      <c r="AE94" s="21">
        <f>ENERO!AG94</f>
        <v>0</v>
      </c>
      <c r="AF94" s="457">
        <v>0</v>
      </c>
      <c r="AG94" s="18">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+IF(ENERO!A95=0,"",ENERO!A95)</f>
        <v>1130209 - 2</v>
      </c>
      <c r="B95" s="58" t="str">
        <f>+IF(ENERO!B95=0,"",ENERO!B95)</f>
        <v>Fondo de la Vivienda</v>
      </c>
      <c r="C95" s="456">
        <f>+ENERO!C95</f>
        <v>0</v>
      </c>
      <c r="D95" s="456">
        <f>ENERO!D95+FEBRERO!P95</f>
        <v>0</v>
      </c>
      <c r="E95" s="456">
        <f>ENERO!E95+FEBRERO!Q95</f>
        <v>0</v>
      </c>
      <c r="F95" s="170">
        <f>SUM(C95:E95)</f>
        <v>0</v>
      </c>
      <c r="G95" s="283">
        <f>ENERO!I95</f>
        <v>0</v>
      </c>
      <c r="H95" s="457">
        <v>0</v>
      </c>
      <c r="I95" s="170">
        <f>SUM(G95:H95)</f>
        <v>0</v>
      </c>
      <c r="J95" s="283">
        <f>ENERO!L95</f>
        <v>0</v>
      </c>
      <c r="K95" s="457">
        <v>0</v>
      </c>
      <c r="L95" s="170">
        <f>SUM(J95:K95)</f>
        <v>0</v>
      </c>
      <c r="M95" s="283">
        <f>F95-I95</f>
        <v>0</v>
      </c>
      <c r="N95" s="170">
        <f>F95-L95</f>
        <v>0</v>
      </c>
      <c r="O95" s="467"/>
      <c r="P95" s="455">
        <v>0</v>
      </c>
      <c r="Q95" s="458">
        <v>0</v>
      </c>
      <c r="R95" s="32"/>
      <c r="S95" s="156" t="str">
        <f>+IF(ENERO!S95=0,"",ENERO!S95)</f>
        <v>1020301-4</v>
      </c>
      <c r="T95" s="251" t="str">
        <f>+IF(ENERO!T95=0,"",ENERO!T95)</f>
        <v>Aporte a ARL. - Sin Sit. de Fondos</v>
      </c>
      <c r="U95" s="31">
        <f>+ENERO!U95</f>
        <v>1</v>
      </c>
      <c r="V95" s="17">
        <f>ENERO!V95+FEBRERO!AL95</f>
        <v>0</v>
      </c>
      <c r="W95" s="17">
        <f>ENERO!W95+FEBRERO!AM95</f>
        <v>0</v>
      </c>
      <c r="X95" s="18">
        <f>SUM(U95:W95)</f>
        <v>1</v>
      </c>
      <c r="Y95" s="21">
        <f>ENERO!AA95</f>
        <v>0</v>
      </c>
      <c r="Z95" s="457">
        <v>0</v>
      </c>
      <c r="AA95" s="20">
        <f>SUM(Y95:Z95)</f>
        <v>0</v>
      </c>
      <c r="AB95" s="21">
        <f>ENERO!AD95</f>
        <v>0</v>
      </c>
      <c r="AC95" s="457">
        <v>0</v>
      </c>
      <c r="AD95" s="18">
        <f>SUM(AB95:AC95)</f>
        <v>0</v>
      </c>
      <c r="AE95" s="21">
        <f>ENERO!AG95</f>
        <v>0</v>
      </c>
      <c r="AF95" s="457">
        <v>0</v>
      </c>
      <c r="AG95" s="18">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+IF(ENERO!A96=0,"",ENERO!A96)</f>
        <v>1130209 - 3</v>
      </c>
      <c r="B96" s="58" t="str">
        <f>+IF(ENERO!B96=0,"",ENERO!B96)</f>
        <v xml:space="preserve">Aprovechamientos </v>
      </c>
      <c r="C96" s="456">
        <f>+ENERO!C96</f>
        <v>105279194</v>
      </c>
      <c r="D96" s="456">
        <f>ENERO!D96+FEBRERO!P96</f>
        <v>0</v>
      </c>
      <c r="E96" s="456">
        <f>ENERO!E96+FEBRERO!Q96</f>
        <v>0</v>
      </c>
      <c r="F96" s="170">
        <f>SUM(C96:E96)</f>
        <v>105279194</v>
      </c>
      <c r="G96" s="576">
        <f>ENERO!I96</f>
        <v>992758</v>
      </c>
      <c r="H96" s="457">
        <v>61418421</v>
      </c>
      <c r="I96" s="170">
        <f>SUM(G96:H96)</f>
        <v>62411179</v>
      </c>
      <c r="J96" s="283">
        <f>ENERO!L96</f>
        <v>992758</v>
      </c>
      <c r="K96" s="457">
        <v>61418421</v>
      </c>
      <c r="L96" s="170">
        <f>SUM(J96:K96)</f>
        <v>62411179</v>
      </c>
      <c r="M96" s="283">
        <f>F96-I96</f>
        <v>42868015</v>
      </c>
      <c r="N96" s="170">
        <f>F96-L96</f>
        <v>42868015</v>
      </c>
      <c r="O96" s="467"/>
      <c r="P96" s="455">
        <v>0</v>
      </c>
      <c r="Q96" s="458">
        <v>0</v>
      </c>
      <c r="S96" s="155">
        <f>+IF(ENERO!S96=0,"",ENERO!S96)</f>
        <v>1020302</v>
      </c>
      <c r="T96" s="238" t="str">
        <f>+IF(ENERO!T96=0,"",ENERO!T96)</f>
        <v>Contribuciones - Otros</v>
      </c>
      <c r="U96" s="31">
        <f t="shared" ref="U96:AJ96" si="98">SUM(U97:U101)</f>
        <v>205975248</v>
      </c>
      <c r="V96" s="17">
        <f t="shared" si="98"/>
        <v>0</v>
      </c>
      <c r="W96" s="17">
        <f t="shared" si="98"/>
        <v>0</v>
      </c>
      <c r="X96" s="18">
        <f t="shared" si="98"/>
        <v>205975248</v>
      </c>
      <c r="Y96" s="21">
        <f t="shared" si="98"/>
        <v>10104200</v>
      </c>
      <c r="Z96" s="169">
        <f t="shared" si="98"/>
        <v>63907819</v>
      </c>
      <c r="AA96" s="20">
        <f t="shared" si="98"/>
        <v>74012019</v>
      </c>
      <c r="AB96" s="21">
        <f t="shared" si="98"/>
        <v>10104200</v>
      </c>
      <c r="AC96" s="169">
        <f t="shared" si="98"/>
        <v>63907819</v>
      </c>
      <c r="AD96" s="18">
        <f t="shared" si="98"/>
        <v>74012019</v>
      </c>
      <c r="AE96" s="21">
        <f t="shared" si="98"/>
        <v>0</v>
      </c>
      <c r="AF96" s="169">
        <f t="shared" si="98"/>
        <v>63089959</v>
      </c>
      <c r="AG96" s="18">
        <f t="shared" si="98"/>
        <v>63089959</v>
      </c>
      <c r="AH96" s="21">
        <f t="shared" si="98"/>
        <v>131963229</v>
      </c>
      <c r="AI96" s="17">
        <f t="shared" si="98"/>
        <v>131963229</v>
      </c>
      <c r="AJ96" s="18">
        <f t="shared" si="98"/>
        <v>142885289</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+IF(ENERO!A97=0,"",ENERO!A97)</f>
        <v>1130209 - 4</v>
      </c>
      <c r="B97" s="219" t="str">
        <f>+IF(ENERO!B97=0,"",ENERO!B97)</f>
        <v>Otros</v>
      </c>
      <c r="C97" s="564">
        <f>+ENERO!C97</f>
        <v>0</v>
      </c>
      <c r="D97" s="564">
        <f>ENERO!D97+FEBRERO!P97</f>
        <v>0</v>
      </c>
      <c r="E97" s="564">
        <f>ENERO!E97+FEBRERO!Q97</f>
        <v>0</v>
      </c>
      <c r="F97" s="565">
        <f>SUM(C97:E97)</f>
        <v>0</v>
      </c>
      <c r="G97" s="566">
        <f>ENERO!I97</f>
        <v>0</v>
      </c>
      <c r="H97" s="475">
        <v>0</v>
      </c>
      <c r="I97" s="565">
        <f>SUM(G97:H97)</f>
        <v>0</v>
      </c>
      <c r="J97" s="566">
        <f>ENERO!L97</f>
        <v>0</v>
      </c>
      <c r="K97" s="475">
        <v>0</v>
      </c>
      <c r="L97" s="565">
        <f>SUM(J97:K97)</f>
        <v>0</v>
      </c>
      <c r="M97" s="566">
        <f>F97-I97</f>
        <v>0</v>
      </c>
      <c r="N97" s="565">
        <f>F97-L97</f>
        <v>0</v>
      </c>
      <c r="O97" s="467"/>
      <c r="P97" s="471">
        <v>0</v>
      </c>
      <c r="Q97" s="476">
        <v>0</v>
      </c>
      <c r="R97" s="32"/>
      <c r="S97" s="156" t="str">
        <f>+IF(ENERO!S97=0,"",ENERO!S97)</f>
        <v>1020302-1</v>
      </c>
      <c r="T97" s="251" t="str">
        <f>+IF(ENERO!T97=0,"",ENERO!T97)</f>
        <v>Aportes a E.P.S.- Con sit. Fondos</v>
      </c>
      <c r="U97" s="31">
        <f>+ENERO!U97</f>
        <v>13794433</v>
      </c>
      <c r="V97" s="17">
        <f>ENERO!V97+FEBRERO!AL97</f>
        <v>0</v>
      </c>
      <c r="W97" s="17">
        <f>ENERO!W97+FEBRERO!AM97</f>
        <v>0</v>
      </c>
      <c r="X97" s="18">
        <f t="shared" ref="X97:X102" si="99">SUM(U97:W97)</f>
        <v>13794433</v>
      </c>
      <c r="Y97" s="21">
        <f>ENERO!AA97</f>
        <v>2068300</v>
      </c>
      <c r="Z97" s="457">
        <v>2400360</v>
      </c>
      <c r="AA97" s="20">
        <f t="shared" ref="AA97:AA102" si="100">SUM(Y97:Z97)</f>
        <v>4468660</v>
      </c>
      <c r="AB97" s="21">
        <f>ENERO!AD97</f>
        <v>2068300</v>
      </c>
      <c r="AC97" s="457">
        <v>2400360</v>
      </c>
      <c r="AD97" s="18">
        <f t="shared" ref="AD97:AD102" si="101">SUM(AB97:AC97)</f>
        <v>4468660</v>
      </c>
      <c r="AE97" s="21">
        <f>ENERO!AG97</f>
        <v>0</v>
      </c>
      <c r="AF97" s="457">
        <v>2068300</v>
      </c>
      <c r="AG97" s="18">
        <f t="shared" ref="AG97:AG102" si="102">SUM(AE97:AF97)</f>
        <v>2068300</v>
      </c>
      <c r="AH97" s="21">
        <f t="shared" ref="AH97:AH102" si="103">X97-AA97</f>
        <v>9325773</v>
      </c>
      <c r="AI97" s="17">
        <f t="shared" ref="AI97:AI102" si="104">X97-AD97</f>
        <v>9325773</v>
      </c>
      <c r="AJ97" s="18">
        <f t="shared" ref="AJ97:AJ102" si="105">X97-AG97</f>
        <v>11726133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+IF(ENERO!S98=0,"",ENERO!S98)</f>
        <v>1020302-2</v>
      </c>
      <c r="T98" s="251" t="str">
        <f>+IF(ENERO!T98=0,"",ENERO!T98)</f>
        <v>Aportes Fondos Pensionales - Con Sit. Fondos</v>
      </c>
      <c r="U98" s="31">
        <f>+ENERO!U98</f>
        <v>43426005</v>
      </c>
      <c r="V98" s="17">
        <f>ENERO!V98+FEBRERO!AL98</f>
        <v>0</v>
      </c>
      <c r="W98" s="17">
        <f>ENERO!W98+FEBRERO!AM98</f>
        <v>0</v>
      </c>
      <c r="X98" s="18">
        <f t="shared" si="99"/>
        <v>43426005</v>
      </c>
      <c r="Y98" s="21">
        <f>ENERO!AA98</f>
        <v>3068100</v>
      </c>
      <c r="Z98" s="457">
        <v>3361700</v>
      </c>
      <c r="AA98" s="20">
        <f t="shared" si="100"/>
        <v>6429800</v>
      </c>
      <c r="AB98" s="21">
        <f>ENERO!AD98</f>
        <v>3068100</v>
      </c>
      <c r="AC98" s="457">
        <v>3361700</v>
      </c>
      <c r="AD98" s="18">
        <f t="shared" si="101"/>
        <v>6429800</v>
      </c>
      <c r="AE98" s="21">
        <f>ENERO!AG98</f>
        <v>0</v>
      </c>
      <c r="AF98" s="457">
        <v>3068100</v>
      </c>
      <c r="AG98" s="18">
        <f t="shared" si="102"/>
        <v>3068100</v>
      </c>
      <c r="AH98" s="21">
        <f t="shared" si="103"/>
        <v>36996205</v>
      </c>
      <c r="AI98" s="17">
        <f t="shared" si="104"/>
        <v>36996205</v>
      </c>
      <c r="AJ98" s="18">
        <f t="shared" si="105"/>
        <v>40357905</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+IF(ENERO!A99=0,"",ENERO!A99)</f>
        <v>11303</v>
      </c>
      <c r="B99" s="570" t="str">
        <f>+IF(ENERO!B99=0,"",ENERO!B99)</f>
        <v>Aportes no ligados a venta servicios de salud</v>
      </c>
      <c r="C99" s="572">
        <f t="shared" ref="C99:N99" si="106">SUM(C100:C106)</f>
        <v>0</v>
      </c>
      <c r="D99" s="572">
        <f t="shared" si="106"/>
        <v>0</v>
      </c>
      <c r="E99" s="572">
        <f t="shared" si="106"/>
        <v>0</v>
      </c>
      <c r="F99" s="573">
        <f t="shared" si="106"/>
        <v>0</v>
      </c>
      <c r="G99" s="571">
        <f t="shared" si="106"/>
        <v>0</v>
      </c>
      <c r="H99" s="572">
        <f t="shared" si="106"/>
        <v>0</v>
      </c>
      <c r="I99" s="573">
        <f t="shared" si="106"/>
        <v>0</v>
      </c>
      <c r="J99" s="571">
        <f t="shared" si="106"/>
        <v>0</v>
      </c>
      <c r="K99" s="572">
        <f t="shared" si="106"/>
        <v>0</v>
      </c>
      <c r="L99" s="573">
        <f t="shared" si="106"/>
        <v>0</v>
      </c>
      <c r="M99" s="571">
        <f t="shared" si="106"/>
        <v>0</v>
      </c>
      <c r="N99" s="573">
        <f t="shared" si="106"/>
        <v>0</v>
      </c>
      <c r="P99" s="215">
        <f>SUM(P100:P106)</f>
        <v>0</v>
      </c>
      <c r="Q99" s="216">
        <f>SUM(Q100:Q106)</f>
        <v>0</v>
      </c>
      <c r="R99" s="32"/>
      <c r="S99" s="156" t="str">
        <f>+IF(ENERO!S99=0,"",ENERO!S99)</f>
        <v>1020302-3</v>
      </c>
      <c r="T99" s="251" t="str">
        <f>+IF(ENERO!T99=0,"",ENERO!T99)</f>
        <v xml:space="preserve">Aportes a Fondos de Cesantia - Con Sit. de Fondos </v>
      </c>
      <c r="U99" s="31">
        <f>+ENERO!U99</f>
        <v>78984976</v>
      </c>
      <c r="V99" s="17">
        <f>ENERO!V99+FEBRERO!AL99</f>
        <v>0</v>
      </c>
      <c r="W99" s="17">
        <f>ENERO!W99+FEBRERO!AM99</f>
        <v>0</v>
      </c>
      <c r="X99" s="18">
        <f t="shared" si="99"/>
        <v>78984976</v>
      </c>
      <c r="Y99" s="21">
        <f>ENERO!AA99</f>
        <v>0</v>
      </c>
      <c r="Z99" s="457">
        <v>52985759</v>
      </c>
      <c r="AA99" s="20">
        <f t="shared" si="100"/>
        <v>52985759</v>
      </c>
      <c r="AB99" s="21">
        <f>ENERO!AD99</f>
        <v>0</v>
      </c>
      <c r="AC99" s="457">
        <v>52985759</v>
      </c>
      <c r="AD99" s="18">
        <f t="shared" si="101"/>
        <v>52985759</v>
      </c>
      <c r="AE99" s="21">
        <f>ENERO!AG99</f>
        <v>0</v>
      </c>
      <c r="AF99" s="457">
        <v>52985759</v>
      </c>
      <c r="AG99" s="18">
        <f t="shared" si="102"/>
        <v>52985759</v>
      </c>
      <c r="AH99" s="21">
        <f t="shared" si="103"/>
        <v>25999217</v>
      </c>
      <c r="AI99" s="17">
        <f t="shared" si="104"/>
        <v>25999217</v>
      </c>
      <c r="AJ99" s="18">
        <f t="shared" si="105"/>
        <v>25999217</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+IF(ENERO!A100=0,"",ENERO!A100)</f>
        <v>11303-1</v>
      </c>
      <c r="B100" s="59" t="str">
        <f>+IF(ENERO!B100=0,"",ENERO!B100)</f>
        <v xml:space="preserve">NACION </v>
      </c>
      <c r="C100" s="574">
        <f>+ENERO!C100</f>
        <v>0</v>
      </c>
      <c r="D100" s="574">
        <f>ENERO!D100+FEBRERO!P100</f>
        <v>0</v>
      </c>
      <c r="E100" s="574">
        <f>ENERO!E100+FEBRERO!Q100</f>
        <v>0</v>
      </c>
      <c r="F100" s="575">
        <f t="shared" ref="F100:F106" si="107">SUM(C100:E100)</f>
        <v>0</v>
      </c>
      <c r="G100" s="576">
        <f>ENERO!I100</f>
        <v>0</v>
      </c>
      <c r="H100" s="457">
        <v>0</v>
      </c>
      <c r="I100" s="575">
        <f t="shared" ref="I100:I106" si="108">SUM(G100:H100)</f>
        <v>0</v>
      </c>
      <c r="J100" s="576">
        <f>ENERO!L100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+IF(ENERO!S100=0,"",ENERO!S100)</f>
        <v>1020302-4</v>
      </c>
      <c r="T100" s="251" t="str">
        <f>+IF(ENERO!T100=0,"",ENERO!T100)</f>
        <v>Aporte a ARL. - Con Sit. de Fondos</v>
      </c>
      <c r="U100" s="31">
        <f>+ENERO!U100</f>
        <v>24654894</v>
      </c>
      <c r="V100" s="17">
        <f>ENERO!V100+FEBRERO!AL100</f>
        <v>0</v>
      </c>
      <c r="W100" s="17">
        <f>ENERO!W100+FEBRERO!AM100</f>
        <v>0</v>
      </c>
      <c r="X100" s="18">
        <f t="shared" si="99"/>
        <v>24654894</v>
      </c>
      <c r="Y100" s="21">
        <f>ENERO!AA100</f>
        <v>1759700</v>
      </c>
      <c r="Z100" s="457">
        <v>1898300</v>
      </c>
      <c r="AA100" s="20">
        <f t="shared" si="100"/>
        <v>3658000</v>
      </c>
      <c r="AB100" s="21">
        <f>ENERO!AD100</f>
        <v>1759700</v>
      </c>
      <c r="AC100" s="457">
        <v>1898300</v>
      </c>
      <c r="AD100" s="18">
        <f t="shared" si="101"/>
        <v>3658000</v>
      </c>
      <c r="AE100" s="21">
        <f>ENERO!AG100</f>
        <v>0</v>
      </c>
      <c r="AF100" s="457">
        <v>1759700</v>
      </c>
      <c r="AG100" s="18">
        <f t="shared" si="102"/>
        <v>1759700</v>
      </c>
      <c r="AH100" s="21">
        <f t="shared" si="103"/>
        <v>20996894</v>
      </c>
      <c r="AI100" s="17">
        <f t="shared" si="104"/>
        <v>20996894</v>
      </c>
      <c r="AJ100" s="18">
        <f t="shared" si="105"/>
        <v>22895194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+IF(ENERO!A101=0,"",ENERO!A101)</f>
        <v>11303-2</v>
      </c>
      <c r="B101" s="59" t="str">
        <f>+IF(ENERO!B101=0,"",ENERO!B101)</f>
        <v>DEPARTAMENTO</v>
      </c>
      <c r="C101" s="574">
        <f>+ENERO!C101</f>
        <v>0</v>
      </c>
      <c r="D101" s="574">
        <f>ENERO!D101+FEBRERO!P101</f>
        <v>0</v>
      </c>
      <c r="E101" s="574">
        <f>ENERO!E101+FEBRERO!Q101</f>
        <v>0</v>
      </c>
      <c r="F101" s="575">
        <f t="shared" si="107"/>
        <v>0</v>
      </c>
      <c r="G101" s="576">
        <f>ENERO!I101</f>
        <v>0</v>
      </c>
      <c r="H101" s="457">
        <v>0</v>
      </c>
      <c r="I101" s="575">
        <f t="shared" si="108"/>
        <v>0</v>
      </c>
      <c r="J101" s="576">
        <f>ENERO!L101</f>
        <v>0</v>
      </c>
      <c r="K101" s="457">
        <v>0</v>
      </c>
      <c r="L101" s="575">
        <f t="shared" si="109"/>
        <v>0</v>
      </c>
      <c r="M101" s="576">
        <f t="shared" si="110"/>
        <v>0</v>
      </c>
      <c r="N101" s="575">
        <f t="shared" si="111"/>
        <v>0</v>
      </c>
      <c r="O101" s="562"/>
      <c r="P101" s="455">
        <v>0</v>
      </c>
      <c r="Q101" s="458">
        <v>0</v>
      </c>
      <c r="R101" s="10"/>
      <c r="S101" s="156" t="str">
        <f>+IF(ENERO!S101=0,"",ENERO!S101)</f>
        <v>1020302-5</v>
      </c>
      <c r="T101" s="251" t="str">
        <f>+IF(ENERO!T101=0,"",ENERO!T101)</f>
        <v>Aporte a Caja Compensación Familiar</v>
      </c>
      <c r="U101" s="31">
        <f>+ENERO!U101</f>
        <v>45114940</v>
      </c>
      <c r="V101" s="17">
        <f>ENERO!V101+FEBRERO!AL101</f>
        <v>0</v>
      </c>
      <c r="W101" s="17">
        <f>ENERO!W101+FEBRERO!AM101</f>
        <v>0</v>
      </c>
      <c r="X101" s="18">
        <f t="shared" si="99"/>
        <v>45114940</v>
      </c>
      <c r="Y101" s="21">
        <f>ENERO!AA101</f>
        <v>3208100</v>
      </c>
      <c r="Z101" s="457">
        <v>3261700</v>
      </c>
      <c r="AA101" s="20">
        <f t="shared" si="100"/>
        <v>6469800</v>
      </c>
      <c r="AB101" s="21">
        <f>ENERO!AD101</f>
        <v>3208100</v>
      </c>
      <c r="AC101" s="457">
        <v>3261700</v>
      </c>
      <c r="AD101" s="18">
        <f t="shared" si="101"/>
        <v>6469800</v>
      </c>
      <c r="AE101" s="21">
        <f>ENERO!AG101</f>
        <v>0</v>
      </c>
      <c r="AF101" s="457">
        <v>3208100</v>
      </c>
      <c r="AG101" s="18">
        <f t="shared" si="102"/>
        <v>3208100</v>
      </c>
      <c r="AH101" s="21">
        <f t="shared" si="103"/>
        <v>38645140</v>
      </c>
      <c r="AI101" s="17">
        <f t="shared" si="104"/>
        <v>38645140</v>
      </c>
      <c r="AJ101" s="18">
        <f t="shared" si="105"/>
        <v>41906840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+IF(ENERO!A102=0,"",ENERO!A102)</f>
        <v>11303-3</v>
      </c>
      <c r="B102" s="59" t="str">
        <f>+IF(ENERO!B102=0,"",ENERO!B102)</f>
        <v>MUNICIPIO</v>
      </c>
      <c r="C102" s="574">
        <f>+ENERO!C102</f>
        <v>0</v>
      </c>
      <c r="D102" s="574">
        <f>ENERO!D102+FEBRERO!P102</f>
        <v>0</v>
      </c>
      <c r="E102" s="574">
        <f>ENERO!E102+FEBRERO!Q102</f>
        <v>0</v>
      </c>
      <c r="F102" s="575">
        <f t="shared" si="107"/>
        <v>0</v>
      </c>
      <c r="G102" s="576">
        <f>ENERO!I102</f>
        <v>0</v>
      </c>
      <c r="H102" s="457">
        <v>0</v>
      </c>
      <c r="I102" s="575">
        <f t="shared" si="108"/>
        <v>0</v>
      </c>
      <c r="J102" s="576">
        <f>ENERO!L102</f>
        <v>0</v>
      </c>
      <c r="K102" s="457">
        <v>0</v>
      </c>
      <c r="L102" s="575">
        <f t="shared" si="109"/>
        <v>0</v>
      </c>
      <c r="M102" s="576">
        <f t="shared" si="110"/>
        <v>0</v>
      </c>
      <c r="N102" s="575">
        <f t="shared" si="111"/>
        <v>0</v>
      </c>
      <c r="O102" s="562"/>
      <c r="P102" s="455">
        <v>0</v>
      </c>
      <c r="Q102" s="458">
        <v>0</v>
      </c>
      <c r="R102" s="10"/>
      <c r="S102" s="155">
        <f>+IF(ENERO!S102=0,"",ENERO!S102)</f>
        <v>1020399</v>
      </c>
      <c r="T102" s="238" t="str">
        <f>+IF(ENERO!T102=0,"",ENERO!T102)</f>
        <v>Vigencias Anteriores</v>
      </c>
      <c r="U102" s="31">
        <f>+ENERO!U102</f>
        <v>0</v>
      </c>
      <c r="V102" s="17">
        <f>ENERO!V102+FEBRERO!AL102</f>
        <v>0</v>
      </c>
      <c r="W102" s="17">
        <f>ENERO!W102+FEBRERO!AM102</f>
        <v>5352587</v>
      </c>
      <c r="X102" s="18">
        <f t="shared" si="99"/>
        <v>5352587</v>
      </c>
      <c r="Y102" s="21">
        <f>ENERO!AA102</f>
        <v>5352587</v>
      </c>
      <c r="Z102" s="457">
        <v>0</v>
      </c>
      <c r="AA102" s="20">
        <f t="shared" si="100"/>
        <v>5352587</v>
      </c>
      <c r="AB102" s="21">
        <f>ENERO!AD102</f>
        <v>5352587</v>
      </c>
      <c r="AC102" s="457">
        <v>0</v>
      </c>
      <c r="AD102" s="18">
        <f t="shared" si="101"/>
        <v>5352587</v>
      </c>
      <c r="AE102" s="21">
        <f>ENERO!AG102</f>
        <v>2570131</v>
      </c>
      <c r="AF102" s="457">
        <v>2782456</v>
      </c>
      <c r="AG102" s="18">
        <f t="shared" si="102"/>
        <v>5352587</v>
      </c>
      <c r="AH102" s="21">
        <f t="shared" si="103"/>
        <v>0</v>
      </c>
      <c r="AI102" s="17">
        <f t="shared" si="104"/>
        <v>0</v>
      </c>
      <c r="AJ102" s="18">
        <f t="shared" si="105"/>
        <v>0</v>
      </c>
      <c r="AK102" s="10"/>
      <c r="AL102" s="455">
        <v>0</v>
      </c>
      <c r="AM102" s="458">
        <v>5352587</v>
      </c>
      <c r="AN102" s="10"/>
      <c r="AO102" s="365"/>
      <c r="AP102" s="365"/>
      <c r="AQ102" s="365"/>
      <c r="AR102" s="365"/>
      <c r="AS102" s="365"/>
      <c r="AT102" s="365"/>
      <c r="AU102" s="365"/>
      <c r="AV102" s="365"/>
      <c r="AW102" s="365"/>
      <c r="AX102" s="365"/>
      <c r="AY102" s="365"/>
      <c r="AZ102" s="365"/>
    </row>
    <row r="103" spans="1:70" s="467" customFormat="1" ht="15.75" x14ac:dyDescent="0.2">
      <c r="A103" s="33" t="str">
        <f>+IF(ENERO!A103=0,"",ENERO!A103)</f>
        <v>11303-4</v>
      </c>
      <c r="B103" s="59" t="str">
        <f>+IF(ENERO!B103=0,"",ENERO!B103)</f>
        <v>CONVENIOS (EMPRESTITO)</v>
      </c>
      <c r="C103" s="574">
        <f>+ENERO!C103</f>
        <v>0</v>
      </c>
      <c r="D103" s="574">
        <f>ENERO!D103+FEBRERO!P103</f>
        <v>0</v>
      </c>
      <c r="E103" s="574">
        <f>ENERO!E103+FEBRERO!Q103</f>
        <v>0</v>
      </c>
      <c r="F103" s="575">
        <f t="shared" si="107"/>
        <v>0</v>
      </c>
      <c r="G103" s="576">
        <f>ENERO!I103</f>
        <v>0</v>
      </c>
      <c r="H103" s="457">
        <v>0</v>
      </c>
      <c r="I103" s="575">
        <f t="shared" si="108"/>
        <v>0</v>
      </c>
      <c r="J103" s="576">
        <f>ENERO!L103</f>
        <v>0</v>
      </c>
      <c r="K103" s="457">
        <v>0</v>
      </c>
      <c r="L103" s="575">
        <f t="shared" si="109"/>
        <v>0</v>
      </c>
      <c r="M103" s="576">
        <f t="shared" si="110"/>
        <v>0</v>
      </c>
      <c r="N103" s="575">
        <f t="shared" si="111"/>
        <v>0</v>
      </c>
      <c r="O103" s="562"/>
      <c r="P103" s="455">
        <v>0</v>
      </c>
      <c r="Q103" s="458">
        <v>0</v>
      </c>
      <c r="R103" s="10"/>
      <c r="S103" s="448" t="str">
        <f>+IF(ENERO!S103=0,"",ENERO!S103)</f>
        <v/>
      </c>
      <c r="T103" s="649" t="str">
        <f>+IF(ENERO!T103=0,"",ENERO!T103)</f>
        <v/>
      </c>
      <c r="U103" s="450"/>
      <c r="V103" s="193"/>
      <c r="W103" s="193"/>
      <c r="X103" s="207"/>
      <c r="Y103" s="450"/>
      <c r="Z103" s="193"/>
      <c r="AA103" s="193"/>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+IF(ENERO!A104=0,"",ENERO!A104)</f>
        <v>11303-5</v>
      </c>
      <c r="B104" s="59" t="str">
        <f>+IF(ENERO!B104=0,"",ENERO!B104)</f>
        <v>OTROS CONVENIOS</v>
      </c>
      <c r="C104" s="574">
        <f>+ENERO!C104</f>
        <v>0</v>
      </c>
      <c r="D104" s="574">
        <f>ENERO!D104+FEBRERO!P104</f>
        <v>0</v>
      </c>
      <c r="E104" s="574">
        <f>ENERO!E104+FEBRERO!Q104</f>
        <v>0</v>
      </c>
      <c r="F104" s="575">
        <f t="shared" si="107"/>
        <v>0</v>
      </c>
      <c r="G104" s="576">
        <f>ENERO!I104</f>
        <v>0</v>
      </c>
      <c r="H104" s="457">
        <v>0</v>
      </c>
      <c r="I104" s="575">
        <f t="shared" si="108"/>
        <v>0</v>
      </c>
      <c r="J104" s="576">
        <f>ENERO!L104</f>
        <v>0</v>
      </c>
      <c r="K104" s="457">
        <v>0</v>
      </c>
      <c r="L104" s="575">
        <f t="shared" si="109"/>
        <v>0</v>
      </c>
      <c r="M104" s="576">
        <f t="shared" si="110"/>
        <v>0</v>
      </c>
      <c r="N104" s="575">
        <f t="shared" si="111"/>
        <v>0</v>
      </c>
      <c r="O104" s="562"/>
      <c r="P104" s="455">
        <v>0</v>
      </c>
      <c r="Q104" s="458">
        <v>0</v>
      </c>
      <c r="R104" s="10"/>
      <c r="S104" s="34">
        <f>+IF(ENERO!S104=0,"",ENERO!S104)</f>
        <v>1020400</v>
      </c>
      <c r="T104" s="237" t="str">
        <f>+IF(ENERO!T104=0,"",ENERO!T104)</f>
        <v>Contribuciones Inherentes nómina del Sector Publico</v>
      </c>
      <c r="U104" s="151">
        <f t="shared" ref="U104:AJ104" si="112">U105+U108</f>
        <v>56393675</v>
      </c>
      <c r="V104" s="144">
        <f t="shared" si="112"/>
        <v>0</v>
      </c>
      <c r="W104" s="144">
        <f t="shared" si="112"/>
        <v>0</v>
      </c>
      <c r="X104" s="153">
        <f t="shared" si="112"/>
        <v>56393675</v>
      </c>
      <c r="Y104" s="151">
        <f t="shared" si="112"/>
        <v>3770300</v>
      </c>
      <c r="Z104" s="144">
        <f t="shared" si="112"/>
        <v>4167900</v>
      </c>
      <c r="AA104" s="152">
        <f t="shared" si="112"/>
        <v>7938200</v>
      </c>
      <c r="AB104" s="151">
        <f t="shared" si="112"/>
        <v>3770300</v>
      </c>
      <c r="AC104" s="144">
        <f t="shared" si="112"/>
        <v>4167900</v>
      </c>
      <c r="AD104" s="153">
        <f t="shared" si="112"/>
        <v>7938200</v>
      </c>
      <c r="AE104" s="151">
        <f t="shared" si="112"/>
        <v>0</v>
      </c>
      <c r="AF104" s="144">
        <f t="shared" si="112"/>
        <v>3770300</v>
      </c>
      <c r="AG104" s="153">
        <f t="shared" si="112"/>
        <v>3770300</v>
      </c>
      <c r="AH104" s="151">
        <f t="shared" si="112"/>
        <v>48455475</v>
      </c>
      <c r="AI104" s="144">
        <f t="shared" si="112"/>
        <v>48455475</v>
      </c>
      <c r="AJ104" s="153">
        <f t="shared" si="112"/>
        <v>52623375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+IF(ENERO!A105=0,"",ENERO!A105)</f>
        <v>11303-6</v>
      </c>
      <c r="B105" s="59" t="str">
        <f>+IF(ENERO!B105=0,"",ENERO!B105)</f>
        <v>APORTES PATRONALES MUNICIPIO / DEPARTAMENTO</v>
      </c>
      <c r="C105" s="574">
        <f>+ENERO!C105</f>
        <v>0</v>
      </c>
      <c r="D105" s="574">
        <f>ENERO!D105+FEBRERO!P105</f>
        <v>0</v>
      </c>
      <c r="E105" s="574">
        <f>ENERO!E105+FEBRERO!Q105</f>
        <v>0</v>
      </c>
      <c r="F105" s="575">
        <f t="shared" si="107"/>
        <v>0</v>
      </c>
      <c r="G105" s="576">
        <f>ENERO!I105</f>
        <v>0</v>
      </c>
      <c r="H105" s="457">
        <v>0</v>
      </c>
      <c r="I105" s="575">
        <f t="shared" si="108"/>
        <v>0</v>
      </c>
      <c r="J105" s="576">
        <f>ENERO!L105</f>
        <v>0</v>
      </c>
      <c r="K105" s="457">
        <v>0</v>
      </c>
      <c r="L105" s="575">
        <f t="shared" si="109"/>
        <v>0</v>
      </c>
      <c r="M105" s="576">
        <f t="shared" si="110"/>
        <v>0</v>
      </c>
      <c r="N105" s="575">
        <f t="shared" si="111"/>
        <v>0</v>
      </c>
      <c r="O105" s="562"/>
      <c r="P105" s="455">
        <v>0</v>
      </c>
      <c r="Q105" s="458">
        <v>0</v>
      </c>
      <c r="R105" s="10"/>
      <c r="S105" s="155">
        <f>+IF(ENERO!S105=0,"",ENERO!S105)</f>
        <v>1020402</v>
      </c>
      <c r="T105" s="238" t="str">
        <f>+IF(ENERO!T105=0,"",ENERO!T105)</f>
        <v>Contribuciones - Otros</v>
      </c>
      <c r="U105" s="31">
        <f t="shared" ref="U105:AJ105" si="113">SUM(U106:U107)</f>
        <v>56393675</v>
      </c>
      <c r="V105" s="17">
        <f t="shared" si="113"/>
        <v>0</v>
      </c>
      <c r="W105" s="17">
        <f t="shared" si="113"/>
        <v>0</v>
      </c>
      <c r="X105" s="18">
        <f t="shared" si="113"/>
        <v>56393675</v>
      </c>
      <c r="Y105" s="21">
        <f t="shared" si="113"/>
        <v>3770300</v>
      </c>
      <c r="Z105" s="169">
        <f t="shared" si="113"/>
        <v>4167900</v>
      </c>
      <c r="AA105" s="20">
        <f t="shared" si="113"/>
        <v>7938200</v>
      </c>
      <c r="AB105" s="21">
        <f t="shared" si="113"/>
        <v>3770300</v>
      </c>
      <c r="AC105" s="169">
        <f t="shared" si="113"/>
        <v>4167900</v>
      </c>
      <c r="AD105" s="18">
        <f t="shared" si="113"/>
        <v>7938200</v>
      </c>
      <c r="AE105" s="21">
        <f t="shared" si="113"/>
        <v>0</v>
      </c>
      <c r="AF105" s="169">
        <f t="shared" si="113"/>
        <v>3770300</v>
      </c>
      <c r="AG105" s="18">
        <f t="shared" si="113"/>
        <v>3770300</v>
      </c>
      <c r="AH105" s="21">
        <f t="shared" si="113"/>
        <v>48455475</v>
      </c>
      <c r="AI105" s="17">
        <f t="shared" si="113"/>
        <v>48455475</v>
      </c>
      <c r="AJ105" s="18">
        <f t="shared" si="113"/>
        <v>52623375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+IF(ENERO!A106=0,"",ENERO!A106)</f>
        <v>11303-5</v>
      </c>
      <c r="B106" s="578" t="str">
        <f>+IF(ENERO!B106=0,"",ENERO!B106)</f>
        <v>Vigencias Anteriores</v>
      </c>
      <c r="C106" s="564">
        <f>+ENERO!C106</f>
        <v>0</v>
      </c>
      <c r="D106" s="564">
        <f>ENERO!D106+FEBRERO!P106</f>
        <v>0</v>
      </c>
      <c r="E106" s="564">
        <f>ENERO!E106+FEBRERO!Q106</f>
        <v>0</v>
      </c>
      <c r="F106" s="565">
        <f t="shared" si="107"/>
        <v>0</v>
      </c>
      <c r="G106" s="566">
        <f>ENERO!I106</f>
        <v>0</v>
      </c>
      <c r="H106" s="475">
        <v>0</v>
      </c>
      <c r="I106" s="565">
        <f t="shared" si="108"/>
        <v>0</v>
      </c>
      <c r="J106" s="566">
        <f>ENERO!L106</f>
        <v>0</v>
      </c>
      <c r="K106" s="475">
        <v>0</v>
      </c>
      <c r="L106" s="565">
        <f t="shared" si="109"/>
        <v>0</v>
      </c>
      <c r="M106" s="566">
        <f t="shared" si="110"/>
        <v>0</v>
      </c>
      <c r="N106" s="565">
        <f t="shared" si="111"/>
        <v>0</v>
      </c>
      <c r="O106" s="562"/>
      <c r="P106" s="471">
        <v>0</v>
      </c>
      <c r="Q106" s="476">
        <v>0</v>
      </c>
      <c r="R106" s="10"/>
      <c r="S106" s="156" t="str">
        <f>+IF(ENERO!S106=0,"",ENERO!S106)</f>
        <v>1020402-1</v>
      </c>
      <c r="T106" s="238" t="str">
        <f>+IF(ENERO!T106=0,"",ENERO!T106)</f>
        <v>S.E.N.A.</v>
      </c>
      <c r="U106" s="31">
        <f>+ENERO!U106</f>
        <v>22557470</v>
      </c>
      <c r="V106" s="17">
        <f>ENERO!V106+FEBRERO!AL106</f>
        <v>0</v>
      </c>
      <c r="W106" s="17">
        <f>ENERO!W106+FEBRERO!AM106</f>
        <v>0</v>
      </c>
      <c r="X106" s="18">
        <f>SUM(U106:W106)</f>
        <v>22557470</v>
      </c>
      <c r="Y106" s="21">
        <f>ENERO!AA106</f>
        <v>1586500</v>
      </c>
      <c r="Z106" s="457">
        <v>1630400</v>
      </c>
      <c r="AA106" s="20">
        <f>SUM(Y106:Z106)</f>
        <v>3216900</v>
      </c>
      <c r="AB106" s="21">
        <f>ENERO!AD106</f>
        <v>1586500</v>
      </c>
      <c r="AC106" s="457">
        <v>1630400</v>
      </c>
      <c r="AD106" s="18">
        <f>SUM(AB106:AC106)</f>
        <v>3216900</v>
      </c>
      <c r="AE106" s="21">
        <f>ENERO!AG106</f>
        <v>0</v>
      </c>
      <c r="AF106" s="457">
        <v>1586500</v>
      </c>
      <c r="AG106" s="18">
        <f>SUM(AE106:AF106)</f>
        <v>1586500</v>
      </c>
      <c r="AH106" s="21">
        <f>X106-AA106</f>
        <v>19340570</v>
      </c>
      <c r="AI106" s="17">
        <f>X106-AD106</f>
        <v>19340570</v>
      </c>
      <c r="AJ106" s="18">
        <f>X106-AG106</f>
        <v>20970970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+IF(ENERO!S107=0,"",ENERO!S107)</f>
        <v>1020402-2</v>
      </c>
      <c r="T107" s="238" t="str">
        <f>+IF(ENERO!T107=0,"",ENERO!T107)</f>
        <v>I.C.B.F.</v>
      </c>
      <c r="U107" s="31">
        <f>+ENERO!U107</f>
        <v>33836205</v>
      </c>
      <c r="V107" s="17">
        <f>ENERO!V107+FEBRERO!AL107</f>
        <v>0</v>
      </c>
      <c r="W107" s="17">
        <f>ENERO!W107+FEBRERO!AM107</f>
        <v>0</v>
      </c>
      <c r="X107" s="18">
        <f>SUM(U107:W107)</f>
        <v>33836205</v>
      </c>
      <c r="Y107" s="21">
        <f>ENERO!AA107</f>
        <v>2183800</v>
      </c>
      <c r="Z107" s="457">
        <v>2537500</v>
      </c>
      <c r="AA107" s="20">
        <f>SUM(Y107:Z107)</f>
        <v>4721300</v>
      </c>
      <c r="AB107" s="21">
        <f>ENERO!AD107</f>
        <v>2183800</v>
      </c>
      <c r="AC107" s="457">
        <v>2537500</v>
      </c>
      <c r="AD107" s="18">
        <f>SUM(AB107:AC107)</f>
        <v>4721300</v>
      </c>
      <c r="AE107" s="21">
        <f>ENERO!AG107</f>
        <v>0</v>
      </c>
      <c r="AF107" s="457">
        <v>2183800</v>
      </c>
      <c r="AG107" s="18">
        <f>SUM(AE107:AF107)</f>
        <v>2183800</v>
      </c>
      <c r="AH107" s="21">
        <f>X107-AA107</f>
        <v>29114905</v>
      </c>
      <c r="AI107" s="17">
        <f>X107-AD107</f>
        <v>29114905</v>
      </c>
      <c r="AJ107" s="18">
        <f>X107-AG107</f>
        <v>31652405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+IF(ENERO!A108=0,"",ENERO!A108)</f>
        <v>2000</v>
      </c>
      <c r="B108" s="439" t="str">
        <f>+IF(ENERO!B108=0,"",ENERO!B108)</f>
        <v>INGRESOS DE CAPITAL</v>
      </c>
      <c r="C108" s="215">
        <f t="shared" ref="C108:N108" si="114">SUM(C109:C117)</f>
        <v>1452387</v>
      </c>
      <c r="D108" s="435">
        <f t="shared" si="114"/>
        <v>0</v>
      </c>
      <c r="E108" s="435">
        <f t="shared" si="114"/>
        <v>0</v>
      </c>
      <c r="F108" s="437">
        <f t="shared" si="114"/>
        <v>1452387</v>
      </c>
      <c r="G108" s="215">
        <f t="shared" si="114"/>
        <v>375465</v>
      </c>
      <c r="H108" s="435">
        <f t="shared" si="114"/>
        <v>361223</v>
      </c>
      <c r="I108" s="437">
        <f t="shared" si="114"/>
        <v>736688</v>
      </c>
      <c r="J108" s="215">
        <f t="shared" si="114"/>
        <v>375465</v>
      </c>
      <c r="K108" s="435">
        <f t="shared" si="114"/>
        <v>361223</v>
      </c>
      <c r="L108" s="216">
        <f t="shared" si="114"/>
        <v>736688</v>
      </c>
      <c r="M108" s="436">
        <f t="shared" si="114"/>
        <v>715699</v>
      </c>
      <c r="N108" s="216">
        <f t="shared" si="114"/>
        <v>715699</v>
      </c>
      <c r="O108" s="562"/>
      <c r="P108" s="215">
        <f>SUM(P109:P117)</f>
        <v>0</v>
      </c>
      <c r="Q108" s="216">
        <f>SUM(Q109:Q117)</f>
        <v>0</v>
      </c>
      <c r="R108" s="10"/>
      <c r="S108" s="155">
        <f>+IF(ENERO!S108=0,"",ENERO!S108)</f>
        <v>1020499</v>
      </c>
      <c r="T108" s="238" t="str">
        <f>+IF(ENERO!T108=0,"",ENERO!T108)</f>
        <v>Vigencias Anteriores</v>
      </c>
      <c r="U108" s="31">
        <f>+ENERO!U108</f>
        <v>0</v>
      </c>
      <c r="V108" s="17">
        <f>ENERO!V108+FEBRERO!AL108</f>
        <v>0</v>
      </c>
      <c r="W108" s="17">
        <f>ENERO!W108+FEBRERO!AM108</f>
        <v>0</v>
      </c>
      <c r="X108" s="18">
        <f>SUM(U108:W108)</f>
        <v>0</v>
      </c>
      <c r="Y108" s="21">
        <f>ENERO!AA108</f>
        <v>0</v>
      </c>
      <c r="Z108" s="457">
        <v>0</v>
      </c>
      <c r="AA108" s="20">
        <f>SUM(Y108:Z108)</f>
        <v>0</v>
      </c>
      <c r="AB108" s="21">
        <f>ENERO!AD108</f>
        <v>0</v>
      </c>
      <c r="AC108" s="457">
        <v>0</v>
      </c>
      <c r="AD108" s="18">
        <f>SUM(AB108:AC108)</f>
        <v>0</v>
      </c>
      <c r="AE108" s="21">
        <f>ENERO!AG108</f>
        <v>0</v>
      </c>
      <c r="AF108" s="457">
        <v>0</v>
      </c>
      <c r="AG108" s="18">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+IF(ENERO!A109=0,"",ENERO!A109)</f>
        <v>2100</v>
      </c>
      <c r="B109" s="56" t="str">
        <f>+IF(ENERO!B109=0,"",ENERO!B109)</f>
        <v>CREDITO INTERNO</v>
      </c>
      <c r="C109" s="576">
        <f>+ENERO!C109</f>
        <v>0</v>
      </c>
      <c r="D109" s="574">
        <f>ENERO!D109+FEBRERO!P109</f>
        <v>0</v>
      </c>
      <c r="E109" s="574">
        <f>ENERO!E109+FEBRERO!Q109</f>
        <v>0</v>
      </c>
      <c r="F109" s="584">
        <f t="shared" ref="F109:F116" si="115">SUM(C109:E109)</f>
        <v>0</v>
      </c>
      <c r="G109" s="576">
        <f>ENERO!I109</f>
        <v>0</v>
      </c>
      <c r="H109" s="457">
        <v>0</v>
      </c>
      <c r="I109" s="584">
        <f t="shared" ref="I109:I116" si="116">SUM(G109:H109)</f>
        <v>0</v>
      </c>
      <c r="J109" s="576">
        <f>ENERO!L109</f>
        <v>0</v>
      </c>
      <c r="K109" s="457">
        <v>0</v>
      </c>
      <c r="L109" s="575">
        <f t="shared" ref="L109:L116" si="117">SUM(J109:K109)</f>
        <v>0</v>
      </c>
      <c r="M109" s="585">
        <f t="shared" ref="M109:M116" si="118">F109-I109</f>
        <v>0</v>
      </c>
      <c r="N109" s="575">
        <f t="shared" ref="N109:N116" si="119">F109-L109</f>
        <v>0</v>
      </c>
      <c r="O109" s="562"/>
      <c r="P109" s="455">
        <v>0</v>
      </c>
      <c r="Q109" s="458">
        <v>0</v>
      </c>
      <c r="R109" s="10"/>
      <c r="S109" s="448" t="str">
        <f>+IF(ENERO!S109=0,"",ENERO!S109)</f>
        <v/>
      </c>
      <c r="T109" s="649" t="str">
        <f>+IF(ENERO!T109=0,"",ENERO!T109)</f>
        <v/>
      </c>
      <c r="U109" s="450"/>
      <c r="V109" s="193"/>
      <c r="W109" s="193"/>
      <c r="X109" s="207"/>
      <c r="Y109" s="450"/>
      <c r="Z109" s="193"/>
      <c r="AA109" s="193"/>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+IF(ENERO!A110=0,"",ENERO!A110)</f>
        <v>2100-1</v>
      </c>
      <c r="B110" s="563" t="s">
        <v>482</v>
      </c>
      <c r="C110" s="576">
        <f>+ENERO!C110</f>
        <v>0</v>
      </c>
      <c r="D110" s="574">
        <f>ENERO!D110+FEBRERO!P110</f>
        <v>0</v>
      </c>
      <c r="E110" s="574">
        <f>ENERO!E110+FEBRERO!Q110</f>
        <v>0</v>
      </c>
      <c r="F110" s="584">
        <f t="shared" si="115"/>
        <v>0</v>
      </c>
      <c r="G110" s="576">
        <f>ENERO!I110</f>
        <v>0</v>
      </c>
      <c r="H110" s="457">
        <v>0</v>
      </c>
      <c r="I110" s="584">
        <f t="shared" si="116"/>
        <v>0</v>
      </c>
      <c r="J110" s="576">
        <f>ENERO!L110</f>
        <v>0</v>
      </c>
      <c r="K110" s="457">
        <v>0</v>
      </c>
      <c r="L110" s="575">
        <f t="shared" si="117"/>
        <v>0</v>
      </c>
      <c r="M110" s="585">
        <f t="shared" si="118"/>
        <v>0</v>
      </c>
      <c r="N110" s="575">
        <f t="shared" si="119"/>
        <v>0</v>
      </c>
      <c r="O110" s="562"/>
      <c r="P110" s="455">
        <v>0</v>
      </c>
      <c r="Q110" s="458">
        <v>0</v>
      </c>
      <c r="R110" s="10"/>
      <c r="S110" s="469">
        <f>+IF(ENERO!S110=0,"",ENERO!S110)</f>
        <v>2000000</v>
      </c>
      <c r="T110" s="680" t="str">
        <f>+IF(ENERO!T110=0,"",ENERO!T110)</f>
        <v>GASTOS GENERALES</v>
      </c>
      <c r="U110" s="464">
        <f t="shared" ref="U110:AJ110" si="120">U112+U145</f>
        <v>576550123</v>
      </c>
      <c r="V110" s="590">
        <f t="shared" si="120"/>
        <v>-746499</v>
      </c>
      <c r="W110" s="590">
        <f t="shared" si="120"/>
        <v>14750005</v>
      </c>
      <c r="X110" s="465">
        <f t="shared" si="120"/>
        <v>590553629</v>
      </c>
      <c r="Y110" s="464">
        <f t="shared" si="120"/>
        <v>70185131</v>
      </c>
      <c r="Z110" s="590">
        <f t="shared" si="120"/>
        <v>30685542</v>
      </c>
      <c r="AA110" s="591">
        <f t="shared" si="120"/>
        <v>100870673</v>
      </c>
      <c r="AB110" s="464">
        <f t="shared" si="120"/>
        <v>70185131</v>
      </c>
      <c r="AC110" s="590">
        <f t="shared" si="120"/>
        <v>30685541</v>
      </c>
      <c r="AD110" s="465">
        <f t="shared" si="120"/>
        <v>100870672</v>
      </c>
      <c r="AE110" s="464">
        <f t="shared" si="120"/>
        <v>11183470</v>
      </c>
      <c r="AF110" s="590">
        <f t="shared" si="120"/>
        <v>51824124</v>
      </c>
      <c r="AG110" s="465">
        <f t="shared" si="120"/>
        <v>63007594</v>
      </c>
      <c r="AH110" s="464">
        <f t="shared" si="120"/>
        <v>489682956</v>
      </c>
      <c r="AI110" s="590">
        <f t="shared" si="120"/>
        <v>489682957</v>
      </c>
      <c r="AJ110" s="465">
        <f t="shared" si="120"/>
        <v>527546035</v>
      </c>
      <c r="AK110" s="12"/>
      <c r="AL110" s="151">
        <f>AL112+AL145</f>
        <v>-746499</v>
      </c>
      <c r="AM110" s="153">
        <f>AM112+AM145</f>
        <v>14750005</v>
      </c>
      <c r="AN110" s="10"/>
      <c r="AO110" s="365"/>
      <c r="AP110" s="365"/>
      <c r="AQ110" s="365"/>
      <c r="AR110" s="365"/>
      <c r="AS110" s="365"/>
      <c r="AT110" s="365"/>
      <c r="AU110" s="365"/>
      <c r="AV110" s="365"/>
      <c r="AW110" s="365"/>
      <c r="AX110" s="365"/>
      <c r="AY110" s="365"/>
      <c r="AZ110" s="365"/>
    </row>
    <row r="111" spans="1:70" s="467" customFormat="1" ht="15.75" x14ac:dyDescent="0.2">
      <c r="A111" s="47">
        <f>+IF(ENERO!A111=0,"",ENERO!A111)</f>
        <v>2200</v>
      </c>
      <c r="B111" s="56" t="str">
        <f>+IF(ENERO!B111=0,"",ENERO!B111)</f>
        <v>CREDITO EXTERNO</v>
      </c>
      <c r="C111" s="576">
        <f>+ENERO!C111</f>
        <v>0</v>
      </c>
      <c r="D111" s="574">
        <f>ENERO!D111+FEBRERO!P111</f>
        <v>0</v>
      </c>
      <c r="E111" s="574">
        <f>ENERO!E111+FEBRERO!Q111</f>
        <v>0</v>
      </c>
      <c r="F111" s="584">
        <f t="shared" si="115"/>
        <v>0</v>
      </c>
      <c r="G111" s="576">
        <f>ENERO!I111</f>
        <v>0</v>
      </c>
      <c r="H111" s="457">
        <v>0</v>
      </c>
      <c r="I111" s="584">
        <f t="shared" si="116"/>
        <v>0</v>
      </c>
      <c r="J111" s="576">
        <f>ENERO!L111</f>
        <v>0</v>
      </c>
      <c r="K111" s="457">
        <v>0</v>
      </c>
      <c r="L111" s="575">
        <f t="shared" si="117"/>
        <v>0</v>
      </c>
      <c r="M111" s="585">
        <f t="shared" si="118"/>
        <v>0</v>
      </c>
      <c r="N111" s="575">
        <f t="shared" si="119"/>
        <v>0</v>
      </c>
      <c r="O111" s="562"/>
      <c r="P111" s="455">
        <v>0</v>
      </c>
      <c r="Q111" s="458">
        <v>0</v>
      </c>
      <c r="R111" s="10"/>
      <c r="S111" s="448" t="str">
        <f>+IF(ENERO!S111=0,"",ENERO!S111)</f>
        <v/>
      </c>
      <c r="T111" s="649" t="str">
        <f>+IF(ENERO!T111=0,"",ENERO!T111)</f>
        <v/>
      </c>
      <c r="U111" s="450"/>
      <c r="V111" s="193"/>
      <c r="W111" s="193"/>
      <c r="X111" s="207"/>
      <c r="Y111" s="450"/>
      <c r="Z111" s="193"/>
      <c r="AA111" s="193"/>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+IF(ENERO!A112=0,"",ENERO!A112)</f>
        <v>2200-1</v>
      </c>
      <c r="B112" s="563" t="s">
        <v>482</v>
      </c>
      <c r="C112" s="576">
        <f>+ENERO!C112</f>
        <v>0</v>
      </c>
      <c r="D112" s="574">
        <f>ENERO!D112+FEBRERO!P112</f>
        <v>0</v>
      </c>
      <c r="E112" s="574">
        <f>ENERO!E112+FEBRERO!Q112</f>
        <v>0</v>
      </c>
      <c r="F112" s="584">
        <f t="shared" si="115"/>
        <v>0</v>
      </c>
      <c r="G112" s="576">
        <f>ENERO!I112</f>
        <v>0</v>
      </c>
      <c r="H112" s="457">
        <v>0</v>
      </c>
      <c r="I112" s="584">
        <f t="shared" si="116"/>
        <v>0</v>
      </c>
      <c r="J112" s="576">
        <f>ENERO!L112</f>
        <v>0</v>
      </c>
      <c r="K112" s="457">
        <v>0</v>
      </c>
      <c r="L112" s="575">
        <f t="shared" si="117"/>
        <v>0</v>
      </c>
      <c r="M112" s="585">
        <f t="shared" si="118"/>
        <v>0</v>
      </c>
      <c r="N112" s="575">
        <f t="shared" si="119"/>
        <v>0</v>
      </c>
      <c r="O112" s="562"/>
      <c r="P112" s="455">
        <v>0</v>
      </c>
      <c r="Q112" s="458">
        <v>0</v>
      </c>
      <c r="R112" s="10"/>
      <c r="S112" s="469">
        <f>+IF(ENERO!S112=0,"",ENERO!S112)</f>
        <v>2010000</v>
      </c>
      <c r="T112" s="676" t="str">
        <f>+IF(ENERO!T112=0,"",ENERO!T112)</f>
        <v>Gastos de Administración</v>
      </c>
      <c r="U112" s="151">
        <f t="shared" ref="U112:AJ112" si="121">U114+U123+U141</f>
        <v>198386660</v>
      </c>
      <c r="V112" s="144">
        <f t="shared" si="121"/>
        <v>0</v>
      </c>
      <c r="W112" s="144">
        <f t="shared" si="121"/>
        <v>5462473</v>
      </c>
      <c r="X112" s="153">
        <f t="shared" si="121"/>
        <v>203849133</v>
      </c>
      <c r="Y112" s="151">
        <f t="shared" si="121"/>
        <v>30850094</v>
      </c>
      <c r="Z112" s="144">
        <f t="shared" si="121"/>
        <v>7015933</v>
      </c>
      <c r="AA112" s="152">
        <f t="shared" si="121"/>
        <v>37866027</v>
      </c>
      <c r="AB112" s="151">
        <f t="shared" si="121"/>
        <v>30850094</v>
      </c>
      <c r="AC112" s="144">
        <f t="shared" si="121"/>
        <v>7015932</v>
      </c>
      <c r="AD112" s="153">
        <f t="shared" si="121"/>
        <v>37866026</v>
      </c>
      <c r="AE112" s="151">
        <f t="shared" si="121"/>
        <v>9039304</v>
      </c>
      <c r="AF112" s="144">
        <f t="shared" si="121"/>
        <v>20165181</v>
      </c>
      <c r="AG112" s="153">
        <f t="shared" si="121"/>
        <v>29204485</v>
      </c>
      <c r="AH112" s="151">
        <f t="shared" si="121"/>
        <v>165983106</v>
      </c>
      <c r="AI112" s="144">
        <f t="shared" si="121"/>
        <v>165983107</v>
      </c>
      <c r="AJ112" s="153">
        <f t="shared" si="121"/>
        <v>174644648</v>
      </c>
      <c r="AK112" s="10"/>
      <c r="AL112" s="151">
        <f>AL114+AL123+AL141</f>
        <v>0</v>
      </c>
      <c r="AM112" s="153">
        <f>AM114+AM123+AM141</f>
        <v>5462473</v>
      </c>
      <c r="AN112" s="10"/>
      <c r="AO112" s="365"/>
      <c r="AP112" s="365"/>
      <c r="AQ112" s="365"/>
      <c r="AR112" s="365"/>
      <c r="AS112" s="365"/>
      <c r="AT112" s="365"/>
      <c r="AU112" s="365"/>
      <c r="AV112" s="365"/>
      <c r="AW112" s="365"/>
      <c r="AX112" s="365"/>
      <c r="AY112" s="365"/>
      <c r="AZ112" s="365"/>
    </row>
    <row r="113" spans="1:52" s="467" customFormat="1" ht="15.75" x14ac:dyDescent="0.2">
      <c r="A113" s="47">
        <f>+IF(ENERO!A113=0,"",ENERO!A113)</f>
        <v>2300</v>
      </c>
      <c r="B113" s="56" t="str">
        <f>+IF(ENERO!B113=0,"",ENERO!B113)</f>
        <v>RENDIMIENTOS FINANCIEROS</v>
      </c>
      <c r="C113" s="576">
        <f>+ENERO!C113</f>
        <v>305317</v>
      </c>
      <c r="D113" s="574">
        <f>ENERO!D113+FEBRERO!P113</f>
        <v>0</v>
      </c>
      <c r="E113" s="574">
        <f>ENERO!E113+FEBRERO!Q113</f>
        <v>0</v>
      </c>
      <c r="F113" s="584">
        <f t="shared" si="115"/>
        <v>305317</v>
      </c>
      <c r="G113" s="576">
        <f>ENERO!I113</f>
        <v>38797</v>
      </c>
      <c r="H113" s="457">
        <v>72023</v>
      </c>
      <c r="I113" s="584">
        <f t="shared" si="116"/>
        <v>110820</v>
      </c>
      <c r="J113" s="576">
        <f>ENERO!L113</f>
        <v>38797</v>
      </c>
      <c r="K113" s="457">
        <v>72023</v>
      </c>
      <c r="L113" s="575">
        <f t="shared" si="117"/>
        <v>110820</v>
      </c>
      <c r="M113" s="585">
        <f t="shared" si="118"/>
        <v>194497</v>
      </c>
      <c r="N113" s="575">
        <f t="shared" si="119"/>
        <v>194497</v>
      </c>
      <c r="O113" s="562"/>
      <c r="P113" s="455">
        <v>0</v>
      </c>
      <c r="Q113" s="458">
        <v>0</v>
      </c>
      <c r="R113" s="10"/>
      <c r="S113" s="448" t="str">
        <f>+IF(ENERO!S113=0,"",ENERO!S113)</f>
        <v/>
      </c>
      <c r="T113" s="649" t="str">
        <f>+IF(ENERO!T113=0,"",ENERO!T113)</f>
        <v/>
      </c>
      <c r="U113" s="450"/>
      <c r="V113" s="193"/>
      <c r="W113" s="193"/>
      <c r="X113" s="207"/>
      <c r="Y113" s="450"/>
      <c r="Z113" s="193"/>
      <c r="AA113" s="193"/>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+IF(ENERO!A114=0,"",ENERO!A114)</f>
        <v>2400</v>
      </c>
      <c r="B114" s="55" t="str">
        <f>+IF(ENERO!B114=0,"",ENERO!B114)</f>
        <v>VENTA DE ACTIVOS</v>
      </c>
      <c r="C114" s="283">
        <f>+ENERO!C114</f>
        <v>0</v>
      </c>
      <c r="D114" s="456">
        <f>ENERO!D114+FEBRERO!P114</f>
        <v>0</v>
      </c>
      <c r="E114" s="456">
        <f>ENERO!E114+FEBRERO!Q114</f>
        <v>0</v>
      </c>
      <c r="F114" s="593">
        <f t="shared" si="115"/>
        <v>0</v>
      </c>
      <c r="G114" s="283">
        <f>ENERO!I114</f>
        <v>0</v>
      </c>
      <c r="H114" s="457">
        <v>0</v>
      </c>
      <c r="I114" s="593">
        <f t="shared" si="116"/>
        <v>0</v>
      </c>
      <c r="J114" s="283">
        <f>ENERO!L114</f>
        <v>0</v>
      </c>
      <c r="K114" s="457">
        <v>0</v>
      </c>
      <c r="L114" s="170">
        <f t="shared" si="117"/>
        <v>0</v>
      </c>
      <c r="M114" s="535">
        <f t="shared" si="118"/>
        <v>0</v>
      </c>
      <c r="N114" s="170">
        <f t="shared" si="119"/>
        <v>0</v>
      </c>
      <c r="O114" s="562"/>
      <c r="P114" s="455">
        <v>0</v>
      </c>
      <c r="Q114" s="458">
        <v>0</v>
      </c>
      <c r="R114" s="10"/>
      <c r="S114" s="34">
        <f>+IF(ENERO!S114=0,"",ENERO!S114)</f>
        <v>2010100</v>
      </c>
      <c r="T114" s="237" t="str">
        <f>+IF(ENERO!T114=0,"",ENERO!T114)</f>
        <v>Adquisición de bienes</v>
      </c>
      <c r="U114" s="151">
        <f t="shared" ref="U114:AJ114" si="122">SUM(U115:U121)</f>
        <v>67419307</v>
      </c>
      <c r="V114" s="144">
        <f t="shared" si="122"/>
        <v>0</v>
      </c>
      <c r="W114" s="144">
        <f t="shared" si="122"/>
        <v>1396432</v>
      </c>
      <c r="X114" s="153">
        <f t="shared" si="122"/>
        <v>68815739</v>
      </c>
      <c r="Y114" s="151">
        <f t="shared" si="122"/>
        <v>7754980</v>
      </c>
      <c r="Z114" s="144">
        <f t="shared" si="122"/>
        <v>3054309</v>
      </c>
      <c r="AA114" s="152">
        <f t="shared" si="122"/>
        <v>10809289</v>
      </c>
      <c r="AB114" s="151">
        <f t="shared" si="122"/>
        <v>7754980</v>
      </c>
      <c r="AC114" s="144">
        <f t="shared" si="122"/>
        <v>3054308</v>
      </c>
      <c r="AD114" s="153">
        <f t="shared" si="122"/>
        <v>10809288</v>
      </c>
      <c r="AE114" s="151">
        <f t="shared" si="122"/>
        <v>0</v>
      </c>
      <c r="AF114" s="144">
        <f t="shared" si="122"/>
        <v>2521791</v>
      </c>
      <c r="AG114" s="153">
        <f t="shared" si="122"/>
        <v>2521791</v>
      </c>
      <c r="AH114" s="151">
        <f t="shared" si="122"/>
        <v>58006450</v>
      </c>
      <c r="AI114" s="144">
        <f t="shared" si="122"/>
        <v>58006451</v>
      </c>
      <c r="AJ114" s="153">
        <f t="shared" si="122"/>
        <v>66293948</v>
      </c>
      <c r="AK114" s="10"/>
      <c r="AL114" s="151">
        <f>SUM(AL115:AL121)</f>
        <v>0</v>
      </c>
      <c r="AM114" s="153">
        <f>SUM(AM115:AM121)</f>
        <v>1396432</v>
      </c>
      <c r="AN114" s="10"/>
      <c r="AO114" s="365"/>
      <c r="AP114" s="365"/>
      <c r="AQ114" s="365"/>
      <c r="AR114" s="365"/>
      <c r="AS114" s="365"/>
      <c r="AT114" s="365"/>
      <c r="AU114" s="365"/>
      <c r="AV114" s="365"/>
      <c r="AW114" s="365"/>
      <c r="AX114" s="365"/>
      <c r="AY114" s="365"/>
      <c r="AZ114" s="365"/>
    </row>
    <row r="115" spans="1:52" s="467" customFormat="1" x14ac:dyDescent="0.2">
      <c r="A115" s="48">
        <f>+IF(ENERO!A115=0,"",ENERO!A115)</f>
        <v>2500</v>
      </c>
      <c r="B115" s="55" t="str">
        <f>+IF(ENERO!B115=0,"",ENERO!B115)</f>
        <v>DONACIONES</v>
      </c>
      <c r="C115" s="283">
        <f>+ENERO!C115</f>
        <v>0</v>
      </c>
      <c r="D115" s="456">
        <f>ENERO!D115+FEBRERO!P115</f>
        <v>0</v>
      </c>
      <c r="E115" s="456">
        <f>ENERO!E115+FEBRERO!Q115</f>
        <v>0</v>
      </c>
      <c r="F115" s="593">
        <f t="shared" si="115"/>
        <v>0</v>
      </c>
      <c r="G115" s="283">
        <f>ENERO!I115</f>
        <v>0</v>
      </c>
      <c r="H115" s="457">
        <v>0</v>
      </c>
      <c r="I115" s="593">
        <f t="shared" si="116"/>
        <v>0</v>
      </c>
      <c r="J115" s="283">
        <f>ENERO!L115</f>
        <v>0</v>
      </c>
      <c r="K115" s="457">
        <v>0</v>
      </c>
      <c r="L115" s="170">
        <f t="shared" si="117"/>
        <v>0</v>
      </c>
      <c r="M115" s="535">
        <f t="shared" si="118"/>
        <v>0</v>
      </c>
      <c r="N115" s="170">
        <f t="shared" si="119"/>
        <v>0</v>
      </c>
      <c r="P115" s="455">
        <v>0</v>
      </c>
      <c r="Q115" s="458">
        <v>0</v>
      </c>
      <c r="R115" s="10"/>
      <c r="S115" s="155" t="str">
        <f>+IF(ENERO!S115=0,"",ENERO!S115)</f>
        <v>2010100-1</v>
      </c>
      <c r="T115" s="238" t="str">
        <f>+IF(ENERO!T115=0,"",ENERO!T115)</f>
        <v>Compra de Equipos</v>
      </c>
      <c r="U115" s="31">
        <f>+ENERO!U115</f>
        <v>42018487</v>
      </c>
      <c r="V115" s="17">
        <f>ENERO!V115+FEBRERO!AL115</f>
        <v>0</v>
      </c>
      <c r="W115" s="17">
        <f>ENERO!W115+FEBRERO!AM115</f>
        <v>0</v>
      </c>
      <c r="X115" s="18">
        <f t="shared" ref="X115:X121" si="123">SUM(U115:W115)</f>
        <v>42018487</v>
      </c>
      <c r="Y115" s="21">
        <f>ENERO!AA115</f>
        <v>3045040</v>
      </c>
      <c r="Z115" s="457">
        <v>500000</v>
      </c>
      <c r="AA115" s="20">
        <f t="shared" ref="AA115:AA121" si="124">SUM(Y115:Z115)</f>
        <v>3545040</v>
      </c>
      <c r="AB115" s="21">
        <f>ENERO!AD115</f>
        <v>3045040</v>
      </c>
      <c r="AC115" s="457">
        <v>500000</v>
      </c>
      <c r="AD115" s="18">
        <f t="shared" ref="AD115:AD121" si="125">SUM(AB115:AC115)</f>
        <v>3545040</v>
      </c>
      <c r="AE115" s="21">
        <f>ENERO!AG115</f>
        <v>0</v>
      </c>
      <c r="AF115" s="457">
        <v>676512</v>
      </c>
      <c r="AG115" s="18">
        <f t="shared" ref="AG115:AG121" si="126">SUM(AE115:AF115)</f>
        <v>676512</v>
      </c>
      <c r="AH115" s="21">
        <f t="shared" ref="AH115:AH121" si="127">X115-AA115</f>
        <v>38473447</v>
      </c>
      <c r="AI115" s="17">
        <f t="shared" ref="AI115:AI121" si="128">X115-AD115</f>
        <v>38473447</v>
      </c>
      <c r="AJ115" s="18">
        <f t="shared" ref="AJ115:AJ121" si="129">X115-AG115</f>
        <v>41341975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+IF(ENERO!A116=0,"",ENERO!A116)</f>
        <v>2600</v>
      </c>
      <c r="B116" s="55" t="str">
        <f>+IF(ENERO!B116=0,"",ENERO!B116)</f>
        <v>RECUPERACIÓN DE CARTERA (AÑO 2012 Y ANTERIORES)</v>
      </c>
      <c r="C116" s="283">
        <f>+ENERO!C116</f>
        <v>1147070</v>
      </c>
      <c r="D116" s="456">
        <f>ENERO!D116+FEBRERO!P116</f>
        <v>0</v>
      </c>
      <c r="E116" s="456">
        <f>ENERO!E116+FEBRERO!Q116</f>
        <v>0</v>
      </c>
      <c r="F116" s="593">
        <f t="shared" si="115"/>
        <v>1147070</v>
      </c>
      <c r="G116" s="283">
        <f>ENERO!I116</f>
        <v>336668</v>
      </c>
      <c r="H116" s="457">
        <v>289200</v>
      </c>
      <c r="I116" s="593">
        <f t="shared" si="116"/>
        <v>625868</v>
      </c>
      <c r="J116" s="283">
        <f>ENERO!L116</f>
        <v>336668</v>
      </c>
      <c r="K116" s="457">
        <v>289200</v>
      </c>
      <c r="L116" s="170">
        <f t="shared" si="117"/>
        <v>625868</v>
      </c>
      <c r="M116" s="535">
        <f t="shared" si="118"/>
        <v>521202</v>
      </c>
      <c r="N116" s="170">
        <f t="shared" si="119"/>
        <v>521202</v>
      </c>
      <c r="P116" s="455">
        <v>0</v>
      </c>
      <c r="Q116" s="458">
        <v>0</v>
      </c>
      <c r="R116" s="10"/>
      <c r="S116" s="155" t="str">
        <f>+IF(ENERO!S116=0,"",ENERO!S116)</f>
        <v>2010100-2</v>
      </c>
      <c r="T116" s="238" t="str">
        <f>+IF(ENERO!T116=0,"",ENERO!T116)</f>
        <v>Materiales</v>
      </c>
      <c r="U116" s="31">
        <f>+ENERO!U116</f>
        <v>23400820</v>
      </c>
      <c r="V116" s="17">
        <f>ENERO!V116+FEBRERO!AL116</f>
        <v>0</v>
      </c>
      <c r="W116" s="17">
        <f>ENERO!W116+FEBRERO!AM116</f>
        <v>0</v>
      </c>
      <c r="X116" s="18">
        <f t="shared" si="123"/>
        <v>23400820</v>
      </c>
      <c r="Y116" s="21">
        <f>ENERO!AA116</f>
        <v>1313508</v>
      </c>
      <c r="Z116" s="457">
        <v>2554309</v>
      </c>
      <c r="AA116" s="20">
        <f t="shared" si="124"/>
        <v>3867817</v>
      </c>
      <c r="AB116" s="21">
        <f>ENERO!AD116</f>
        <v>1313508</v>
      </c>
      <c r="AC116" s="457">
        <v>2554308</v>
      </c>
      <c r="AD116" s="18">
        <f t="shared" si="125"/>
        <v>3867816</v>
      </c>
      <c r="AE116" s="21">
        <f>ENERO!AG116</f>
        <v>0</v>
      </c>
      <c r="AF116" s="457">
        <v>294847</v>
      </c>
      <c r="AG116" s="18">
        <f t="shared" si="126"/>
        <v>294847</v>
      </c>
      <c r="AH116" s="21">
        <f t="shared" si="127"/>
        <v>19533003</v>
      </c>
      <c r="AI116" s="17">
        <f t="shared" si="128"/>
        <v>19533004</v>
      </c>
      <c r="AJ116" s="18">
        <f t="shared" si="129"/>
        <v>23105973</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+IF(ENERO!A117=0,"",ENERO!A117)</f>
        <v>2700</v>
      </c>
      <c r="B117" s="55" t="str">
        <f>+IF(ENERO!B117=0,"",ENERO!B117)</f>
        <v>OTROS INGRESOS DE CAPITAL</v>
      </c>
      <c r="C117" s="283">
        <f>SUM(C118:C119)</f>
        <v>0</v>
      </c>
      <c r="D117" s="456">
        <f t="shared" ref="D117:Q117" si="130">SUM(D118:D119)</f>
        <v>0</v>
      </c>
      <c r="E117" s="456">
        <f t="shared" si="130"/>
        <v>0</v>
      </c>
      <c r="F117" s="593">
        <f t="shared" si="130"/>
        <v>0</v>
      </c>
      <c r="G117" s="283">
        <f t="shared" si="130"/>
        <v>0</v>
      </c>
      <c r="H117" s="456">
        <f t="shared" si="130"/>
        <v>0</v>
      </c>
      <c r="I117" s="593">
        <f t="shared" si="130"/>
        <v>0</v>
      </c>
      <c r="J117" s="283">
        <f t="shared" si="130"/>
        <v>0</v>
      </c>
      <c r="K117" s="456">
        <f t="shared" si="130"/>
        <v>0</v>
      </c>
      <c r="L117" s="170">
        <f t="shared" si="130"/>
        <v>0</v>
      </c>
      <c r="M117" s="535">
        <f t="shared" si="130"/>
        <v>0</v>
      </c>
      <c r="N117" s="170">
        <f t="shared" si="130"/>
        <v>0</v>
      </c>
      <c r="P117" s="283">
        <f t="shared" si="130"/>
        <v>0</v>
      </c>
      <c r="Q117" s="170">
        <f t="shared" si="130"/>
        <v>0</v>
      </c>
      <c r="R117" s="10"/>
      <c r="S117" s="155" t="str">
        <f>+IF(ENERO!S117=0,"",ENERO!S117)</f>
        <v>2010100-3</v>
      </c>
      <c r="T117" s="238" t="str">
        <f>+IF(ENERO!T117=0,"",ENERO!T117)</f>
        <v>Salud Ocupacional</v>
      </c>
      <c r="U117" s="31">
        <f>+ENERO!U117</f>
        <v>0</v>
      </c>
      <c r="V117" s="17">
        <f>ENERO!V117+FEBRERO!AL117</f>
        <v>0</v>
      </c>
      <c r="W117" s="17">
        <f>ENERO!W117+FEBRERO!AM117</f>
        <v>0</v>
      </c>
      <c r="X117" s="18">
        <f t="shared" si="123"/>
        <v>0</v>
      </c>
      <c r="Y117" s="21">
        <f>ENERO!AA117</f>
        <v>0</v>
      </c>
      <c r="Z117" s="457">
        <v>0</v>
      </c>
      <c r="AA117" s="20">
        <f t="shared" si="124"/>
        <v>0</v>
      </c>
      <c r="AB117" s="21">
        <f>ENERO!AD117</f>
        <v>0</v>
      </c>
      <c r="AC117" s="457">
        <v>0</v>
      </c>
      <c r="AD117" s="18">
        <f t="shared" si="125"/>
        <v>0</v>
      </c>
      <c r="AE117" s="21">
        <f>ENERO!AG117</f>
        <v>0</v>
      </c>
      <c r="AF117" s="457">
        <v>0</v>
      </c>
      <c r="AG117" s="18">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+IF(ENERO!A118=0,"",ENERO!A118)</f>
        <v>2700-1</v>
      </c>
      <c r="B118" s="58" t="str">
        <f>+IF(ENERO!B118=0,"",ENERO!B118)</f>
        <v>Descuentos por pronto pago</v>
      </c>
      <c r="C118" s="283">
        <f>+ENERO!C118</f>
        <v>0</v>
      </c>
      <c r="D118" s="456">
        <f>ENERO!D118+FEBRERO!P118</f>
        <v>0</v>
      </c>
      <c r="E118" s="456">
        <f>ENERO!E118+FEBRERO!Q118</f>
        <v>0</v>
      </c>
      <c r="F118" s="593">
        <f>SUM(C118:E118)</f>
        <v>0</v>
      </c>
      <c r="G118" s="283">
        <f>ENERO!I118</f>
        <v>0</v>
      </c>
      <c r="H118" s="457">
        <v>0</v>
      </c>
      <c r="I118" s="593">
        <f>SUM(G118:H118)</f>
        <v>0</v>
      </c>
      <c r="J118" s="283">
        <f>ENERO!L118</f>
        <v>0</v>
      </c>
      <c r="K118" s="457">
        <v>0</v>
      </c>
      <c r="L118" s="170">
        <f>SUM(J118:K118)</f>
        <v>0</v>
      </c>
      <c r="M118" s="535">
        <f>F118-I118</f>
        <v>0</v>
      </c>
      <c r="N118" s="170">
        <f>F118-L118</f>
        <v>0</v>
      </c>
      <c r="P118" s="455">
        <v>0</v>
      </c>
      <c r="Q118" s="458">
        <v>0</v>
      </c>
      <c r="R118" s="10"/>
      <c r="S118" s="155" t="str">
        <f>+IF(ENERO!S118=0,"",ENERO!S118)</f>
        <v>2010100-4</v>
      </c>
      <c r="T118" s="238" t="str">
        <f>+IF(ENERO!T118=0,"",ENERO!T118)</f>
        <v/>
      </c>
      <c r="U118" s="31">
        <f>+ENERO!U118</f>
        <v>0</v>
      </c>
      <c r="V118" s="17">
        <f>ENERO!V118+FEBRERO!AL118</f>
        <v>0</v>
      </c>
      <c r="W118" s="17">
        <f>ENERO!W118+FEBRERO!AM118</f>
        <v>0</v>
      </c>
      <c r="X118" s="18">
        <f t="shared" si="123"/>
        <v>0</v>
      </c>
      <c r="Y118" s="21">
        <f>ENERO!AA118</f>
        <v>0</v>
      </c>
      <c r="Z118" s="457">
        <v>0</v>
      </c>
      <c r="AA118" s="20">
        <f t="shared" si="124"/>
        <v>0</v>
      </c>
      <c r="AB118" s="21">
        <f>ENERO!AD118</f>
        <v>0</v>
      </c>
      <c r="AC118" s="457">
        <v>0</v>
      </c>
      <c r="AD118" s="18">
        <f t="shared" si="125"/>
        <v>0</v>
      </c>
      <c r="AE118" s="21">
        <f>ENERO!AG118</f>
        <v>0</v>
      </c>
      <c r="AF118" s="457">
        <v>0</v>
      </c>
      <c r="AG118" s="18">
        <f t="shared" si="126"/>
        <v>0</v>
      </c>
      <c r="AH118" s="21">
        <f t="shared" si="127"/>
        <v>0</v>
      </c>
      <c r="AI118" s="17">
        <f t="shared" si="128"/>
        <v>0</v>
      </c>
      <c r="AJ118" s="18">
        <f t="shared" si="129"/>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+IF(ENERO!A119=0,"",ENERO!A119)</f>
        <v>2700-2</v>
      </c>
      <c r="B119" s="249" t="str">
        <f>+IF(ENERO!B119=0,"",ENERO!B119)</f>
        <v>Otros</v>
      </c>
      <c r="C119" s="474">
        <f>+ENERO!C119</f>
        <v>0</v>
      </c>
      <c r="D119" s="472">
        <f>ENERO!D119+FEBRERO!P119</f>
        <v>0</v>
      </c>
      <c r="E119" s="472">
        <f>ENERO!E119+FEBRERO!Q119</f>
        <v>0</v>
      </c>
      <c r="F119" s="596">
        <f>SUM(C119:E119)</f>
        <v>0</v>
      </c>
      <c r="G119" s="474">
        <f>ENERO!I119</f>
        <v>0</v>
      </c>
      <c r="H119" s="475">
        <v>0</v>
      </c>
      <c r="I119" s="596">
        <f>SUM(G119:H119)</f>
        <v>0</v>
      </c>
      <c r="J119" s="474">
        <f>ENERO!L119</f>
        <v>0</v>
      </c>
      <c r="K119" s="475">
        <v>0</v>
      </c>
      <c r="L119" s="473">
        <f>SUM(J119:K119)</f>
        <v>0</v>
      </c>
      <c r="M119" s="597">
        <f>F119-I119</f>
        <v>0</v>
      </c>
      <c r="N119" s="473">
        <f>F119-L119</f>
        <v>0</v>
      </c>
      <c r="P119" s="471">
        <v>0</v>
      </c>
      <c r="Q119" s="476">
        <v>0</v>
      </c>
      <c r="R119" s="10"/>
      <c r="S119" s="155" t="str">
        <f>+IF(ENERO!S119=0,"",ENERO!S119)</f>
        <v>2010100-5</v>
      </c>
      <c r="T119" s="238" t="str">
        <f>+IF(ENERO!T119=0,"",ENERO!T119)</f>
        <v/>
      </c>
      <c r="U119" s="31">
        <f>+ENERO!U119</f>
        <v>0</v>
      </c>
      <c r="V119" s="17">
        <f>ENERO!V119+FEBRERO!AL119</f>
        <v>0</v>
      </c>
      <c r="W119" s="17">
        <f>ENERO!W119+FEBRERO!AM119</f>
        <v>0</v>
      </c>
      <c r="X119" s="18">
        <f t="shared" si="123"/>
        <v>0</v>
      </c>
      <c r="Y119" s="21">
        <f>ENERO!AA119</f>
        <v>0</v>
      </c>
      <c r="Z119" s="457">
        <v>0</v>
      </c>
      <c r="AA119" s="20">
        <f t="shared" si="124"/>
        <v>0</v>
      </c>
      <c r="AB119" s="21">
        <f>ENERO!AD119</f>
        <v>0</v>
      </c>
      <c r="AC119" s="457">
        <v>0</v>
      </c>
      <c r="AD119" s="18">
        <f t="shared" si="125"/>
        <v>0</v>
      </c>
      <c r="AE119" s="21">
        <f>ENERO!AG119</f>
        <v>0</v>
      </c>
      <c r="AF119" s="457">
        <v>0</v>
      </c>
      <c r="AG119" s="18">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+IF(ENERO!S120=0,"",ENERO!S120)</f>
        <v>2010100-6</v>
      </c>
      <c r="T120" s="238" t="str">
        <f>+IF(ENERO!T120=0,"",ENERO!T120)</f>
        <v/>
      </c>
      <c r="U120" s="31">
        <f>+ENERO!U120</f>
        <v>0</v>
      </c>
      <c r="V120" s="17">
        <f>ENERO!V120+FEBRERO!AL120</f>
        <v>0</v>
      </c>
      <c r="W120" s="17">
        <f>ENERO!W120+FEBRERO!AM120</f>
        <v>0</v>
      </c>
      <c r="X120" s="18">
        <f t="shared" si="123"/>
        <v>0</v>
      </c>
      <c r="Y120" s="21">
        <f>ENERO!AA120</f>
        <v>0</v>
      </c>
      <c r="Z120" s="457">
        <v>0</v>
      </c>
      <c r="AA120" s="20">
        <f t="shared" si="124"/>
        <v>0</v>
      </c>
      <c r="AB120" s="21">
        <f>ENERO!AD120</f>
        <v>0</v>
      </c>
      <c r="AC120" s="457">
        <v>0</v>
      </c>
      <c r="AD120" s="18">
        <f t="shared" si="125"/>
        <v>0</v>
      </c>
      <c r="AE120" s="21">
        <f>ENERO!AG120</f>
        <v>0</v>
      </c>
      <c r="AF120" s="457">
        <v>0</v>
      </c>
      <c r="AG120" s="18">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+IF(ENERO!A121=0,"",ENERO!A121)</f>
        <v>TOTAL INGRESOS DIFERENTES A CUENTAS POR COBRAR</v>
      </c>
      <c r="B121" s="682"/>
      <c r="C121" s="605">
        <f t="shared" ref="C121:N121" si="131">C8-C123</f>
        <v>3465783837</v>
      </c>
      <c r="D121" s="603">
        <f t="shared" si="131"/>
        <v>0</v>
      </c>
      <c r="E121" s="603">
        <f t="shared" si="131"/>
        <v>33074115</v>
      </c>
      <c r="F121" s="604">
        <f t="shared" si="131"/>
        <v>3498857952</v>
      </c>
      <c r="G121" s="602">
        <f t="shared" si="131"/>
        <v>241219330</v>
      </c>
      <c r="H121" s="603">
        <f t="shared" si="131"/>
        <v>429361523</v>
      </c>
      <c r="I121" s="604">
        <f t="shared" si="131"/>
        <v>670580853</v>
      </c>
      <c r="J121" s="602">
        <f t="shared" si="131"/>
        <v>180361309</v>
      </c>
      <c r="K121" s="603">
        <f t="shared" si="131"/>
        <v>374435519</v>
      </c>
      <c r="L121" s="604">
        <f t="shared" si="131"/>
        <v>554796828</v>
      </c>
      <c r="M121" s="602">
        <f t="shared" si="131"/>
        <v>2828277099</v>
      </c>
      <c r="N121" s="604">
        <f t="shared" si="131"/>
        <v>2944061124</v>
      </c>
      <c r="P121" s="605">
        <f>P8-P123</f>
        <v>0</v>
      </c>
      <c r="Q121" s="606">
        <f>Q8-Q123</f>
        <v>33074115</v>
      </c>
      <c r="R121" s="10"/>
      <c r="S121" s="155">
        <f>+IF(ENERO!S121=0,"",ENERO!S121)</f>
        <v>2010199</v>
      </c>
      <c r="T121" s="238" t="str">
        <f>+IF(ENERO!T121=0,"",ENERO!T121)</f>
        <v>Vigencias Anteriores</v>
      </c>
      <c r="U121" s="31">
        <f>+ENERO!U121</f>
        <v>2000000</v>
      </c>
      <c r="V121" s="17">
        <f>ENERO!V121+FEBRERO!AL121</f>
        <v>0</v>
      </c>
      <c r="W121" s="17">
        <f>ENERO!W121+FEBRERO!AM121</f>
        <v>1396432</v>
      </c>
      <c r="X121" s="18">
        <f t="shared" si="123"/>
        <v>3396432</v>
      </c>
      <c r="Y121" s="21">
        <f>ENERO!AA121</f>
        <v>3396432</v>
      </c>
      <c r="Z121" s="457">
        <v>0</v>
      </c>
      <c r="AA121" s="20">
        <f t="shared" si="124"/>
        <v>3396432</v>
      </c>
      <c r="AB121" s="21">
        <f>ENERO!AD121</f>
        <v>3396432</v>
      </c>
      <c r="AC121" s="457">
        <v>0</v>
      </c>
      <c r="AD121" s="18">
        <f t="shared" si="125"/>
        <v>3396432</v>
      </c>
      <c r="AE121" s="21">
        <f>ENERO!AG121</f>
        <v>0</v>
      </c>
      <c r="AF121" s="457">
        <v>1550432</v>
      </c>
      <c r="AG121" s="18">
        <f t="shared" si="126"/>
        <v>1550432</v>
      </c>
      <c r="AH121" s="21">
        <f t="shared" si="127"/>
        <v>0</v>
      </c>
      <c r="AI121" s="17">
        <f t="shared" si="128"/>
        <v>0</v>
      </c>
      <c r="AJ121" s="18">
        <f t="shared" si="129"/>
        <v>1846000</v>
      </c>
      <c r="AK121" s="10"/>
      <c r="AL121" s="455"/>
      <c r="AM121" s="458">
        <v>1396432</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+IF(ENERO!S122=0,"",ENERO!S122)</f>
        <v/>
      </c>
      <c r="T122" s="649" t="str">
        <f>+IF(ENERO!T122=0,"",ENERO!T122)</f>
        <v/>
      </c>
      <c r="U122" s="450"/>
      <c r="V122" s="193"/>
      <c r="W122" s="193"/>
      <c r="X122" s="207"/>
      <c r="Y122" s="450"/>
      <c r="Z122" s="193"/>
      <c r="AA122" s="193"/>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+IF(ENERO!A123=0,"",ENERO!A123)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76092547</v>
      </c>
      <c r="H123" s="685">
        <f>SUMIF($B8:$B$117,$B$24,H8:H117)+H116</f>
        <v>24630125</v>
      </c>
      <c r="I123" s="686">
        <f>SUMIF($B8:$B$117,$B$24,I8:I117)+I116</f>
        <v>100722672</v>
      </c>
      <c r="J123" s="687">
        <f>SUMIF($B8:$B$117,$B$24,J8:J117)+J116</f>
        <v>76092547</v>
      </c>
      <c r="K123" s="685">
        <f>SUMIF($B8:$B$117,$B$24,K8:K117)+K116</f>
        <v>24630125</v>
      </c>
      <c r="L123" s="686">
        <f>SUMIF($B8:$B$117,$B$24,L8:L117)+L116</f>
        <v>100722672</v>
      </c>
      <c r="M123" s="687">
        <f>SUMIF($B8:$B$117,$B$24,M8:M117)+M116</f>
        <v>64994503</v>
      </c>
      <c r="N123" s="686">
        <f>SUMIF($B8:$B$117,$B$24,N8:N117)+N116</f>
        <v>64994503</v>
      </c>
      <c r="P123" s="614">
        <f>SUMIF($B8:$B$117,$B$24,P8:P117)+P116</f>
        <v>0</v>
      </c>
      <c r="Q123" s="616">
        <f>SUMIF($B8:$B$117,$B$24,Q8:Q117)+Q116</f>
        <v>0</v>
      </c>
      <c r="R123" s="10"/>
      <c r="S123" s="34">
        <f>+IF(ENERO!S123=0,"",ENERO!S123)</f>
        <v>2010200</v>
      </c>
      <c r="T123" s="237" t="str">
        <f>+IF(ENERO!T123=0,"",ENERO!T123)</f>
        <v>Adquisición de Servicios</v>
      </c>
      <c r="U123" s="151">
        <f t="shared" ref="U123:AJ123" si="132">SUM(U124:U139)</f>
        <v>130967353</v>
      </c>
      <c r="V123" s="144">
        <f t="shared" si="132"/>
        <v>0</v>
      </c>
      <c r="W123" s="144">
        <f t="shared" si="132"/>
        <v>4066041</v>
      </c>
      <c r="X123" s="153">
        <f t="shared" si="132"/>
        <v>135033394</v>
      </c>
      <c r="Y123" s="151">
        <f t="shared" si="132"/>
        <v>23095114</v>
      </c>
      <c r="Z123" s="144">
        <f t="shared" si="132"/>
        <v>3961624</v>
      </c>
      <c r="AA123" s="152">
        <f t="shared" si="132"/>
        <v>27056738</v>
      </c>
      <c r="AB123" s="151">
        <f t="shared" si="132"/>
        <v>23095114</v>
      </c>
      <c r="AC123" s="144">
        <f t="shared" si="132"/>
        <v>3961624</v>
      </c>
      <c r="AD123" s="153">
        <f t="shared" si="132"/>
        <v>27056738</v>
      </c>
      <c r="AE123" s="151">
        <f t="shared" si="132"/>
        <v>9039304</v>
      </c>
      <c r="AF123" s="144">
        <f t="shared" si="132"/>
        <v>17643390</v>
      </c>
      <c r="AG123" s="153">
        <f t="shared" si="132"/>
        <v>26682694</v>
      </c>
      <c r="AH123" s="151">
        <f t="shared" si="132"/>
        <v>107976656</v>
      </c>
      <c r="AI123" s="144">
        <f t="shared" si="132"/>
        <v>107976656</v>
      </c>
      <c r="AJ123" s="153">
        <f t="shared" si="132"/>
        <v>108350700</v>
      </c>
      <c r="AK123" s="10"/>
      <c r="AL123" s="151">
        <f>SUM(AL124:AL139)</f>
        <v>0</v>
      </c>
      <c r="AM123" s="153">
        <f>SUM(AM124:AM139)</f>
        <v>4066041</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+IF(ENERO!S124=0,"",ENERO!S124)</f>
        <v>2010200-1</v>
      </c>
      <c r="T124" s="238" t="str">
        <f>+IF(ENERO!T124=0,"",ENERO!T124)</f>
        <v>Seguros</v>
      </c>
      <c r="U124" s="31">
        <f>+ENERO!U124</f>
        <v>42767476</v>
      </c>
      <c r="V124" s="17">
        <f>ENERO!V124+FEBRERO!AL124</f>
        <v>0</v>
      </c>
      <c r="W124" s="17">
        <f>ENERO!W124+FEBRERO!AM124</f>
        <v>0</v>
      </c>
      <c r="X124" s="18">
        <f t="shared" ref="X124:X139" si="133">SUM(U124:W124)</f>
        <v>42767476</v>
      </c>
      <c r="Y124" s="21">
        <f>ENERO!AA124</f>
        <v>11407103</v>
      </c>
      <c r="Z124" s="457">
        <v>0</v>
      </c>
      <c r="AA124" s="20">
        <f t="shared" ref="AA124:AA139" si="134">SUM(Y124:Z124)</f>
        <v>11407103</v>
      </c>
      <c r="AB124" s="21">
        <f>ENERO!AD124</f>
        <v>11407103</v>
      </c>
      <c r="AC124" s="457">
        <v>0</v>
      </c>
      <c r="AD124" s="18">
        <f t="shared" ref="AD124:AD139" si="135">SUM(AB124:AC124)</f>
        <v>11407103</v>
      </c>
      <c r="AE124" s="21">
        <f>ENERO!AG124</f>
        <v>5706002</v>
      </c>
      <c r="AF124" s="457">
        <v>5701101</v>
      </c>
      <c r="AG124" s="18">
        <f t="shared" ref="AG124:AG139" si="136">SUM(AE124:AF124)</f>
        <v>11407103</v>
      </c>
      <c r="AH124" s="21">
        <f t="shared" ref="AH124:AH139" si="137">X124-AA124</f>
        <v>31360373</v>
      </c>
      <c r="AI124" s="17">
        <f t="shared" ref="AI124:AI139" si="138">X124-AD124</f>
        <v>31360373</v>
      </c>
      <c r="AJ124" s="18">
        <f t="shared" ref="AJ124:AJ139" si="139">X124-AG124</f>
        <v>31360373</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+IF(ENERO!A125=0,"",ENERO!A125)</f>
        <v xml:space="preserve">TOTAL PRESUPUESTO DE INGRESOS </v>
      </c>
      <c r="B125" s="619"/>
      <c r="C125" s="605">
        <f t="shared" ref="C125:N125" si="140">C123+C121</f>
        <v>3631501012</v>
      </c>
      <c r="D125" s="621">
        <f t="shared" si="140"/>
        <v>0</v>
      </c>
      <c r="E125" s="621">
        <f t="shared" si="140"/>
        <v>33074115</v>
      </c>
      <c r="F125" s="622">
        <f t="shared" si="140"/>
        <v>3664575127</v>
      </c>
      <c r="G125" s="620">
        <f t="shared" si="140"/>
        <v>317311877</v>
      </c>
      <c r="H125" s="621">
        <f t="shared" si="140"/>
        <v>453991648</v>
      </c>
      <c r="I125" s="622">
        <f t="shared" si="140"/>
        <v>771303525</v>
      </c>
      <c r="J125" s="620">
        <f t="shared" si="140"/>
        <v>256453856</v>
      </c>
      <c r="K125" s="621">
        <f t="shared" si="140"/>
        <v>399065644</v>
      </c>
      <c r="L125" s="622">
        <f t="shared" si="140"/>
        <v>655519500</v>
      </c>
      <c r="M125" s="620">
        <f t="shared" si="140"/>
        <v>2893271602</v>
      </c>
      <c r="N125" s="622">
        <f t="shared" si="140"/>
        <v>3009055627</v>
      </c>
      <c r="P125" s="605">
        <f>P123+P121</f>
        <v>0</v>
      </c>
      <c r="Q125" s="606">
        <f>Q123+Q121</f>
        <v>33074115</v>
      </c>
      <c r="R125" s="10"/>
      <c r="S125" s="155" t="str">
        <f>+IF(ENERO!S125=0,"",ENERO!S125)</f>
        <v>2010200-2</v>
      </c>
      <c r="T125" s="238" t="str">
        <f>+IF(ENERO!T125=0,"",ENERO!T125)</f>
        <v>Impresos y Publicaciones</v>
      </c>
      <c r="U125" s="31">
        <f>+ENERO!U125</f>
        <v>10257367</v>
      </c>
      <c r="V125" s="17">
        <f>ENERO!V125+FEBRERO!AL125</f>
        <v>0</v>
      </c>
      <c r="W125" s="17">
        <f>ENERO!W125+FEBRERO!AM125</f>
        <v>0</v>
      </c>
      <c r="X125" s="18">
        <f t="shared" si="133"/>
        <v>10257367</v>
      </c>
      <c r="Y125" s="21">
        <f>ENERO!AA125</f>
        <v>0</v>
      </c>
      <c r="Z125" s="457">
        <v>0</v>
      </c>
      <c r="AA125" s="20">
        <f t="shared" si="134"/>
        <v>0</v>
      </c>
      <c r="AB125" s="21">
        <f>ENERO!AD125</f>
        <v>0</v>
      </c>
      <c r="AC125" s="457">
        <v>0</v>
      </c>
      <c r="AD125" s="18">
        <f t="shared" si="135"/>
        <v>0</v>
      </c>
      <c r="AE125" s="21">
        <f>ENERO!AG125</f>
        <v>0</v>
      </c>
      <c r="AF125" s="457">
        <v>0</v>
      </c>
      <c r="AG125" s="18">
        <f t="shared" si="136"/>
        <v>0</v>
      </c>
      <c r="AH125" s="21">
        <f t="shared" si="137"/>
        <v>10257367</v>
      </c>
      <c r="AI125" s="17">
        <f t="shared" si="138"/>
        <v>10257367</v>
      </c>
      <c r="AJ125" s="18">
        <f t="shared" si="139"/>
        <v>10257367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+IF(ENERO!S126=0,"",ENERO!S126)</f>
        <v>2010200-3</v>
      </c>
      <c r="T126" s="238" t="str">
        <f>+IF(ENERO!T126=0,"",ENERO!T126)</f>
        <v xml:space="preserve">Servicios Públicos </v>
      </c>
      <c r="U126" s="31">
        <f>+ENERO!U126</f>
        <v>49280460</v>
      </c>
      <c r="V126" s="17">
        <f>ENERO!V126+FEBRERO!AL126</f>
        <v>0</v>
      </c>
      <c r="W126" s="17">
        <f>ENERO!W126+FEBRERO!AM126</f>
        <v>0</v>
      </c>
      <c r="X126" s="18">
        <f t="shared" si="133"/>
        <v>49280460</v>
      </c>
      <c r="Y126" s="21">
        <f>ENERO!AA126</f>
        <v>4968733</v>
      </c>
      <c r="Z126" s="457">
        <v>3527122</v>
      </c>
      <c r="AA126" s="20">
        <f t="shared" si="134"/>
        <v>8495855</v>
      </c>
      <c r="AB126" s="21">
        <f>ENERO!AD126</f>
        <v>4968733</v>
      </c>
      <c r="AC126" s="457">
        <v>3527122</v>
      </c>
      <c r="AD126" s="18">
        <f t="shared" si="135"/>
        <v>8495855</v>
      </c>
      <c r="AE126" s="21">
        <f>ENERO!AG126</f>
        <v>2680065</v>
      </c>
      <c r="AF126" s="457">
        <v>5792790</v>
      </c>
      <c r="AG126" s="18">
        <f t="shared" si="136"/>
        <v>8472855</v>
      </c>
      <c r="AH126" s="21">
        <f t="shared" si="137"/>
        <v>40784605</v>
      </c>
      <c r="AI126" s="17">
        <f t="shared" si="138"/>
        <v>40784605</v>
      </c>
      <c r="AJ126" s="18">
        <f t="shared" si="139"/>
        <v>40807605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+IF(ENERO!S127=0,"",ENERO!S127)</f>
        <v>2010200-4</v>
      </c>
      <c r="T127" s="238" t="str">
        <f>+IF(ENERO!T127=0,"",ENERO!T127)</f>
        <v>Comunicaciones y Transportes</v>
      </c>
      <c r="U127" s="31">
        <f>+ENERO!U127</f>
        <v>8570980</v>
      </c>
      <c r="V127" s="17">
        <f>ENERO!V127+FEBRERO!AL127</f>
        <v>0</v>
      </c>
      <c r="W127" s="17">
        <f>ENERO!W127+FEBRERO!AM127</f>
        <v>0</v>
      </c>
      <c r="X127" s="18">
        <f t="shared" si="133"/>
        <v>8570980</v>
      </c>
      <c r="Y127" s="21">
        <f>ENERO!AA127</f>
        <v>0</v>
      </c>
      <c r="Z127" s="457">
        <v>0</v>
      </c>
      <c r="AA127" s="20">
        <f t="shared" si="134"/>
        <v>0</v>
      </c>
      <c r="AB127" s="21">
        <f>ENERO!AD127</f>
        <v>0</v>
      </c>
      <c r="AC127" s="457">
        <v>0</v>
      </c>
      <c r="AD127" s="18">
        <f t="shared" si="135"/>
        <v>0</v>
      </c>
      <c r="AE127" s="21">
        <f>ENERO!AG127</f>
        <v>0</v>
      </c>
      <c r="AF127" s="457">
        <v>0</v>
      </c>
      <c r="AG127" s="18">
        <f t="shared" si="136"/>
        <v>0</v>
      </c>
      <c r="AH127" s="21">
        <f t="shared" si="137"/>
        <v>8570980</v>
      </c>
      <c r="AI127" s="17">
        <f t="shared" si="138"/>
        <v>8570980</v>
      </c>
      <c r="AJ127" s="18">
        <f t="shared" si="139"/>
        <v>8570980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+IF(ENERO!S128=0,"",ENERO!S128)</f>
        <v>2010200-5</v>
      </c>
      <c r="T128" s="238" t="str">
        <f>+IF(ENERO!T128=0,"",ENERO!T128)</f>
        <v>Viáticos y Gastos de Viaje</v>
      </c>
      <c r="U128" s="31">
        <f>+ENERO!U128</f>
        <v>4306574</v>
      </c>
      <c r="V128" s="17">
        <f>ENERO!V128+FEBRERO!AL128</f>
        <v>0</v>
      </c>
      <c r="W128" s="17">
        <f>ENERO!W128+FEBRERO!AM128</f>
        <v>0</v>
      </c>
      <c r="X128" s="18">
        <f t="shared" si="133"/>
        <v>4306574</v>
      </c>
      <c r="Y128" s="21">
        <f>ENERO!AA128</f>
        <v>61898</v>
      </c>
      <c r="Z128" s="457">
        <v>261502</v>
      </c>
      <c r="AA128" s="20">
        <f t="shared" si="134"/>
        <v>323400</v>
      </c>
      <c r="AB128" s="21">
        <f>ENERO!AD128</f>
        <v>61898</v>
      </c>
      <c r="AC128" s="457">
        <v>261502</v>
      </c>
      <c r="AD128" s="18">
        <f t="shared" si="135"/>
        <v>323400</v>
      </c>
      <c r="AE128" s="21">
        <f>ENERO!AG128</f>
        <v>61898</v>
      </c>
      <c r="AF128" s="457">
        <v>261502</v>
      </c>
      <c r="AG128" s="18">
        <f t="shared" si="136"/>
        <v>323400</v>
      </c>
      <c r="AH128" s="21">
        <f t="shared" si="137"/>
        <v>3983174</v>
      </c>
      <c r="AI128" s="17">
        <f t="shared" si="138"/>
        <v>3983174</v>
      </c>
      <c r="AJ128" s="18">
        <f t="shared" si="139"/>
        <v>3983174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+IF(ENERO!S129=0,"",ENERO!S129)</f>
        <v>2010200-6</v>
      </c>
      <c r="T129" s="238" t="str">
        <f>+IF(ENERO!T129=0,"",ENERO!T129)</f>
        <v>Arrendamientos</v>
      </c>
      <c r="U129" s="31">
        <f>+ENERO!U129</f>
        <v>0</v>
      </c>
      <c r="V129" s="17">
        <f>ENERO!V129+FEBRERO!AL129</f>
        <v>0</v>
      </c>
      <c r="W129" s="17">
        <f>ENERO!W129+FEBRERO!AM129</f>
        <v>0</v>
      </c>
      <c r="X129" s="18">
        <f t="shared" si="133"/>
        <v>0</v>
      </c>
      <c r="Y129" s="21">
        <f>ENERO!AA129</f>
        <v>0</v>
      </c>
      <c r="Z129" s="457">
        <v>0</v>
      </c>
      <c r="AA129" s="20">
        <f t="shared" si="134"/>
        <v>0</v>
      </c>
      <c r="AB129" s="21">
        <f>ENERO!AD129</f>
        <v>0</v>
      </c>
      <c r="AC129" s="457">
        <v>0</v>
      </c>
      <c r="AD129" s="18">
        <f t="shared" si="135"/>
        <v>0</v>
      </c>
      <c r="AE129" s="21">
        <f>ENERO!AG129</f>
        <v>0</v>
      </c>
      <c r="AF129" s="457">
        <v>0</v>
      </c>
      <c r="AG129" s="18">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+IF(ENERO!S130=0,"",ENERO!S130)</f>
        <v>2010200-7</v>
      </c>
      <c r="T130" s="238" t="str">
        <f>+IF(ENERO!T130=0,"",ENERO!T130)</f>
        <v>Vigilancia y Aseo</v>
      </c>
      <c r="U130" s="31">
        <f>+ENERO!U130</f>
        <v>0</v>
      </c>
      <c r="V130" s="17">
        <f>ENERO!V130+FEBRERO!AL130</f>
        <v>0</v>
      </c>
      <c r="W130" s="17">
        <f>ENERO!W130+FEBRERO!AM130</f>
        <v>0</v>
      </c>
      <c r="X130" s="18">
        <f t="shared" si="133"/>
        <v>0</v>
      </c>
      <c r="Y130" s="21">
        <f>ENERO!AA130</f>
        <v>0</v>
      </c>
      <c r="Z130" s="457">
        <v>0</v>
      </c>
      <c r="AA130" s="20">
        <f t="shared" si="134"/>
        <v>0</v>
      </c>
      <c r="AB130" s="21">
        <f>ENERO!AD130</f>
        <v>0</v>
      </c>
      <c r="AC130" s="457">
        <v>0</v>
      </c>
      <c r="AD130" s="18">
        <f t="shared" si="135"/>
        <v>0</v>
      </c>
      <c r="AE130" s="21">
        <f>ENERO!AG130</f>
        <v>0</v>
      </c>
      <c r="AF130" s="457">
        <v>0</v>
      </c>
      <c r="AG130" s="18">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+IF(ENERO!S131=0,"",ENERO!S131)</f>
        <v>2010200-8</v>
      </c>
      <c r="T131" s="238" t="str">
        <f>+IF(ENERO!T131=0,"",ENERO!T131)</f>
        <v>Bienestar Social</v>
      </c>
      <c r="U131" s="31">
        <f>+ENERO!U131</f>
        <v>6347410</v>
      </c>
      <c r="V131" s="17">
        <f>ENERO!V131+FEBRERO!AL131</f>
        <v>0</v>
      </c>
      <c r="W131" s="17">
        <f>ENERO!W131+FEBRERO!AM131</f>
        <v>0</v>
      </c>
      <c r="X131" s="18">
        <f t="shared" si="133"/>
        <v>6347410</v>
      </c>
      <c r="Y131" s="21">
        <f>ENERO!AA131</f>
        <v>0</v>
      </c>
      <c r="Z131" s="457">
        <v>0</v>
      </c>
      <c r="AA131" s="20">
        <f t="shared" si="134"/>
        <v>0</v>
      </c>
      <c r="AB131" s="21">
        <f>ENERO!AD131</f>
        <v>0</v>
      </c>
      <c r="AC131" s="457">
        <v>0</v>
      </c>
      <c r="AD131" s="18">
        <f t="shared" si="135"/>
        <v>0</v>
      </c>
      <c r="AE131" s="21">
        <f>ENERO!AG131</f>
        <v>0</v>
      </c>
      <c r="AF131" s="457">
        <v>0</v>
      </c>
      <c r="AG131" s="18">
        <f t="shared" si="136"/>
        <v>0</v>
      </c>
      <c r="AH131" s="21">
        <f t="shared" si="137"/>
        <v>6347410</v>
      </c>
      <c r="AI131" s="17">
        <f t="shared" si="138"/>
        <v>6347410</v>
      </c>
      <c r="AJ131" s="18">
        <f t="shared" si="139"/>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+IF(ENERO!S132=0,"",ENERO!S132)</f>
        <v>2010200-9</v>
      </c>
      <c r="T132" s="238" t="str">
        <f>+IF(ENERO!T132=0,"",ENERO!T132)</f>
        <v>Capacitación, estimulos, incentivos, programa de calidad</v>
      </c>
      <c r="U132" s="31">
        <f>+ENERO!U132</f>
        <v>4142898</v>
      </c>
      <c r="V132" s="17">
        <f>ENERO!V132+FEBRERO!AL132</f>
        <v>0</v>
      </c>
      <c r="W132" s="17">
        <f>ENERO!W132+FEBRERO!AM132</f>
        <v>0</v>
      </c>
      <c r="X132" s="18">
        <f t="shared" si="133"/>
        <v>4142898</v>
      </c>
      <c r="Y132" s="21">
        <f>ENERO!AA132</f>
        <v>545200</v>
      </c>
      <c r="Z132" s="457">
        <v>0</v>
      </c>
      <c r="AA132" s="20">
        <f t="shared" si="134"/>
        <v>545200</v>
      </c>
      <c r="AB132" s="21">
        <f>ENERO!AD132</f>
        <v>545200</v>
      </c>
      <c r="AC132" s="457">
        <v>0</v>
      </c>
      <c r="AD132" s="18">
        <f t="shared" si="135"/>
        <v>545200</v>
      </c>
      <c r="AE132" s="21">
        <f>ENERO!AG132</f>
        <v>545200</v>
      </c>
      <c r="AF132" s="457">
        <v>0</v>
      </c>
      <c r="AG132" s="18">
        <f t="shared" si="136"/>
        <v>545200</v>
      </c>
      <c r="AH132" s="21">
        <f t="shared" si="137"/>
        <v>3597698</v>
      </c>
      <c r="AI132" s="17">
        <f t="shared" si="138"/>
        <v>3597698</v>
      </c>
      <c r="AJ132" s="18">
        <f t="shared" si="139"/>
        <v>3597698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+IF(ENERO!S133=0,"",ENERO!S133)</f>
        <v>2010200-10</v>
      </c>
      <c r="T133" s="238" t="str">
        <f>+IF(ENERO!T133=0,"",ENERO!T133)</f>
        <v>Pagos otras IPS</v>
      </c>
      <c r="U133" s="31">
        <f>+ENERO!U133</f>
        <v>0</v>
      </c>
      <c r="V133" s="17">
        <f>ENERO!V133+FEBRERO!AL133</f>
        <v>0</v>
      </c>
      <c r="W133" s="17">
        <f>ENERO!W133+FEBRERO!AM133</f>
        <v>0</v>
      </c>
      <c r="X133" s="18">
        <f t="shared" si="133"/>
        <v>0</v>
      </c>
      <c r="Y133" s="21">
        <f>ENERO!AA133</f>
        <v>0</v>
      </c>
      <c r="Z133" s="457">
        <v>0</v>
      </c>
      <c r="AA133" s="20">
        <f t="shared" si="134"/>
        <v>0</v>
      </c>
      <c r="AB133" s="21">
        <f>ENERO!AD133</f>
        <v>0</v>
      </c>
      <c r="AC133" s="457">
        <v>0</v>
      </c>
      <c r="AD133" s="18">
        <f t="shared" si="135"/>
        <v>0</v>
      </c>
      <c r="AE133" s="21">
        <f>ENERO!AG133</f>
        <v>0</v>
      </c>
      <c r="AF133" s="457">
        <v>0</v>
      </c>
      <c r="AG133" s="18">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+IF(ENERO!S134=0,"",ENERO!S134)</f>
        <v>2010200-11</v>
      </c>
      <c r="T134" s="238" t="str">
        <f>+IF(ENERO!T134=0,"",ENERO!T134)</f>
        <v>Gastos financieros</v>
      </c>
      <c r="U134" s="31">
        <f>+ENERO!U134</f>
        <v>3294188</v>
      </c>
      <c r="V134" s="17">
        <f>ENERO!V134+FEBRERO!AL134</f>
        <v>0</v>
      </c>
      <c r="W134" s="17">
        <f>ENERO!W134+FEBRERO!AM134</f>
        <v>0</v>
      </c>
      <c r="X134" s="18">
        <f t="shared" si="133"/>
        <v>3294188</v>
      </c>
      <c r="Y134" s="21">
        <f>ENERO!AA134</f>
        <v>46139</v>
      </c>
      <c r="Z134" s="457">
        <v>173000</v>
      </c>
      <c r="AA134" s="20">
        <f t="shared" si="134"/>
        <v>219139</v>
      </c>
      <c r="AB134" s="21">
        <f>ENERO!AD134</f>
        <v>46139</v>
      </c>
      <c r="AC134" s="457">
        <v>173000</v>
      </c>
      <c r="AD134" s="18">
        <f t="shared" si="135"/>
        <v>219139</v>
      </c>
      <c r="AE134" s="21">
        <f>ENERO!AG134</f>
        <v>46139</v>
      </c>
      <c r="AF134" s="457">
        <v>173000</v>
      </c>
      <c r="AG134" s="18">
        <f t="shared" si="136"/>
        <v>219139</v>
      </c>
      <c r="AH134" s="21">
        <f t="shared" si="137"/>
        <v>3075049</v>
      </c>
      <c r="AI134" s="17">
        <f t="shared" si="138"/>
        <v>3075049</v>
      </c>
      <c r="AJ134" s="18">
        <f t="shared" si="139"/>
        <v>3075049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+IF(ENERO!S135=0,"",ENERO!S135)</f>
        <v>2010200-12</v>
      </c>
      <c r="T135" s="238" t="str">
        <f>+IF(ENERO!T135=0,"",ENERO!T135)</f>
        <v/>
      </c>
      <c r="U135" s="31">
        <f>+ENERO!U135</f>
        <v>0</v>
      </c>
      <c r="V135" s="17">
        <f>ENERO!V135+FEBRERO!AL135</f>
        <v>0</v>
      </c>
      <c r="W135" s="17">
        <f>ENERO!W135+FEBRERO!AM135</f>
        <v>0</v>
      </c>
      <c r="X135" s="18">
        <f t="shared" si="133"/>
        <v>0</v>
      </c>
      <c r="Y135" s="21">
        <f>ENERO!AA135</f>
        <v>0</v>
      </c>
      <c r="Z135" s="457">
        <v>0</v>
      </c>
      <c r="AA135" s="20">
        <f t="shared" si="134"/>
        <v>0</v>
      </c>
      <c r="AB135" s="21">
        <f>ENERO!AD135</f>
        <v>0</v>
      </c>
      <c r="AC135" s="457">
        <v>0</v>
      </c>
      <c r="AD135" s="18">
        <f t="shared" si="135"/>
        <v>0</v>
      </c>
      <c r="AE135" s="21">
        <f>ENERO!AG135</f>
        <v>0</v>
      </c>
      <c r="AF135" s="457">
        <v>0</v>
      </c>
      <c r="AG135" s="18">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+IF(ENERO!S136=0,"",ENERO!S136)</f>
        <v>2010200-13</v>
      </c>
      <c r="T136" s="238" t="str">
        <f>+IF(ENERO!T136=0,"",ENERO!T136)</f>
        <v/>
      </c>
      <c r="U136" s="31">
        <f>+ENERO!U136</f>
        <v>0</v>
      </c>
      <c r="V136" s="17">
        <f>ENERO!V136+FEBRERO!AL136</f>
        <v>0</v>
      </c>
      <c r="W136" s="17">
        <f>ENERO!W136+FEBRERO!AM136</f>
        <v>0</v>
      </c>
      <c r="X136" s="18">
        <f t="shared" si="133"/>
        <v>0</v>
      </c>
      <c r="Y136" s="21">
        <f>ENERO!AA136</f>
        <v>0</v>
      </c>
      <c r="Z136" s="457">
        <v>0</v>
      </c>
      <c r="AA136" s="20">
        <f t="shared" si="134"/>
        <v>0</v>
      </c>
      <c r="AB136" s="21">
        <f>ENERO!AD136</f>
        <v>0</v>
      </c>
      <c r="AC136" s="457">
        <v>0</v>
      </c>
      <c r="AD136" s="18">
        <f t="shared" si="135"/>
        <v>0</v>
      </c>
      <c r="AE136" s="21">
        <f>ENERO!AG136</f>
        <v>0</v>
      </c>
      <c r="AF136" s="457">
        <v>0</v>
      </c>
      <c r="AG136" s="18">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+IF(ENERO!S137=0,"",ENERO!S137)</f>
        <v>2010020-14</v>
      </c>
      <c r="T137" s="238" t="str">
        <f>+IF(ENERO!T137=0,"",ENERO!T137)</f>
        <v/>
      </c>
      <c r="U137" s="31">
        <f>+ENERO!U137</f>
        <v>0</v>
      </c>
      <c r="V137" s="17">
        <f>ENERO!V137+FEBRERO!AL137</f>
        <v>0</v>
      </c>
      <c r="W137" s="17">
        <f>ENERO!W137+FEBRERO!AM137</f>
        <v>0</v>
      </c>
      <c r="X137" s="18">
        <f t="shared" si="133"/>
        <v>0</v>
      </c>
      <c r="Y137" s="21">
        <f>ENERO!AA137</f>
        <v>0</v>
      </c>
      <c r="Z137" s="457">
        <v>0</v>
      </c>
      <c r="AA137" s="20">
        <f t="shared" si="134"/>
        <v>0</v>
      </c>
      <c r="AB137" s="21">
        <f>ENERO!AD137</f>
        <v>0</v>
      </c>
      <c r="AC137" s="457">
        <v>0</v>
      </c>
      <c r="AD137" s="18">
        <f t="shared" si="135"/>
        <v>0</v>
      </c>
      <c r="AE137" s="21">
        <f>ENERO!AG137</f>
        <v>0</v>
      </c>
      <c r="AF137" s="457">
        <v>0</v>
      </c>
      <c r="AG137" s="18">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+IF(ENERO!S138=0,"",ENERO!S138)</f>
        <v>2010200-15</v>
      </c>
      <c r="T138" s="238" t="str">
        <f>+IF(ENERO!T138=0,"",ENERO!T138)</f>
        <v/>
      </c>
      <c r="U138" s="31">
        <f>+ENERO!U138</f>
        <v>0</v>
      </c>
      <c r="V138" s="17">
        <f>ENERO!V138+FEBRERO!AL138</f>
        <v>0</v>
      </c>
      <c r="W138" s="17">
        <f>ENERO!W138+FEBRERO!AM138</f>
        <v>0</v>
      </c>
      <c r="X138" s="18">
        <f t="shared" si="133"/>
        <v>0</v>
      </c>
      <c r="Y138" s="21">
        <f>ENERO!AA138</f>
        <v>0</v>
      </c>
      <c r="Z138" s="457">
        <v>0</v>
      </c>
      <c r="AA138" s="20">
        <f t="shared" si="134"/>
        <v>0</v>
      </c>
      <c r="AB138" s="21">
        <f>ENERO!AD138</f>
        <v>0</v>
      </c>
      <c r="AC138" s="457">
        <v>0</v>
      </c>
      <c r="AD138" s="18">
        <f t="shared" si="135"/>
        <v>0</v>
      </c>
      <c r="AE138" s="21">
        <f>ENERO!AG138</f>
        <v>0</v>
      </c>
      <c r="AF138" s="457">
        <v>0</v>
      </c>
      <c r="AG138" s="18">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+IF(ENERO!S139=0,"",ENERO!S139)</f>
        <v>2010299</v>
      </c>
      <c r="T139" s="238" t="str">
        <f>+IF(ENERO!T139=0,"",ENERO!T139)</f>
        <v>Vigencias Anteriores</v>
      </c>
      <c r="U139" s="31">
        <f>+ENERO!U139</f>
        <v>2000000</v>
      </c>
      <c r="V139" s="17">
        <f>ENERO!V139+FEBRERO!AL139</f>
        <v>0</v>
      </c>
      <c r="W139" s="17">
        <f>ENERO!W139+FEBRERO!AM139</f>
        <v>4066041</v>
      </c>
      <c r="X139" s="18">
        <f t="shared" si="133"/>
        <v>6066041</v>
      </c>
      <c r="Y139" s="21">
        <f>ENERO!AA139</f>
        <v>6066041</v>
      </c>
      <c r="Z139" s="457">
        <v>0</v>
      </c>
      <c r="AA139" s="20">
        <f t="shared" si="134"/>
        <v>6066041</v>
      </c>
      <c r="AB139" s="21">
        <f>ENERO!AD139</f>
        <v>6066041</v>
      </c>
      <c r="AC139" s="457">
        <v>0</v>
      </c>
      <c r="AD139" s="18">
        <f t="shared" si="135"/>
        <v>6066041</v>
      </c>
      <c r="AE139" s="21">
        <f>ENERO!AG139</f>
        <v>0</v>
      </c>
      <c r="AF139" s="457">
        <v>5714997</v>
      </c>
      <c r="AG139" s="18">
        <f t="shared" si="136"/>
        <v>5714997</v>
      </c>
      <c r="AH139" s="21">
        <f t="shared" si="137"/>
        <v>0</v>
      </c>
      <c r="AI139" s="17">
        <f t="shared" si="138"/>
        <v>0</v>
      </c>
      <c r="AJ139" s="18">
        <f t="shared" si="139"/>
        <v>351044</v>
      </c>
      <c r="AK139" s="10"/>
      <c r="AL139" s="455">
        <v>0</v>
      </c>
      <c r="AM139" s="458">
        <v>4066041</v>
      </c>
      <c r="AN139" s="10"/>
      <c r="AO139" s="365"/>
      <c r="AP139" s="365"/>
      <c r="AQ139" s="365"/>
    </row>
    <row r="140" spans="1:52" s="467" customFormat="1" ht="15.75" x14ac:dyDescent="0.2">
      <c r="A140" s="623"/>
      <c r="N140" s="10"/>
      <c r="R140" s="10"/>
      <c r="S140" s="448" t="str">
        <f>+IF(ENERO!S140=0,"",ENERO!S140)</f>
        <v/>
      </c>
      <c r="T140" s="649" t="str">
        <f>+IF(ENERO!T140=0,"",ENERO!T140)</f>
        <v/>
      </c>
      <c r="U140" s="450"/>
      <c r="V140" s="193"/>
      <c r="W140" s="193"/>
      <c r="X140" s="207"/>
      <c r="Y140" s="450"/>
      <c r="Z140" s="193"/>
      <c r="AA140" s="193"/>
      <c r="AB140" s="450"/>
      <c r="AC140" s="193"/>
      <c r="AD140" s="207"/>
      <c r="AE140" s="450"/>
      <c r="AF140" s="193"/>
      <c r="AG140" s="207"/>
      <c r="AH140" s="450"/>
      <c r="AI140" s="193"/>
      <c r="AJ140" s="207"/>
      <c r="AK140" s="12"/>
      <c r="AL140" s="213"/>
      <c r="AM140" s="214"/>
      <c r="AN140" s="10"/>
    </row>
    <row r="141" spans="1:52" s="467" customFormat="1" ht="15" x14ac:dyDescent="0.2">
      <c r="A141" s="623"/>
      <c r="N141" s="10"/>
      <c r="R141" s="10"/>
      <c r="S141" s="34">
        <f>+IF(ENERO!S141=0,"",ENERO!S141)</f>
        <v>2010300</v>
      </c>
      <c r="T141" s="237" t="str">
        <f>+IF(ENERO!T141=0,"",ENERO!T141)</f>
        <v>Impuestos y Multas</v>
      </c>
      <c r="U141" s="151">
        <f t="shared" ref="U141:AJ141" si="141">U142+U143</f>
        <v>0</v>
      </c>
      <c r="V141" s="144">
        <f t="shared" si="141"/>
        <v>0</v>
      </c>
      <c r="W141" s="144">
        <f t="shared" si="141"/>
        <v>0</v>
      </c>
      <c r="X141" s="153">
        <f t="shared" si="141"/>
        <v>0</v>
      </c>
      <c r="Y141" s="151">
        <f t="shared" si="141"/>
        <v>0</v>
      </c>
      <c r="Z141" s="144">
        <f t="shared" si="141"/>
        <v>0</v>
      </c>
      <c r="AA141" s="152">
        <f t="shared" si="141"/>
        <v>0</v>
      </c>
      <c r="AB141" s="151">
        <f t="shared" si="141"/>
        <v>0</v>
      </c>
      <c r="AC141" s="144">
        <f t="shared" si="141"/>
        <v>0</v>
      </c>
      <c r="AD141" s="153">
        <f t="shared" si="141"/>
        <v>0</v>
      </c>
      <c r="AE141" s="151">
        <f t="shared" si="141"/>
        <v>0</v>
      </c>
      <c r="AF141" s="144">
        <f t="shared" si="141"/>
        <v>0</v>
      </c>
      <c r="AG141" s="153">
        <f t="shared" si="141"/>
        <v>0</v>
      </c>
      <c r="AH141" s="151">
        <f t="shared" si="141"/>
        <v>0</v>
      </c>
      <c r="AI141" s="144">
        <f t="shared" si="141"/>
        <v>0</v>
      </c>
      <c r="AJ141" s="153">
        <f t="shared" si="141"/>
        <v>0</v>
      </c>
      <c r="AK141" s="12"/>
      <c r="AL141" s="151">
        <f>AL142+AL143</f>
        <v>0</v>
      </c>
      <c r="AM141" s="153">
        <f>AM142+AM143</f>
        <v>0</v>
      </c>
      <c r="AN141" s="10"/>
    </row>
    <row r="142" spans="1:52" s="467" customFormat="1" x14ac:dyDescent="0.2">
      <c r="A142" s="623"/>
      <c r="N142" s="10"/>
      <c r="R142" s="10"/>
      <c r="S142" s="155" t="str">
        <f>+IF(ENERO!S142=0,"",ENERO!S142)</f>
        <v>2010300-1</v>
      </c>
      <c r="T142" s="238" t="str">
        <f>+IF(ENERO!T142=0,"",ENERO!T142)</f>
        <v>Impuestos (Predial, Vehiculos, Otros)</v>
      </c>
      <c r="U142" s="31">
        <f>+ENERO!U142</f>
        <v>0</v>
      </c>
      <c r="V142" s="17">
        <f>ENERO!V142+FEBRERO!AL142</f>
        <v>0</v>
      </c>
      <c r="W142" s="17">
        <f>ENERO!W142+FEBRERO!AM142</f>
        <v>0</v>
      </c>
      <c r="X142" s="18">
        <f>SUM(U142:W142)</f>
        <v>0</v>
      </c>
      <c r="Y142" s="21">
        <f>ENERO!AA142</f>
        <v>0</v>
      </c>
      <c r="Z142" s="457">
        <v>0</v>
      </c>
      <c r="AA142" s="20">
        <f>SUM(Y142:Z142)</f>
        <v>0</v>
      </c>
      <c r="AB142" s="21">
        <f>ENERO!AD142</f>
        <v>0</v>
      </c>
      <c r="AC142" s="457">
        <v>0</v>
      </c>
      <c r="AD142" s="18">
        <f>SUM(AB142:AC142)</f>
        <v>0</v>
      </c>
      <c r="AE142" s="21">
        <f>ENERO!AG142</f>
        <v>0</v>
      </c>
      <c r="AF142" s="457">
        <v>0</v>
      </c>
      <c r="AG142" s="18">
        <f>SUM(AE142:AF142)</f>
        <v>0</v>
      </c>
      <c r="AH142" s="21">
        <f>X142-AA142</f>
        <v>0</v>
      </c>
      <c r="AI142" s="17">
        <f>X142-AD142</f>
        <v>0</v>
      </c>
      <c r="AJ142" s="18">
        <f>X142-AG142</f>
        <v>0</v>
      </c>
      <c r="AK142" s="10"/>
      <c r="AL142" s="455">
        <v>0</v>
      </c>
      <c r="AM142" s="458">
        <v>0</v>
      </c>
      <c r="AN142" s="10"/>
    </row>
    <row r="143" spans="1:52" s="467" customFormat="1" x14ac:dyDescent="0.2">
      <c r="A143" s="623"/>
      <c r="N143" s="10"/>
      <c r="R143" s="10"/>
      <c r="S143" s="155">
        <f>+IF(ENERO!S143=0,"",ENERO!S143)</f>
        <v>2010399</v>
      </c>
      <c r="T143" s="238" t="str">
        <f>+IF(ENERO!T143=0,"",ENERO!T143)</f>
        <v>Vigencias Anteriores</v>
      </c>
      <c r="U143" s="31">
        <f>+ENERO!U143</f>
        <v>0</v>
      </c>
      <c r="V143" s="17">
        <f>ENERO!V143+FEBRERO!AL143</f>
        <v>0</v>
      </c>
      <c r="W143" s="17">
        <f>ENERO!W143+FEBRERO!AM143</f>
        <v>0</v>
      </c>
      <c r="X143" s="18">
        <f>SUM(U143:W143)</f>
        <v>0</v>
      </c>
      <c r="Y143" s="21">
        <f>ENERO!AA143</f>
        <v>0</v>
      </c>
      <c r="Z143" s="457">
        <v>0</v>
      </c>
      <c r="AA143" s="20">
        <f>SUM(Y143:Z143)</f>
        <v>0</v>
      </c>
      <c r="AB143" s="21">
        <f>ENERO!AD143</f>
        <v>0</v>
      </c>
      <c r="AC143" s="457">
        <v>0</v>
      </c>
      <c r="AD143" s="18">
        <f>SUM(AB143:AC143)</f>
        <v>0</v>
      </c>
      <c r="AE143" s="21">
        <f>ENERO!AG143</f>
        <v>0</v>
      </c>
      <c r="AF143" s="457">
        <v>0</v>
      </c>
      <c r="AG143" s="18">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+IF(ENERO!S144=0,"",ENERO!S144)</f>
        <v/>
      </c>
      <c r="T144" s="649" t="str">
        <f>+IF(ENERO!T144=0,"",ENERO!T144)</f>
        <v/>
      </c>
      <c r="U144" s="450"/>
      <c r="V144" s="193"/>
      <c r="W144" s="193"/>
      <c r="X144" s="207"/>
      <c r="Y144" s="450"/>
      <c r="Z144" s="193"/>
      <c r="AA144" s="193"/>
      <c r="AB144" s="450"/>
      <c r="AC144" s="193"/>
      <c r="AD144" s="207"/>
      <c r="AE144" s="450"/>
      <c r="AF144" s="193"/>
      <c r="AG144" s="207"/>
      <c r="AH144" s="450"/>
      <c r="AI144" s="193"/>
      <c r="AJ144" s="207"/>
      <c r="AK144" s="10"/>
      <c r="AL144" s="213"/>
      <c r="AM144" s="214"/>
      <c r="AN144" s="10"/>
    </row>
    <row r="145" spans="1:40" s="467" customFormat="1" ht="15.75" x14ac:dyDescent="0.2">
      <c r="A145" s="623"/>
      <c r="N145" s="10"/>
      <c r="R145" s="10"/>
      <c r="S145" s="469">
        <f>+IF(ENERO!S145=0,"",ENERO!S145)</f>
        <v>2020010</v>
      </c>
      <c r="T145" s="676" t="str">
        <f>+IF(ENERO!T145=0,"",ENERO!T145)</f>
        <v>Gastos de Operación</v>
      </c>
      <c r="U145" s="151">
        <f t="shared" ref="U145:AJ145" si="142">U147+U155</f>
        <v>378163463</v>
      </c>
      <c r="V145" s="144">
        <f t="shared" si="142"/>
        <v>-746499</v>
      </c>
      <c r="W145" s="144">
        <f t="shared" si="142"/>
        <v>9287532</v>
      </c>
      <c r="X145" s="153">
        <f t="shared" si="142"/>
        <v>386704496</v>
      </c>
      <c r="Y145" s="151">
        <f t="shared" si="142"/>
        <v>39335037</v>
      </c>
      <c r="Z145" s="144">
        <f t="shared" si="142"/>
        <v>23669609</v>
      </c>
      <c r="AA145" s="152">
        <f t="shared" si="142"/>
        <v>63004646</v>
      </c>
      <c r="AB145" s="151">
        <f t="shared" si="142"/>
        <v>39335037</v>
      </c>
      <c r="AC145" s="144">
        <f t="shared" si="142"/>
        <v>23669609</v>
      </c>
      <c r="AD145" s="153">
        <f t="shared" si="142"/>
        <v>63004646</v>
      </c>
      <c r="AE145" s="151">
        <f t="shared" si="142"/>
        <v>2144166</v>
      </c>
      <c r="AF145" s="144">
        <f t="shared" si="142"/>
        <v>31658943</v>
      </c>
      <c r="AG145" s="153">
        <f t="shared" si="142"/>
        <v>33803109</v>
      </c>
      <c r="AH145" s="151">
        <f t="shared" si="142"/>
        <v>323699850</v>
      </c>
      <c r="AI145" s="144">
        <f t="shared" si="142"/>
        <v>323699850</v>
      </c>
      <c r="AJ145" s="153">
        <f t="shared" si="142"/>
        <v>352901387</v>
      </c>
      <c r="AK145" s="12"/>
      <c r="AL145" s="151">
        <f>AL147+AL155</f>
        <v>-746499</v>
      </c>
      <c r="AM145" s="153">
        <f>AM147+AM155</f>
        <v>9287532</v>
      </c>
      <c r="AN145" s="10"/>
    </row>
    <row r="146" spans="1:40" s="467" customFormat="1" x14ac:dyDescent="0.2">
      <c r="A146" s="623"/>
      <c r="N146" s="10"/>
      <c r="R146" s="10"/>
      <c r="S146" s="11" t="str">
        <f>+IF(ENERO!S146=0,"",ENERO!S146)</f>
        <v/>
      </c>
      <c r="T146" s="251" t="str">
        <f>+IF(ENERO!T146=0,"",ENERO!T146)</f>
        <v/>
      </c>
      <c r="U146" s="21"/>
      <c r="V146" s="17"/>
      <c r="W146" s="17"/>
      <c r="X146" s="18"/>
      <c r="Y146" s="21"/>
      <c r="Z146" s="17"/>
      <c r="AA146" s="20"/>
      <c r="AB146" s="21"/>
      <c r="AC146" s="17"/>
      <c r="AD146" s="18"/>
      <c r="AE146" s="21"/>
      <c r="AF146" s="17"/>
      <c r="AG146" s="18"/>
      <c r="AH146" s="21"/>
      <c r="AI146" s="17"/>
      <c r="AJ146" s="18"/>
      <c r="AK146" s="10"/>
      <c r="AL146" s="213"/>
      <c r="AM146" s="214"/>
      <c r="AN146" s="10"/>
    </row>
    <row r="147" spans="1:40" s="467" customFormat="1" ht="15" x14ac:dyDescent="0.2">
      <c r="A147" s="623"/>
      <c r="N147" s="10"/>
      <c r="R147" s="10"/>
      <c r="S147" s="34">
        <f>+IF(ENERO!S147=0,"",ENERO!S147)</f>
        <v>2020100</v>
      </c>
      <c r="T147" s="237" t="str">
        <f>+IF(ENERO!T147=0,"",ENERO!T147)</f>
        <v>Adquisición de bienes</v>
      </c>
      <c r="U147" s="151">
        <f t="shared" ref="U147:AJ147" si="143">SUM(U148:U149)+U153</f>
        <v>164034265</v>
      </c>
      <c r="V147" s="144">
        <f t="shared" si="143"/>
        <v>1294826</v>
      </c>
      <c r="W147" s="144">
        <f t="shared" si="143"/>
        <v>9287532</v>
      </c>
      <c r="X147" s="153">
        <f t="shared" si="143"/>
        <v>174616623</v>
      </c>
      <c r="Y147" s="151">
        <f t="shared" si="143"/>
        <v>24686596</v>
      </c>
      <c r="Z147" s="144">
        <f t="shared" si="143"/>
        <v>13163050</v>
      </c>
      <c r="AA147" s="152">
        <f t="shared" si="143"/>
        <v>37849646</v>
      </c>
      <c r="AB147" s="151">
        <f t="shared" si="143"/>
        <v>24686596</v>
      </c>
      <c r="AC147" s="144">
        <f t="shared" si="143"/>
        <v>13163050</v>
      </c>
      <c r="AD147" s="153">
        <f t="shared" si="143"/>
        <v>37849646</v>
      </c>
      <c r="AE147" s="151">
        <f t="shared" si="143"/>
        <v>0</v>
      </c>
      <c r="AF147" s="144">
        <f t="shared" si="143"/>
        <v>22838561</v>
      </c>
      <c r="AG147" s="153">
        <f t="shared" si="143"/>
        <v>22838561</v>
      </c>
      <c r="AH147" s="151">
        <f t="shared" si="143"/>
        <v>136766977</v>
      </c>
      <c r="AI147" s="144">
        <f t="shared" si="143"/>
        <v>136766977</v>
      </c>
      <c r="AJ147" s="153">
        <f t="shared" si="143"/>
        <v>151778062</v>
      </c>
      <c r="AK147" s="10"/>
      <c r="AL147" s="151">
        <f>SUM(AL148:AL149)+AL153</f>
        <v>1294826</v>
      </c>
      <c r="AM147" s="153">
        <f>SUM(AM148:AM149)+AM153</f>
        <v>9287532</v>
      </c>
      <c r="AN147" s="10"/>
    </row>
    <row r="148" spans="1:40" s="467" customFormat="1" x14ac:dyDescent="0.2">
      <c r="A148" s="623"/>
      <c r="N148" s="10"/>
      <c r="R148" s="10"/>
      <c r="S148" s="155">
        <f>+IF(ENERO!S148=0,"",ENERO!S148)</f>
        <v>2020101</v>
      </c>
      <c r="T148" s="238" t="str">
        <f>+IF(ENERO!T148=0,"",ENERO!T148)</f>
        <v>Mantenimiento Hospitalario</v>
      </c>
      <c r="U148" s="31">
        <f>+ENERO!U148</f>
        <v>73185858</v>
      </c>
      <c r="V148" s="17">
        <f>ENERO!V148+FEBRERO!AL148</f>
        <v>0</v>
      </c>
      <c r="W148" s="17">
        <f>ENERO!W148+FEBRERO!AM148</f>
        <v>0</v>
      </c>
      <c r="X148" s="18">
        <f>SUM(U148:W148)</f>
        <v>73185858</v>
      </c>
      <c r="Y148" s="21">
        <f>ENERO!AA148</f>
        <v>1737991</v>
      </c>
      <c r="Z148" s="457">
        <v>3590929</v>
      </c>
      <c r="AA148" s="20">
        <f>SUM(Y148:Z148)</f>
        <v>5328920</v>
      </c>
      <c r="AB148" s="21">
        <f>ENERO!AD148</f>
        <v>1737991</v>
      </c>
      <c r="AC148" s="457">
        <v>3590929</v>
      </c>
      <c r="AD148" s="18">
        <f>SUM(AB148:AC148)</f>
        <v>5328920</v>
      </c>
      <c r="AE148" s="21">
        <f>ENERO!AG148</f>
        <v>0</v>
      </c>
      <c r="AF148" s="457">
        <v>1489994</v>
      </c>
      <c r="AG148" s="18">
        <f>SUM(AE148:AF148)</f>
        <v>1489994</v>
      </c>
      <c r="AH148" s="21">
        <f>X148-AA148</f>
        <v>67856938</v>
      </c>
      <c r="AI148" s="17">
        <f>X148-AD148</f>
        <v>67856938</v>
      </c>
      <c r="AJ148" s="18">
        <f>X148-AG148</f>
        <v>71695864</v>
      </c>
      <c r="AK148" s="10"/>
      <c r="AL148" s="455">
        <v>0</v>
      </c>
      <c r="AM148" s="458">
        <v>0</v>
      </c>
      <c r="AN148" s="10"/>
    </row>
    <row r="149" spans="1:40" s="467" customFormat="1" x14ac:dyDescent="0.2">
      <c r="A149" s="623"/>
      <c r="N149" s="10"/>
      <c r="R149" s="10"/>
      <c r="S149" s="155">
        <f>+IF(ENERO!S149=0,"",ENERO!S149)</f>
        <v>2020102</v>
      </c>
      <c r="T149" s="238" t="str">
        <f>+IF(ENERO!T149=0,"",ENERO!T149)</f>
        <v>Otros</v>
      </c>
      <c r="U149" s="31">
        <f t="shared" ref="U149:AJ149" si="144">SUM(U150:U152)</f>
        <v>86848407</v>
      </c>
      <c r="V149" s="17">
        <f t="shared" si="144"/>
        <v>-3075665</v>
      </c>
      <c r="W149" s="17">
        <f t="shared" si="144"/>
        <v>0</v>
      </c>
      <c r="X149" s="18">
        <f t="shared" si="144"/>
        <v>83772742</v>
      </c>
      <c r="Y149" s="21">
        <f t="shared" si="144"/>
        <v>5290582</v>
      </c>
      <c r="Z149" s="169">
        <f t="shared" si="144"/>
        <v>9572121</v>
      </c>
      <c r="AA149" s="20">
        <f t="shared" si="144"/>
        <v>14862703</v>
      </c>
      <c r="AB149" s="21">
        <f t="shared" si="144"/>
        <v>5290582</v>
      </c>
      <c r="AC149" s="169">
        <f t="shared" si="144"/>
        <v>9572121</v>
      </c>
      <c r="AD149" s="18">
        <f t="shared" si="144"/>
        <v>14862703</v>
      </c>
      <c r="AE149" s="21">
        <f t="shared" si="144"/>
        <v>0</v>
      </c>
      <c r="AF149" s="169">
        <f t="shared" si="144"/>
        <v>5290582</v>
      </c>
      <c r="AG149" s="18">
        <f t="shared" si="144"/>
        <v>5290582</v>
      </c>
      <c r="AH149" s="21">
        <f t="shared" si="144"/>
        <v>68910039</v>
      </c>
      <c r="AI149" s="17">
        <f t="shared" si="144"/>
        <v>68910039</v>
      </c>
      <c r="AJ149" s="18">
        <f t="shared" si="144"/>
        <v>78482160</v>
      </c>
      <c r="AK149" s="10"/>
      <c r="AL149" s="31">
        <f>SUM(AL150:AL152)</f>
        <v>-3075665</v>
      </c>
      <c r="AM149" s="28">
        <f>SUM(AM150:AM152)</f>
        <v>0</v>
      </c>
      <c r="AN149" s="10"/>
    </row>
    <row r="150" spans="1:40" s="467" customFormat="1" x14ac:dyDescent="0.2">
      <c r="A150" s="623"/>
      <c r="N150" s="10"/>
      <c r="R150" s="10"/>
      <c r="S150" s="156" t="str">
        <f>+IF(ENERO!S150=0,"",ENERO!S150)</f>
        <v>2020102-1</v>
      </c>
      <c r="T150" s="238" t="str">
        <f>+IF(ENERO!T150=0,"",ENERO!T150)</f>
        <v>Compra de Equipo e Instr. Mco. y Laborat.</v>
      </c>
      <c r="U150" s="31">
        <f>+ENERO!U150</f>
        <v>36341462</v>
      </c>
      <c r="V150" s="17">
        <f>ENERO!V150+FEBRERO!AL150</f>
        <v>-3075665</v>
      </c>
      <c r="W150" s="17">
        <f>ENERO!W150+FEBRERO!AM150</f>
        <v>0</v>
      </c>
      <c r="X150" s="18">
        <f>SUM(U150:W150)</f>
        <v>33265797</v>
      </c>
      <c r="Y150" s="21">
        <f>ENERO!AA150</f>
        <v>0</v>
      </c>
      <c r="Z150" s="457">
        <v>3074000</v>
      </c>
      <c r="AA150" s="20">
        <f>SUM(Y150:Z150)</f>
        <v>3074000</v>
      </c>
      <c r="AB150" s="21">
        <f>ENERO!AD150</f>
        <v>0</v>
      </c>
      <c r="AC150" s="457">
        <v>3074000</v>
      </c>
      <c r="AD150" s="18">
        <f>SUM(AB150:AC150)</f>
        <v>3074000</v>
      </c>
      <c r="AE150" s="21">
        <f>ENERO!AG150</f>
        <v>0</v>
      </c>
      <c r="AF150" s="457">
        <v>0</v>
      </c>
      <c r="AG150" s="18">
        <f>SUM(AE150:AF150)</f>
        <v>0</v>
      </c>
      <c r="AH150" s="21">
        <f>X150-AA150</f>
        <v>30191797</v>
      </c>
      <c r="AI150" s="17">
        <f>X150-AD150</f>
        <v>30191797</v>
      </c>
      <c r="AJ150" s="18">
        <f>X150-AG150</f>
        <v>33265797</v>
      </c>
      <c r="AK150" s="10"/>
      <c r="AL150" s="455">
        <v>-3075665</v>
      </c>
      <c r="AM150" s="458">
        <v>0</v>
      </c>
      <c r="AN150" s="10"/>
    </row>
    <row r="151" spans="1:40" s="467" customFormat="1" x14ac:dyDescent="0.2">
      <c r="A151" s="623"/>
      <c r="N151" s="10"/>
      <c r="R151" s="10"/>
      <c r="S151" s="156" t="str">
        <f>+IF(ENERO!S151=0,"",ENERO!S151)</f>
        <v>2020102-2</v>
      </c>
      <c r="T151" s="238" t="str">
        <f>+IF(ENERO!T151=0,"",ENERO!T151)</f>
        <v>Materiales</v>
      </c>
      <c r="U151" s="31">
        <f>+ENERO!U151</f>
        <v>17885632</v>
      </c>
      <c r="V151" s="17">
        <f>ENERO!V151+FEBRERO!AL151</f>
        <v>0</v>
      </c>
      <c r="W151" s="17">
        <f>ENERO!W151+FEBRERO!AM151</f>
        <v>0</v>
      </c>
      <c r="X151" s="18">
        <f>SUM(U151:W151)</f>
        <v>17885632</v>
      </c>
      <c r="Y151" s="21">
        <f>ENERO!AA151</f>
        <v>1889995</v>
      </c>
      <c r="Z151" s="457">
        <v>2408265</v>
      </c>
      <c r="AA151" s="20">
        <f>SUM(Y151:Z151)</f>
        <v>4298260</v>
      </c>
      <c r="AB151" s="21">
        <f>ENERO!AD151</f>
        <v>1889995</v>
      </c>
      <c r="AC151" s="457">
        <v>2408265</v>
      </c>
      <c r="AD151" s="18">
        <f>SUM(AB151:AC151)</f>
        <v>4298260</v>
      </c>
      <c r="AE151" s="21">
        <f>ENERO!AG151</f>
        <v>0</v>
      </c>
      <c r="AF151" s="457">
        <v>1889995</v>
      </c>
      <c r="AG151" s="18">
        <f>SUM(AE151:AF151)</f>
        <v>1889995</v>
      </c>
      <c r="AH151" s="21">
        <f>X151-AA151</f>
        <v>13587372</v>
      </c>
      <c r="AI151" s="17">
        <f>X151-AD151</f>
        <v>13587372</v>
      </c>
      <c r="AJ151" s="18">
        <f>X151-AG151</f>
        <v>15995637</v>
      </c>
      <c r="AK151" s="10"/>
      <c r="AL151" s="455">
        <v>0</v>
      </c>
      <c r="AM151" s="458">
        <v>0</v>
      </c>
      <c r="AN151" s="10"/>
    </row>
    <row r="152" spans="1:40" s="467" customFormat="1" x14ac:dyDescent="0.2">
      <c r="A152" s="623"/>
      <c r="N152" s="10"/>
      <c r="R152" s="10"/>
      <c r="S152" s="156" t="str">
        <f>+IF(ENERO!S152=0,"",ENERO!S152)</f>
        <v>2020102-3</v>
      </c>
      <c r="T152" s="238" t="str">
        <f>+IF(ENERO!T152=0,"",ENERO!T152)</f>
        <v>Combustible</v>
      </c>
      <c r="U152" s="31">
        <f>+ENERO!U152</f>
        <v>32621313</v>
      </c>
      <c r="V152" s="17">
        <f>ENERO!V152+FEBRERO!AL152</f>
        <v>0</v>
      </c>
      <c r="W152" s="17">
        <f>ENERO!W152+FEBRERO!AM152</f>
        <v>0</v>
      </c>
      <c r="X152" s="18">
        <f>SUM(U152:W152)</f>
        <v>32621313</v>
      </c>
      <c r="Y152" s="21">
        <f>ENERO!AA152</f>
        <v>3400587</v>
      </c>
      <c r="Z152" s="457">
        <v>4089856</v>
      </c>
      <c r="AA152" s="20">
        <f>SUM(Y152:Z152)</f>
        <v>7490443</v>
      </c>
      <c r="AB152" s="21">
        <f>ENERO!AD152</f>
        <v>3400587</v>
      </c>
      <c r="AC152" s="457">
        <v>4089856</v>
      </c>
      <c r="AD152" s="18">
        <f>SUM(AB152:AC152)</f>
        <v>7490443</v>
      </c>
      <c r="AE152" s="21">
        <f>ENERO!AG152</f>
        <v>0</v>
      </c>
      <c r="AF152" s="457">
        <v>3400587</v>
      </c>
      <c r="AG152" s="18">
        <f>SUM(AE152:AF152)</f>
        <v>3400587</v>
      </c>
      <c r="AH152" s="21">
        <f>X152-AA152</f>
        <v>25130870</v>
      </c>
      <c r="AI152" s="17">
        <f>X152-AD152</f>
        <v>25130870</v>
      </c>
      <c r="AJ152" s="18">
        <f>X152-AG152</f>
        <v>29220726</v>
      </c>
      <c r="AK152" s="10"/>
      <c r="AL152" s="455">
        <v>0</v>
      </c>
      <c r="AM152" s="458">
        <v>0</v>
      </c>
      <c r="AN152" s="10"/>
    </row>
    <row r="153" spans="1:40" s="467" customFormat="1" x14ac:dyDescent="0.2">
      <c r="A153" s="623"/>
      <c r="N153" s="10"/>
      <c r="R153" s="10"/>
      <c r="S153" s="155">
        <f>+IF(ENERO!S153=0,"",ENERO!S153)</f>
        <v>2020199</v>
      </c>
      <c r="T153" s="238" t="str">
        <f>+IF(ENERO!T153=0,"",ENERO!T153)</f>
        <v>Vigencias Anteriores</v>
      </c>
      <c r="U153" s="31">
        <f>+ENERO!U153</f>
        <v>4000000</v>
      </c>
      <c r="V153" s="17">
        <f>ENERO!V153+FEBRERO!AL153</f>
        <v>4370491</v>
      </c>
      <c r="W153" s="17">
        <f>ENERO!W153+FEBRERO!AM153</f>
        <v>9287532</v>
      </c>
      <c r="X153" s="18">
        <f>SUM(U153:W153)</f>
        <v>17658023</v>
      </c>
      <c r="Y153" s="21">
        <f>ENERO!AA153</f>
        <v>17658023</v>
      </c>
      <c r="Z153" s="457">
        <v>0</v>
      </c>
      <c r="AA153" s="20">
        <f>SUM(Y153:Z153)</f>
        <v>17658023</v>
      </c>
      <c r="AB153" s="21">
        <f>ENERO!AD153</f>
        <v>17658023</v>
      </c>
      <c r="AC153" s="457">
        <v>0</v>
      </c>
      <c r="AD153" s="18">
        <f>SUM(AB153:AC153)</f>
        <v>17658023</v>
      </c>
      <c r="AE153" s="21">
        <f>ENERO!AG153</f>
        <v>0</v>
      </c>
      <c r="AF153" s="457">
        <v>16057985</v>
      </c>
      <c r="AG153" s="18">
        <f>SUM(AE153:AF153)</f>
        <v>16057985</v>
      </c>
      <c r="AH153" s="21">
        <f>X153-AA153</f>
        <v>0</v>
      </c>
      <c r="AI153" s="17">
        <f>X153-AD153</f>
        <v>0</v>
      </c>
      <c r="AJ153" s="18">
        <f>X153-AG153</f>
        <v>1600038</v>
      </c>
      <c r="AK153" s="10"/>
      <c r="AL153" s="455">
        <f>3075665+1294826</f>
        <v>4370491</v>
      </c>
      <c r="AM153" s="458">
        <v>9287532</v>
      </c>
      <c r="AN153" s="10"/>
    </row>
    <row r="154" spans="1:40" s="467" customFormat="1" ht="15.75" x14ac:dyDescent="0.2">
      <c r="A154" s="623"/>
      <c r="N154" s="10"/>
      <c r="R154" s="10"/>
      <c r="S154" s="448" t="str">
        <f>+IF(ENERO!S154=0,"",ENERO!S154)</f>
        <v/>
      </c>
      <c r="T154" s="649" t="str">
        <f>+IF(ENERO!T154=0,"",ENERO!T154)</f>
        <v/>
      </c>
      <c r="U154" s="450"/>
      <c r="V154" s="193"/>
      <c r="W154" s="193"/>
      <c r="X154" s="207"/>
      <c r="Y154" s="450"/>
      <c r="Z154" s="193"/>
      <c r="AA154" s="193"/>
      <c r="AB154" s="450"/>
      <c r="AC154" s="193"/>
      <c r="AD154" s="207"/>
      <c r="AE154" s="450"/>
      <c r="AF154" s="193"/>
      <c r="AG154" s="207"/>
      <c r="AH154" s="450"/>
      <c r="AI154" s="193"/>
      <c r="AJ154" s="207"/>
      <c r="AK154" s="10"/>
      <c r="AL154" s="213"/>
      <c r="AM154" s="214"/>
      <c r="AN154" s="10"/>
    </row>
    <row r="155" spans="1:40" s="467" customFormat="1" ht="15" x14ac:dyDescent="0.2">
      <c r="A155" s="623"/>
      <c r="N155" s="10"/>
      <c r="R155" s="10"/>
      <c r="S155" s="34">
        <f>+IF(ENERO!S155=0,"",ENERO!S155)</f>
        <v>2020200</v>
      </c>
      <c r="T155" s="237" t="str">
        <f>+IF(ENERO!T155=0,"",ENERO!T155)</f>
        <v>Adquisición de Servicios</v>
      </c>
      <c r="U155" s="151">
        <f t="shared" ref="U155:AJ155" si="145">SUM(U156:U157)+U168</f>
        <v>214129198</v>
      </c>
      <c r="V155" s="144">
        <f t="shared" si="145"/>
        <v>-2041325</v>
      </c>
      <c r="W155" s="144">
        <f t="shared" si="145"/>
        <v>0</v>
      </c>
      <c r="X155" s="153">
        <f t="shared" si="145"/>
        <v>212087873</v>
      </c>
      <c r="Y155" s="151">
        <f t="shared" si="145"/>
        <v>14648441</v>
      </c>
      <c r="Z155" s="144">
        <f t="shared" si="145"/>
        <v>10506559</v>
      </c>
      <c r="AA155" s="152">
        <f t="shared" si="145"/>
        <v>25155000</v>
      </c>
      <c r="AB155" s="151">
        <f t="shared" si="145"/>
        <v>14648441</v>
      </c>
      <c r="AC155" s="144">
        <f t="shared" si="145"/>
        <v>10506559</v>
      </c>
      <c r="AD155" s="153">
        <f t="shared" si="145"/>
        <v>25155000</v>
      </c>
      <c r="AE155" s="151">
        <f t="shared" si="145"/>
        <v>2144166</v>
      </c>
      <c r="AF155" s="144">
        <f t="shared" si="145"/>
        <v>8820382</v>
      </c>
      <c r="AG155" s="153">
        <f t="shared" si="145"/>
        <v>10964548</v>
      </c>
      <c r="AH155" s="151">
        <f t="shared" si="145"/>
        <v>186932873</v>
      </c>
      <c r="AI155" s="144">
        <f t="shared" si="145"/>
        <v>186932873</v>
      </c>
      <c r="AJ155" s="153">
        <f t="shared" si="145"/>
        <v>201123325</v>
      </c>
      <c r="AK155" s="10"/>
      <c r="AL155" s="151">
        <f>SUM(AL156:AL157)+AL168</f>
        <v>-2041325</v>
      </c>
      <c r="AM155" s="153">
        <f>SUM(AM156:AM157)+AM168</f>
        <v>0</v>
      </c>
      <c r="AN155" s="10"/>
    </row>
    <row r="156" spans="1:40" s="467" customFormat="1" x14ac:dyDescent="0.2">
      <c r="A156" s="623"/>
      <c r="N156" s="10"/>
      <c r="P156" s="10"/>
      <c r="Q156" s="10"/>
      <c r="R156" s="10"/>
      <c r="S156" s="155">
        <f>+IF(ENERO!S156=0,"",ENERO!S156)</f>
        <v>2020201</v>
      </c>
      <c r="T156" s="238" t="str">
        <f>+IF(ENERO!T156=0,"",ENERO!T156)</f>
        <v>Mantenimiento Hospitalario</v>
      </c>
      <c r="U156" s="31">
        <f>+ENERO!U156</f>
        <v>89449384</v>
      </c>
      <c r="V156" s="17">
        <f>ENERO!V156+FEBRERO!AL156</f>
        <v>0</v>
      </c>
      <c r="W156" s="17">
        <f>ENERO!W156+FEBRERO!AM156</f>
        <v>0</v>
      </c>
      <c r="X156" s="18">
        <f>SUM(U156:W156)</f>
        <v>89449384</v>
      </c>
      <c r="Y156" s="21">
        <f>ENERO!AA156</f>
        <v>918000</v>
      </c>
      <c r="Z156" s="457">
        <v>5169806</v>
      </c>
      <c r="AA156" s="20">
        <f>SUM(Y156:Z156)</f>
        <v>6087806</v>
      </c>
      <c r="AB156" s="21">
        <f>ENERO!AD156</f>
        <v>918000</v>
      </c>
      <c r="AC156" s="457">
        <v>5169806</v>
      </c>
      <c r="AD156" s="18">
        <f>SUM(AB156:AC156)</f>
        <v>6087806</v>
      </c>
      <c r="AE156" s="21">
        <f>ENERO!AG156</f>
        <v>918000</v>
      </c>
      <c r="AF156" s="457">
        <v>0</v>
      </c>
      <c r="AG156" s="18">
        <f>SUM(AE156:AF156)</f>
        <v>918000</v>
      </c>
      <c r="AH156" s="21">
        <f>X156-AA156</f>
        <v>83361578</v>
      </c>
      <c r="AI156" s="17">
        <f>X156-AD156</f>
        <v>83361578</v>
      </c>
      <c r="AJ156" s="18">
        <f>X156-AG156</f>
        <v>88531384</v>
      </c>
      <c r="AK156" s="10"/>
      <c r="AL156" s="455">
        <v>0</v>
      </c>
      <c r="AM156" s="458">
        <v>0</v>
      </c>
      <c r="AN156" s="10"/>
    </row>
    <row r="157" spans="1:40" s="467" customFormat="1" x14ac:dyDescent="0.2">
      <c r="A157" s="623"/>
      <c r="N157" s="10"/>
      <c r="P157" s="10"/>
      <c r="Q157" s="10"/>
      <c r="R157" s="10"/>
      <c r="S157" s="155">
        <f>+IF(ENERO!S157=0,"",ENERO!S157)</f>
        <v>2020202</v>
      </c>
      <c r="T157" s="238" t="str">
        <f>+IF(ENERO!T157=0,"",ENERO!T157)</f>
        <v>Otros</v>
      </c>
      <c r="U157" s="31">
        <f>SUM(U158:U167)</f>
        <v>111949655</v>
      </c>
      <c r="V157" s="17">
        <f>SUM(V158:V167)</f>
        <v>0</v>
      </c>
      <c r="W157" s="17">
        <f t="shared" ref="W157:AJ157" si="146">SUM(W158:W167)</f>
        <v>0</v>
      </c>
      <c r="X157" s="18">
        <f t="shared" si="146"/>
        <v>111949655</v>
      </c>
      <c r="Y157" s="21">
        <f t="shared" si="146"/>
        <v>3041607</v>
      </c>
      <c r="Z157" s="17">
        <f t="shared" si="146"/>
        <v>5336753</v>
      </c>
      <c r="AA157" s="20">
        <f t="shared" si="146"/>
        <v>8378360</v>
      </c>
      <c r="AB157" s="21">
        <f t="shared" si="146"/>
        <v>3041607</v>
      </c>
      <c r="AC157" s="17">
        <f t="shared" si="146"/>
        <v>5336753</v>
      </c>
      <c r="AD157" s="18">
        <f t="shared" si="146"/>
        <v>8378360</v>
      </c>
      <c r="AE157" s="21">
        <f t="shared" si="146"/>
        <v>1213393</v>
      </c>
      <c r="AF157" s="17">
        <f t="shared" si="146"/>
        <v>1817281</v>
      </c>
      <c r="AG157" s="18">
        <f t="shared" si="146"/>
        <v>3030674</v>
      </c>
      <c r="AH157" s="21">
        <f t="shared" si="146"/>
        <v>103571295</v>
      </c>
      <c r="AI157" s="17">
        <f t="shared" si="146"/>
        <v>103571295</v>
      </c>
      <c r="AJ157" s="18">
        <f t="shared" si="146"/>
        <v>108918981</v>
      </c>
      <c r="AK157" s="12"/>
      <c r="AL157" s="31">
        <f>SUM(AL158:AL167)</f>
        <v>0</v>
      </c>
      <c r="AM157" s="28">
        <f>SUM(AM158:AM167)</f>
        <v>0</v>
      </c>
      <c r="AN157" s="10"/>
    </row>
    <row r="158" spans="1:40" s="467" customFormat="1" x14ac:dyDescent="0.2">
      <c r="A158" s="623"/>
      <c r="N158" s="10"/>
      <c r="P158" s="10"/>
      <c r="Q158" s="10"/>
      <c r="R158" s="10"/>
      <c r="S158" s="156" t="str">
        <f>+IF(ENERO!S158=0,"",ENERO!S158)</f>
        <v>2020202-1</v>
      </c>
      <c r="T158" s="251" t="str">
        <f>+IF(ENERO!T158=0,"",ENERO!T158)</f>
        <v>Seguros</v>
      </c>
      <c r="U158" s="31">
        <f>+ENERO!U158</f>
        <v>10500000</v>
      </c>
      <c r="V158" s="17">
        <f>ENERO!V158+FEBRERO!AL158</f>
        <v>0</v>
      </c>
      <c r="W158" s="17">
        <f>ENERO!W158+FEBRERO!AM158</f>
        <v>0</v>
      </c>
      <c r="X158" s="18">
        <f t="shared" ref="X158:X168" si="147">SUM(U158:W158)</f>
        <v>10500000</v>
      </c>
      <c r="Y158" s="21">
        <f>ENERO!AA158</f>
        <v>0</v>
      </c>
      <c r="Z158" s="457">
        <v>0</v>
      </c>
      <c r="AA158" s="20">
        <f t="shared" ref="AA158:AA168" si="148">SUM(Y158:Z158)</f>
        <v>0</v>
      </c>
      <c r="AB158" s="21">
        <f>ENERO!AD158</f>
        <v>0</v>
      </c>
      <c r="AC158" s="457">
        <v>0</v>
      </c>
      <c r="AD158" s="18">
        <f t="shared" ref="AD158:AD168" si="149">SUM(AB158:AC158)</f>
        <v>0</v>
      </c>
      <c r="AE158" s="21">
        <f>ENERO!AG158</f>
        <v>0</v>
      </c>
      <c r="AF158" s="457">
        <v>0</v>
      </c>
      <c r="AG158" s="18">
        <f t="shared" ref="AG158:AG168" si="150">SUM(AE158:AF158)</f>
        <v>0</v>
      </c>
      <c r="AH158" s="21">
        <f t="shared" ref="AH158:AH168" si="151">X158-AA158</f>
        <v>10500000</v>
      </c>
      <c r="AI158" s="17">
        <f t="shared" ref="AI158:AI168" si="152">X158-AD158</f>
        <v>10500000</v>
      </c>
      <c r="AJ158" s="18">
        <f t="shared" ref="AJ158:AJ168" si="153">X158-AG158</f>
        <v>10500000</v>
      </c>
      <c r="AK158" s="10"/>
      <c r="AL158" s="455">
        <v>0</v>
      </c>
      <c r="AM158" s="458">
        <v>0</v>
      </c>
      <c r="AN158" s="10"/>
    </row>
    <row r="159" spans="1:40" s="467" customFormat="1" x14ac:dyDescent="0.2">
      <c r="A159" s="623"/>
      <c r="N159" s="10"/>
      <c r="P159" s="10"/>
      <c r="Q159" s="10"/>
      <c r="R159" s="10"/>
      <c r="S159" s="156" t="str">
        <f>+IF(ENERO!S159=0,"",ENERO!S159)</f>
        <v>2020202-2</v>
      </c>
      <c r="T159" s="251" t="str">
        <f>+IF(ENERO!T159=0,"",ENERO!T159)</f>
        <v>Impresos y Publicaciones</v>
      </c>
      <c r="U159" s="31">
        <f>+ENERO!U159</f>
        <v>6697601</v>
      </c>
      <c r="V159" s="17">
        <f>ENERO!V159+FEBRERO!AL159</f>
        <v>0</v>
      </c>
      <c r="W159" s="17">
        <f>ENERO!W159+FEBRERO!AM159</f>
        <v>0</v>
      </c>
      <c r="X159" s="18">
        <f t="shared" si="147"/>
        <v>6697601</v>
      </c>
      <c r="Y159" s="21">
        <f>ENERO!AA159</f>
        <v>0</v>
      </c>
      <c r="Z159" s="457">
        <v>132800</v>
      </c>
      <c r="AA159" s="20">
        <f t="shared" si="148"/>
        <v>132800</v>
      </c>
      <c r="AB159" s="21">
        <f>ENERO!AD159</f>
        <v>0</v>
      </c>
      <c r="AC159" s="457">
        <v>132800</v>
      </c>
      <c r="AD159" s="18">
        <f t="shared" si="149"/>
        <v>132800</v>
      </c>
      <c r="AE159" s="21">
        <f>ENERO!AG159</f>
        <v>0</v>
      </c>
      <c r="AF159" s="457">
        <v>0</v>
      </c>
      <c r="AG159" s="18">
        <f t="shared" si="150"/>
        <v>0</v>
      </c>
      <c r="AH159" s="21">
        <f t="shared" si="151"/>
        <v>6564801</v>
      </c>
      <c r="AI159" s="17">
        <f t="shared" si="152"/>
        <v>6564801</v>
      </c>
      <c r="AJ159" s="18">
        <f t="shared" si="153"/>
        <v>6697601</v>
      </c>
      <c r="AK159" s="10"/>
      <c r="AL159" s="455">
        <v>0</v>
      </c>
      <c r="AM159" s="458">
        <v>0</v>
      </c>
      <c r="AN159" s="10"/>
    </row>
    <row r="160" spans="1:40" s="467" customFormat="1" x14ac:dyDescent="0.2">
      <c r="A160" s="623"/>
      <c r="N160" s="10"/>
      <c r="P160" s="10"/>
      <c r="Q160" s="10"/>
      <c r="R160" s="10"/>
      <c r="S160" s="156" t="str">
        <f>+IF(ENERO!S160=0,"",ENERO!S160)</f>
        <v>2020202-3</v>
      </c>
      <c r="T160" s="251" t="str">
        <f>+IF(ENERO!T160=0,"",ENERO!T160)</f>
        <v>Pago a otras IPS</v>
      </c>
      <c r="U160" s="31">
        <f>+ENERO!U160</f>
        <v>11458020</v>
      </c>
      <c r="V160" s="17">
        <f>ENERO!V160+FEBRERO!AL160</f>
        <v>0</v>
      </c>
      <c r="W160" s="17">
        <f>ENERO!W160+FEBRERO!AM160</f>
        <v>0</v>
      </c>
      <c r="X160" s="18">
        <f t="shared" si="147"/>
        <v>11458020</v>
      </c>
      <c r="Y160" s="21">
        <f>ENERO!AA160</f>
        <v>342300</v>
      </c>
      <c r="Z160" s="457">
        <v>93900</v>
      </c>
      <c r="AA160" s="20">
        <f t="shared" si="148"/>
        <v>436200</v>
      </c>
      <c r="AB160" s="21">
        <f>ENERO!AD160</f>
        <v>342300</v>
      </c>
      <c r="AC160" s="457">
        <v>93900</v>
      </c>
      <c r="AD160" s="18">
        <f t="shared" si="149"/>
        <v>436200</v>
      </c>
      <c r="AE160" s="21">
        <f>ENERO!AG160</f>
        <v>0</v>
      </c>
      <c r="AF160" s="457">
        <v>0</v>
      </c>
      <c r="AG160" s="18">
        <f t="shared" si="150"/>
        <v>0</v>
      </c>
      <c r="AH160" s="21">
        <f t="shared" si="151"/>
        <v>11021820</v>
      </c>
      <c r="AI160" s="17">
        <f t="shared" si="152"/>
        <v>11021820</v>
      </c>
      <c r="AJ160" s="18">
        <f t="shared" si="153"/>
        <v>11458020</v>
      </c>
      <c r="AK160" s="10"/>
      <c r="AL160" s="455">
        <v>0</v>
      </c>
      <c r="AM160" s="458">
        <v>0</v>
      </c>
      <c r="AN160" s="10"/>
    </row>
    <row r="161" spans="1:40" s="467" customFormat="1" x14ac:dyDescent="0.2">
      <c r="A161" s="623"/>
      <c r="N161" s="10"/>
      <c r="P161" s="10"/>
      <c r="Q161" s="10"/>
      <c r="R161" s="10"/>
      <c r="S161" s="156" t="str">
        <f>+IF(ENERO!S161=0,"",ENERO!S161)</f>
        <v>2020202-4</v>
      </c>
      <c r="T161" s="251" t="str">
        <f>+IF(ENERO!T161=0,"",ENERO!T161)</f>
        <v>Comunicaciones y Transportes</v>
      </c>
      <c r="U161" s="31">
        <f>+ENERO!U161</f>
        <v>14340084</v>
      </c>
      <c r="V161" s="17">
        <f>ENERO!V161+FEBRERO!AL161</f>
        <v>0</v>
      </c>
      <c r="W161" s="17">
        <f>ENERO!W161+FEBRERO!AM161</f>
        <v>0</v>
      </c>
      <c r="X161" s="18">
        <f t="shared" si="147"/>
        <v>14340084</v>
      </c>
      <c r="Y161" s="21">
        <f>ENERO!AA161</f>
        <v>181800</v>
      </c>
      <c r="Z161" s="457">
        <v>1935400</v>
      </c>
      <c r="AA161" s="20">
        <f t="shared" si="148"/>
        <v>2117200</v>
      </c>
      <c r="AB161" s="21">
        <f>ENERO!AD161</f>
        <v>181800</v>
      </c>
      <c r="AC161" s="457">
        <v>1935400</v>
      </c>
      <c r="AD161" s="18">
        <f t="shared" si="149"/>
        <v>2117200</v>
      </c>
      <c r="AE161" s="21">
        <f>ENERO!AG161</f>
        <v>0</v>
      </c>
      <c r="AF161" s="457">
        <v>181800</v>
      </c>
      <c r="AG161" s="18">
        <f t="shared" si="150"/>
        <v>181800</v>
      </c>
      <c r="AH161" s="21">
        <f t="shared" si="151"/>
        <v>12222884</v>
      </c>
      <c r="AI161" s="17">
        <f t="shared" si="152"/>
        <v>12222884</v>
      </c>
      <c r="AJ161" s="18">
        <f t="shared" si="153"/>
        <v>14158284</v>
      </c>
      <c r="AK161" s="10"/>
      <c r="AL161" s="455">
        <v>0</v>
      </c>
      <c r="AM161" s="458">
        <v>0</v>
      </c>
      <c r="AN161" s="10"/>
    </row>
    <row r="162" spans="1:40" s="467" customFormat="1" x14ac:dyDescent="0.2">
      <c r="A162" s="623"/>
      <c r="N162" s="10"/>
      <c r="P162" s="10"/>
      <c r="Q162" s="10"/>
      <c r="R162" s="10"/>
      <c r="S162" s="156" t="str">
        <f>+IF(ENERO!S162=0,"",ENERO!S162)</f>
        <v>2020202-5</v>
      </c>
      <c r="T162" s="251" t="str">
        <f>+IF(ENERO!T162=0,"",ENERO!T162)</f>
        <v>Viáticos y Gastos de Viaje</v>
      </c>
      <c r="U162" s="31">
        <f>+ENERO!U162</f>
        <v>23894636</v>
      </c>
      <c r="V162" s="17">
        <f>ENERO!V162+FEBRERO!AL162</f>
        <v>0</v>
      </c>
      <c r="W162" s="17">
        <f>ENERO!W162+FEBRERO!AM162</f>
        <v>0</v>
      </c>
      <c r="X162" s="18">
        <f t="shared" si="147"/>
        <v>23894636</v>
      </c>
      <c r="Y162" s="21">
        <f>ENERO!AA162</f>
        <v>1213393</v>
      </c>
      <c r="Z162" s="457">
        <v>1827481</v>
      </c>
      <c r="AA162" s="20">
        <f t="shared" si="148"/>
        <v>3040874</v>
      </c>
      <c r="AB162" s="21">
        <f>ENERO!AD162</f>
        <v>1213393</v>
      </c>
      <c r="AC162" s="457">
        <v>1827481</v>
      </c>
      <c r="AD162" s="18">
        <f t="shared" si="149"/>
        <v>3040874</v>
      </c>
      <c r="AE162" s="21">
        <f>ENERO!AG162</f>
        <v>1213393</v>
      </c>
      <c r="AF162" s="457">
        <v>1635481</v>
      </c>
      <c r="AG162" s="18">
        <f t="shared" si="150"/>
        <v>2848874</v>
      </c>
      <c r="AH162" s="21">
        <f t="shared" si="151"/>
        <v>20853762</v>
      </c>
      <c r="AI162" s="17">
        <f t="shared" si="152"/>
        <v>20853762</v>
      </c>
      <c r="AJ162" s="18">
        <f t="shared" si="153"/>
        <v>21045762</v>
      </c>
      <c r="AK162" s="10"/>
      <c r="AL162" s="455">
        <v>0</v>
      </c>
      <c r="AM162" s="458">
        <v>0</v>
      </c>
      <c r="AN162" s="10"/>
    </row>
    <row r="163" spans="1:40" s="467" customFormat="1" x14ac:dyDescent="0.2">
      <c r="A163" s="623"/>
      <c r="N163" s="10"/>
      <c r="P163" s="10"/>
      <c r="Q163" s="10"/>
      <c r="R163" s="10"/>
      <c r="S163" s="156" t="str">
        <f>+IF(ENERO!S163=0,"",ENERO!S163)</f>
        <v>2020202-6</v>
      </c>
      <c r="T163" s="251" t="str">
        <f>+IF(ENERO!T163=0,"",ENERO!T163)</f>
        <v>Plan Integral de Manejo de Residuos Sólidos Hospitalarios</v>
      </c>
      <c r="U163" s="31">
        <f>+ENERO!U163</f>
        <v>8565804</v>
      </c>
      <c r="V163" s="17">
        <f>ENERO!V163+FEBRERO!AL163</f>
        <v>0</v>
      </c>
      <c r="W163" s="17">
        <f>ENERO!W163+FEBRERO!AM163</f>
        <v>0</v>
      </c>
      <c r="X163" s="18">
        <f t="shared" si="147"/>
        <v>8565804</v>
      </c>
      <c r="Y163" s="21">
        <f>ENERO!AA163</f>
        <v>495314</v>
      </c>
      <c r="Z163" s="457">
        <v>599972</v>
      </c>
      <c r="AA163" s="20">
        <f t="shared" si="148"/>
        <v>1095286</v>
      </c>
      <c r="AB163" s="21">
        <f>ENERO!AD163</f>
        <v>495314</v>
      </c>
      <c r="AC163" s="457">
        <v>599972</v>
      </c>
      <c r="AD163" s="18">
        <f t="shared" si="149"/>
        <v>1095286</v>
      </c>
      <c r="AE163" s="21">
        <f>ENERO!AG163</f>
        <v>0</v>
      </c>
      <c r="AF163" s="457">
        <v>0</v>
      </c>
      <c r="AG163" s="18">
        <f t="shared" si="150"/>
        <v>0</v>
      </c>
      <c r="AH163" s="21">
        <f t="shared" si="151"/>
        <v>7470518</v>
      </c>
      <c r="AI163" s="17">
        <f t="shared" si="152"/>
        <v>7470518</v>
      </c>
      <c r="AJ163" s="18">
        <f t="shared" si="153"/>
        <v>8565804</v>
      </c>
      <c r="AK163" s="10"/>
      <c r="AL163" s="455">
        <v>0</v>
      </c>
      <c r="AM163" s="458">
        <v>0</v>
      </c>
      <c r="AN163" s="10"/>
    </row>
    <row r="164" spans="1:40" s="467" customFormat="1" x14ac:dyDescent="0.2">
      <c r="A164" s="623"/>
      <c r="N164" s="10"/>
      <c r="P164" s="10"/>
      <c r="Q164" s="10"/>
      <c r="R164" s="10"/>
      <c r="S164" s="156" t="str">
        <f>+IF(ENERO!S164=0,"",ENERO!S164)</f>
        <v>2020202-7</v>
      </c>
      <c r="T164" s="251" t="str">
        <f>+IF(ENERO!T164=0,"",ENERO!T164)</f>
        <v>Servicios de Laboratorio contratados con terceros</v>
      </c>
      <c r="U164" s="31">
        <f>+ENERO!U164</f>
        <v>12000000</v>
      </c>
      <c r="V164" s="17">
        <f>ENERO!V164+FEBRERO!AL164</f>
        <v>0</v>
      </c>
      <c r="W164" s="17">
        <f>ENERO!W164+FEBRERO!AM164</f>
        <v>0</v>
      </c>
      <c r="X164" s="18">
        <f t="shared" si="147"/>
        <v>12000000</v>
      </c>
      <c r="Y164" s="21">
        <f>ENERO!AA164</f>
        <v>148800</v>
      </c>
      <c r="Z164" s="457">
        <v>87200</v>
      </c>
      <c r="AA164" s="20">
        <f t="shared" si="148"/>
        <v>236000</v>
      </c>
      <c r="AB164" s="21">
        <f>ENERO!AD164</f>
        <v>148800</v>
      </c>
      <c r="AC164" s="457">
        <v>87200</v>
      </c>
      <c r="AD164" s="18">
        <f t="shared" si="149"/>
        <v>236000</v>
      </c>
      <c r="AE164" s="21">
        <f>ENERO!AG164</f>
        <v>0</v>
      </c>
      <c r="AF164" s="457">
        <v>0</v>
      </c>
      <c r="AG164" s="18">
        <f t="shared" si="150"/>
        <v>0</v>
      </c>
      <c r="AH164" s="21">
        <f t="shared" si="151"/>
        <v>11764000</v>
      </c>
      <c r="AI164" s="17">
        <f t="shared" si="152"/>
        <v>11764000</v>
      </c>
      <c r="AJ164" s="18">
        <f t="shared" si="153"/>
        <v>12000000</v>
      </c>
      <c r="AK164" s="10"/>
      <c r="AL164" s="455">
        <v>0</v>
      </c>
      <c r="AM164" s="458">
        <v>0</v>
      </c>
      <c r="AN164" s="10"/>
    </row>
    <row r="165" spans="1:40" s="467" customFormat="1" x14ac:dyDescent="0.2">
      <c r="A165" s="623"/>
      <c r="N165" s="10"/>
      <c r="P165" s="10"/>
      <c r="Q165" s="10"/>
      <c r="R165" s="10"/>
      <c r="S165" s="156" t="str">
        <f>+IF(ENERO!S165=0,"",ENERO!S165)</f>
        <v>2020202-8</v>
      </c>
      <c r="T165" s="251" t="str">
        <f>+IF(ENERO!T165=0,"",ENERO!T165)</f>
        <v>Servicios de Rayos X e Imaginología contratado con terceros</v>
      </c>
      <c r="U165" s="31">
        <f>+ENERO!U165</f>
        <v>19000000</v>
      </c>
      <c r="V165" s="17">
        <f>ENERO!V165+FEBRERO!AL165</f>
        <v>0</v>
      </c>
      <c r="W165" s="17">
        <f>ENERO!W165+FEBRERO!AM165</f>
        <v>0</v>
      </c>
      <c r="X165" s="18">
        <f t="shared" si="147"/>
        <v>19000000</v>
      </c>
      <c r="Y165" s="21">
        <f>ENERO!AA165</f>
        <v>0</v>
      </c>
      <c r="Z165" s="457">
        <v>0</v>
      </c>
      <c r="AA165" s="20">
        <f t="shared" si="148"/>
        <v>0</v>
      </c>
      <c r="AB165" s="21">
        <f>ENERO!AD165</f>
        <v>0</v>
      </c>
      <c r="AC165" s="457">
        <v>0</v>
      </c>
      <c r="AD165" s="18">
        <f t="shared" si="149"/>
        <v>0</v>
      </c>
      <c r="AE165" s="21">
        <f>ENERO!AG165</f>
        <v>0</v>
      </c>
      <c r="AF165" s="457">
        <v>0</v>
      </c>
      <c r="AG165" s="18">
        <f t="shared" si="150"/>
        <v>0</v>
      </c>
      <c r="AH165" s="21">
        <f t="shared" si="151"/>
        <v>19000000</v>
      </c>
      <c r="AI165" s="17">
        <f t="shared" si="152"/>
        <v>19000000</v>
      </c>
      <c r="AJ165" s="18">
        <f t="shared" si="153"/>
        <v>19000000</v>
      </c>
      <c r="AK165" s="10"/>
      <c r="AL165" s="455">
        <v>0</v>
      </c>
      <c r="AM165" s="458">
        <v>0</v>
      </c>
      <c r="AN165" s="10"/>
    </row>
    <row r="166" spans="1:40" s="467" customFormat="1" x14ac:dyDescent="0.2">
      <c r="A166" s="623"/>
      <c r="N166" s="10"/>
      <c r="P166" s="10"/>
      <c r="Q166" s="10"/>
      <c r="R166" s="10"/>
      <c r="S166" s="156" t="str">
        <f>+IF(ENERO!S166=0,"",ENERO!S166)</f>
        <v>2020202-9</v>
      </c>
      <c r="T166" s="251" t="str">
        <f>+IF(ENERO!T166=0,"",ENERO!T166)</f>
        <v>Arrendamientos</v>
      </c>
      <c r="U166" s="31">
        <f>+ENERO!U166</f>
        <v>5493510</v>
      </c>
      <c r="V166" s="17">
        <f>ENERO!V166+FEBRERO!AL166</f>
        <v>0</v>
      </c>
      <c r="W166" s="17">
        <f>ENERO!W166+FEBRERO!AM166</f>
        <v>0</v>
      </c>
      <c r="X166" s="18">
        <f t="shared" si="147"/>
        <v>5493510</v>
      </c>
      <c r="Y166" s="21">
        <f>ENERO!AA166</f>
        <v>660000</v>
      </c>
      <c r="Z166" s="457">
        <v>660000</v>
      </c>
      <c r="AA166" s="20">
        <f t="shared" si="148"/>
        <v>1320000</v>
      </c>
      <c r="AB166" s="21">
        <f>ENERO!AD166</f>
        <v>660000</v>
      </c>
      <c r="AC166" s="457">
        <v>660000</v>
      </c>
      <c r="AD166" s="18">
        <f t="shared" si="149"/>
        <v>1320000</v>
      </c>
      <c r="AE166" s="21">
        <f>ENERO!AG166</f>
        <v>0</v>
      </c>
      <c r="AF166" s="457">
        <v>0</v>
      </c>
      <c r="AG166" s="18">
        <f t="shared" si="150"/>
        <v>0</v>
      </c>
      <c r="AH166" s="21">
        <f t="shared" si="151"/>
        <v>4173510</v>
      </c>
      <c r="AI166" s="17">
        <f t="shared" si="152"/>
        <v>4173510</v>
      </c>
      <c r="AJ166" s="18">
        <f t="shared" si="153"/>
        <v>5493510</v>
      </c>
      <c r="AK166" s="10"/>
      <c r="AL166" s="455">
        <v>0</v>
      </c>
      <c r="AM166" s="458">
        <v>0</v>
      </c>
      <c r="AN166" s="10"/>
    </row>
    <row r="167" spans="1:40" s="467" customFormat="1" x14ac:dyDescent="0.2">
      <c r="A167" s="623"/>
      <c r="N167" s="10"/>
      <c r="P167" s="10"/>
      <c r="Q167" s="10"/>
      <c r="R167" s="10"/>
      <c r="S167" s="156" t="str">
        <f>+IF(ENERO!S167=0,"",ENERO!S167)</f>
        <v>2020202-10</v>
      </c>
      <c r="T167" s="251" t="str">
        <f>+IF(ENERO!T167=0,"",ENERO!T167)</f>
        <v>Servicios Públicos</v>
      </c>
      <c r="U167" s="31">
        <f>+ENERO!U167</f>
        <v>0</v>
      </c>
      <c r="V167" s="17">
        <f>ENERO!V167+FEBRERO!AL167</f>
        <v>0</v>
      </c>
      <c r="W167" s="17">
        <f>ENERO!W167+FEBRERO!AM167</f>
        <v>0</v>
      </c>
      <c r="X167" s="18">
        <f t="shared" si="147"/>
        <v>0</v>
      </c>
      <c r="Y167" s="21">
        <f>ENERO!AA167</f>
        <v>0</v>
      </c>
      <c r="Z167" s="457">
        <v>0</v>
      </c>
      <c r="AA167" s="20">
        <f t="shared" si="148"/>
        <v>0</v>
      </c>
      <c r="AB167" s="21">
        <f>ENERO!AD167</f>
        <v>0</v>
      </c>
      <c r="AC167" s="457">
        <v>0</v>
      </c>
      <c r="AD167" s="18">
        <f t="shared" si="149"/>
        <v>0</v>
      </c>
      <c r="AE167" s="21">
        <f>ENERO!AG167</f>
        <v>0</v>
      </c>
      <c r="AF167" s="457">
        <v>0</v>
      </c>
      <c r="AG167" s="18">
        <f t="shared" si="150"/>
        <v>0</v>
      </c>
      <c r="AH167" s="21">
        <f t="shared" si="151"/>
        <v>0</v>
      </c>
      <c r="AI167" s="17">
        <f t="shared" si="152"/>
        <v>0</v>
      </c>
      <c r="AJ167" s="18">
        <f t="shared" si="153"/>
        <v>0</v>
      </c>
      <c r="AK167" s="10"/>
      <c r="AL167" s="455">
        <v>0</v>
      </c>
      <c r="AM167" s="458">
        <v>0</v>
      </c>
      <c r="AN167" s="10"/>
    </row>
    <row r="168" spans="1:40" s="467" customFormat="1" x14ac:dyDescent="0.2">
      <c r="A168" s="623"/>
      <c r="N168" s="10"/>
      <c r="P168" s="10"/>
      <c r="Q168" s="10"/>
      <c r="R168" s="10"/>
      <c r="S168" s="155">
        <f>+IF(ENERO!S168=0,"",ENERO!S168)</f>
        <v>2020299</v>
      </c>
      <c r="T168" s="238" t="str">
        <f>+IF(ENERO!T168=0,"",ENERO!T168)</f>
        <v>Vigencias Anteriores</v>
      </c>
      <c r="U168" s="31">
        <f>+ENERO!U168</f>
        <v>12730159</v>
      </c>
      <c r="V168" s="17">
        <f>ENERO!V168+FEBRERO!AL168</f>
        <v>-2041325</v>
      </c>
      <c r="W168" s="17">
        <f>ENERO!W168+FEBRERO!AM168</f>
        <v>0</v>
      </c>
      <c r="X168" s="18">
        <f t="shared" si="147"/>
        <v>10688834</v>
      </c>
      <c r="Y168" s="21">
        <f>ENERO!AA168</f>
        <v>10688834</v>
      </c>
      <c r="Z168" s="457">
        <v>0</v>
      </c>
      <c r="AA168" s="20">
        <f t="shared" si="148"/>
        <v>10688834</v>
      </c>
      <c r="AB168" s="21">
        <f>ENERO!AD168</f>
        <v>10688834</v>
      </c>
      <c r="AC168" s="457">
        <v>0</v>
      </c>
      <c r="AD168" s="18">
        <f t="shared" si="149"/>
        <v>10688834</v>
      </c>
      <c r="AE168" s="21">
        <f>ENERO!AG168</f>
        <v>12773</v>
      </c>
      <c r="AF168" s="457">
        <v>7003101</v>
      </c>
      <c r="AG168" s="18">
        <f t="shared" si="150"/>
        <v>7015874</v>
      </c>
      <c r="AH168" s="21">
        <f t="shared" si="151"/>
        <v>0</v>
      </c>
      <c r="AI168" s="17">
        <f t="shared" si="152"/>
        <v>0</v>
      </c>
      <c r="AJ168" s="18">
        <f t="shared" si="153"/>
        <v>3672960</v>
      </c>
      <c r="AK168" s="10"/>
      <c r="AL168" s="455">
        <v>-2041325</v>
      </c>
      <c r="AM168" s="458">
        <v>0</v>
      </c>
      <c r="AN168" s="10"/>
    </row>
    <row r="169" spans="1:40" s="467" customFormat="1" ht="15.75" x14ac:dyDescent="0.2">
      <c r="A169" s="623"/>
      <c r="N169" s="10"/>
      <c r="P169" s="10"/>
      <c r="Q169" s="10"/>
      <c r="R169" s="10"/>
      <c r="S169" s="448" t="str">
        <f>+IF(ENERO!S169=0,"",ENERO!S169)</f>
        <v/>
      </c>
      <c r="T169" s="649" t="str">
        <f>+IF(ENERO!T169=0,"",ENERO!T169)</f>
        <v/>
      </c>
      <c r="U169" s="450"/>
      <c r="V169" s="193"/>
      <c r="W169" s="193"/>
      <c r="X169" s="207"/>
      <c r="Y169" s="450"/>
      <c r="Z169" s="193"/>
      <c r="AA169" s="193"/>
      <c r="AB169" s="450"/>
      <c r="AC169" s="193"/>
      <c r="AD169" s="207"/>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f>+IF(ENERO!S170=0,"",ENERO!S170)</f>
        <v>3000000</v>
      </c>
      <c r="T170" s="680" t="str">
        <f>+IF(ENERO!T170=0,"",ENERO!T170)</f>
        <v>TRANSFERENCIAS CORRIENTES</v>
      </c>
      <c r="U170" s="464">
        <f t="shared" ref="U170:AJ170" si="154">U172+U176+U185</f>
        <v>217489235</v>
      </c>
      <c r="V170" s="590">
        <f t="shared" si="154"/>
        <v>-12907692</v>
      </c>
      <c r="W170" s="590">
        <f t="shared" si="154"/>
        <v>0</v>
      </c>
      <c r="X170" s="465">
        <f t="shared" si="154"/>
        <v>204581543</v>
      </c>
      <c r="Y170" s="464">
        <f t="shared" si="154"/>
        <v>19470019</v>
      </c>
      <c r="Z170" s="590">
        <f t="shared" si="154"/>
        <v>7660992</v>
      </c>
      <c r="AA170" s="591">
        <f t="shared" si="154"/>
        <v>27131011</v>
      </c>
      <c r="AB170" s="464">
        <f t="shared" si="154"/>
        <v>19324431</v>
      </c>
      <c r="AC170" s="590">
        <f t="shared" si="154"/>
        <v>7806580</v>
      </c>
      <c r="AD170" s="465">
        <f t="shared" si="154"/>
        <v>27131011</v>
      </c>
      <c r="AE170" s="464">
        <f t="shared" si="154"/>
        <v>11399431</v>
      </c>
      <c r="AF170" s="590">
        <f t="shared" si="154"/>
        <v>11707893</v>
      </c>
      <c r="AG170" s="465">
        <f t="shared" si="154"/>
        <v>23107324</v>
      </c>
      <c r="AH170" s="464">
        <f t="shared" si="154"/>
        <v>177450532</v>
      </c>
      <c r="AI170" s="590">
        <f t="shared" si="154"/>
        <v>177450532</v>
      </c>
      <c r="AJ170" s="465">
        <f t="shared" si="154"/>
        <v>181474219</v>
      </c>
      <c r="AK170" s="10"/>
      <c r="AL170" s="151">
        <f>AL172+AL176+AL185</f>
        <v>-12907692</v>
      </c>
      <c r="AM170" s="153">
        <f>AM172+AM176+AM185</f>
        <v>0</v>
      </c>
      <c r="AN170" s="10"/>
    </row>
    <row r="171" spans="1:40" s="467" customFormat="1" ht="15.75" x14ac:dyDescent="0.2">
      <c r="A171" s="623"/>
      <c r="N171" s="10"/>
      <c r="P171" s="10"/>
      <c r="Q171" s="10"/>
      <c r="R171" s="10"/>
      <c r="S171" s="448" t="str">
        <f>+IF(ENERO!S171=0,"",ENERO!S171)</f>
        <v/>
      </c>
      <c r="T171" s="649" t="str">
        <f>+IF(ENERO!T171=0,"",ENERO!T171)</f>
        <v/>
      </c>
      <c r="U171" s="450"/>
      <c r="V171" s="193"/>
      <c r="W171" s="193"/>
      <c r="X171" s="207"/>
      <c r="Y171" s="450"/>
      <c r="Z171" s="193"/>
      <c r="AA171" s="193"/>
      <c r="AB171" s="450"/>
      <c r="AC171" s="193"/>
      <c r="AD171" s="207"/>
      <c r="AE171" s="450"/>
      <c r="AF171" s="193"/>
      <c r="AG171" s="207"/>
      <c r="AH171" s="450"/>
      <c r="AI171" s="193"/>
      <c r="AJ171" s="207"/>
      <c r="AK171" s="10"/>
      <c r="AL171" s="213"/>
      <c r="AM171" s="214"/>
      <c r="AN171" s="10"/>
    </row>
    <row r="172" spans="1:40" s="467" customFormat="1" ht="15" x14ac:dyDescent="0.2">
      <c r="A172" s="623"/>
      <c r="N172" s="10"/>
      <c r="P172" s="10"/>
      <c r="Q172" s="10"/>
      <c r="R172" s="10"/>
      <c r="S172" s="34">
        <f>+IF(ENERO!S172=0,"",ENERO!S172)</f>
        <v>3100000</v>
      </c>
      <c r="T172" s="237" t="str">
        <f>+IF(ENERO!T172=0,"",ENERO!T172)</f>
        <v>Transferencias al Sector Público</v>
      </c>
      <c r="U172" s="151">
        <f t="shared" ref="U172:AJ172" si="155">SUM(U173:U174)</f>
        <v>2689964</v>
      </c>
      <c r="V172" s="144">
        <f t="shared" si="155"/>
        <v>746499</v>
      </c>
      <c r="W172" s="144">
        <f t="shared" si="155"/>
        <v>0</v>
      </c>
      <c r="X172" s="153">
        <f t="shared" si="155"/>
        <v>3436463</v>
      </c>
      <c r="Y172" s="151">
        <f t="shared" si="155"/>
        <v>746499</v>
      </c>
      <c r="Z172" s="144">
        <f t="shared" si="155"/>
        <v>0</v>
      </c>
      <c r="AA172" s="152">
        <f t="shared" si="155"/>
        <v>746499</v>
      </c>
      <c r="AB172" s="151">
        <f t="shared" si="155"/>
        <v>746499</v>
      </c>
      <c r="AC172" s="144">
        <f t="shared" si="155"/>
        <v>0</v>
      </c>
      <c r="AD172" s="153">
        <f t="shared" si="155"/>
        <v>746499</v>
      </c>
      <c r="AE172" s="151">
        <f t="shared" si="155"/>
        <v>0</v>
      </c>
      <c r="AF172" s="144">
        <f t="shared" si="155"/>
        <v>0</v>
      </c>
      <c r="AG172" s="153">
        <f t="shared" si="155"/>
        <v>0</v>
      </c>
      <c r="AH172" s="151">
        <f t="shared" si="155"/>
        <v>2689964</v>
      </c>
      <c r="AI172" s="144">
        <f t="shared" si="155"/>
        <v>2689964</v>
      </c>
      <c r="AJ172" s="153">
        <f t="shared" si="155"/>
        <v>3436463</v>
      </c>
      <c r="AK172" s="10"/>
      <c r="AL172" s="151">
        <f>SUM(AL173:AL174)</f>
        <v>746499</v>
      </c>
      <c r="AM172" s="153">
        <f>SUM(AM173:AM174)</f>
        <v>0</v>
      </c>
      <c r="AN172" s="10"/>
    </row>
    <row r="173" spans="1:40" s="467" customFormat="1" x14ac:dyDescent="0.2">
      <c r="A173" s="623"/>
      <c r="N173" s="10"/>
      <c r="P173" s="10"/>
      <c r="Q173" s="10"/>
      <c r="R173" s="10"/>
      <c r="S173" s="155">
        <f>+IF(ENERO!S173=0,"",ENERO!S173)</f>
        <v>3100003</v>
      </c>
      <c r="T173" s="238" t="str">
        <f>+IF(ENERO!T173=0,"",ENERO!T173)</f>
        <v>Entidades Públicas (Contraloria, Supersalud,…)</v>
      </c>
      <c r="U173" s="31">
        <f>+ENERO!U173</f>
        <v>2689964</v>
      </c>
      <c r="V173" s="17">
        <f>ENERO!V173+FEBRERO!AL173</f>
        <v>0</v>
      </c>
      <c r="W173" s="17">
        <f>ENERO!W173+FEBRERO!AM173</f>
        <v>0</v>
      </c>
      <c r="X173" s="18">
        <f>SUM(U173:W173)</f>
        <v>2689964</v>
      </c>
      <c r="Y173" s="21">
        <f>ENERO!AA173</f>
        <v>0</v>
      </c>
      <c r="Z173" s="457">
        <v>0</v>
      </c>
      <c r="AA173" s="20">
        <f>SUM(Y173:Z173)</f>
        <v>0</v>
      </c>
      <c r="AB173" s="21">
        <f>ENERO!AD173</f>
        <v>0</v>
      </c>
      <c r="AC173" s="457">
        <v>0</v>
      </c>
      <c r="AD173" s="18">
        <f>SUM(AB173:AC173)</f>
        <v>0</v>
      </c>
      <c r="AE173" s="21">
        <f>ENERO!AG173</f>
        <v>0</v>
      </c>
      <c r="AF173" s="457">
        <v>0</v>
      </c>
      <c r="AG173" s="18">
        <f>SUM(AE173:AF173)</f>
        <v>0</v>
      </c>
      <c r="AH173" s="21">
        <f>X173-AA173</f>
        <v>2689964</v>
      </c>
      <c r="AI173" s="17">
        <f>X173-AD173</f>
        <v>2689964</v>
      </c>
      <c r="AJ173" s="18">
        <f>X173-AG173</f>
        <v>2689964</v>
      </c>
      <c r="AK173" s="10"/>
      <c r="AL173" s="455">
        <v>0</v>
      </c>
      <c r="AM173" s="458">
        <v>0</v>
      </c>
      <c r="AN173" s="10"/>
    </row>
    <row r="174" spans="1:40" s="467" customFormat="1" x14ac:dyDescent="0.2">
      <c r="A174" s="623"/>
      <c r="N174" s="10"/>
      <c r="P174" s="10"/>
      <c r="Q174" s="10"/>
      <c r="R174" s="10"/>
      <c r="S174" s="155">
        <f>+IF(ENERO!S174=0,"",ENERO!S174)</f>
        <v>3199999</v>
      </c>
      <c r="T174" s="238" t="str">
        <f>+IF(ENERO!T174=0,"",ENERO!T174)</f>
        <v>Vigencias Anteriores</v>
      </c>
      <c r="U174" s="31">
        <f>+ENERO!U174</f>
        <v>0</v>
      </c>
      <c r="V174" s="17">
        <f>ENERO!V174+FEBRERO!AL174</f>
        <v>746499</v>
      </c>
      <c r="W174" s="17">
        <f>ENERO!W174+FEBRERO!AM174</f>
        <v>0</v>
      </c>
      <c r="X174" s="18">
        <f>SUM(U174:W174)</f>
        <v>746499</v>
      </c>
      <c r="Y174" s="21">
        <f>ENERO!AA174</f>
        <v>746499</v>
      </c>
      <c r="Z174" s="457">
        <v>0</v>
      </c>
      <c r="AA174" s="20">
        <f>SUM(Y174:Z174)</f>
        <v>746499</v>
      </c>
      <c r="AB174" s="21">
        <f>ENERO!AD174</f>
        <v>746499</v>
      </c>
      <c r="AC174" s="457">
        <v>0</v>
      </c>
      <c r="AD174" s="18">
        <f>SUM(AB174:AC174)</f>
        <v>746499</v>
      </c>
      <c r="AE174" s="21">
        <f>ENERO!AG174</f>
        <v>0</v>
      </c>
      <c r="AF174" s="457">
        <v>0</v>
      </c>
      <c r="AG174" s="18">
        <f>SUM(AE174:AF174)</f>
        <v>0</v>
      </c>
      <c r="AH174" s="21">
        <f>X174-AA174</f>
        <v>0</v>
      </c>
      <c r="AI174" s="17">
        <f>X174-AD174</f>
        <v>0</v>
      </c>
      <c r="AJ174" s="18">
        <f>X174-AG174</f>
        <v>746499</v>
      </c>
      <c r="AK174" s="10"/>
      <c r="AL174" s="455">
        <v>746499</v>
      </c>
      <c r="AM174" s="458">
        <v>0</v>
      </c>
      <c r="AN174" s="10"/>
    </row>
    <row r="175" spans="1:40" s="467" customFormat="1" ht="15.75" x14ac:dyDescent="0.2">
      <c r="A175" s="623"/>
      <c r="N175" s="10"/>
      <c r="P175" s="10"/>
      <c r="Q175" s="10"/>
      <c r="R175" s="10"/>
      <c r="S175" s="448" t="str">
        <f>+IF(ENERO!S175=0,"",ENERO!S175)</f>
        <v/>
      </c>
      <c r="T175" s="649" t="str">
        <f>+IF(ENERO!T175=0,"",ENERO!T175)</f>
        <v/>
      </c>
      <c r="U175" s="450"/>
      <c r="V175" s="193"/>
      <c r="W175" s="193"/>
      <c r="X175" s="207"/>
      <c r="Y175" s="450"/>
      <c r="Z175" s="193"/>
      <c r="AA175" s="193"/>
      <c r="AB175" s="450"/>
      <c r="AC175" s="193"/>
      <c r="AD175" s="207"/>
      <c r="AE175" s="450"/>
      <c r="AF175" s="193"/>
      <c r="AG175" s="207"/>
      <c r="AH175" s="450"/>
      <c r="AI175" s="193"/>
      <c r="AJ175" s="207"/>
      <c r="AK175" s="12"/>
      <c r="AL175" s="213"/>
      <c r="AM175" s="214"/>
      <c r="AN175" s="10"/>
    </row>
    <row r="176" spans="1:40" s="467" customFormat="1" ht="15" x14ac:dyDescent="0.2">
      <c r="A176" s="623"/>
      <c r="N176" s="10"/>
      <c r="P176" s="10"/>
      <c r="Q176" s="10"/>
      <c r="R176" s="10"/>
      <c r="S176" s="34">
        <f>+IF(ENERO!S176=0,"",ENERO!S176)</f>
        <v>320000</v>
      </c>
      <c r="T176" s="237" t="str">
        <f>+IF(ENERO!T176=0,"",ENERO!T176)</f>
        <v>Transf. Previsión y Seguridad Social</v>
      </c>
      <c r="U176" s="151">
        <f t="shared" ref="U176:AJ176" si="156">SUM(U177:U183)</f>
        <v>213299271</v>
      </c>
      <c r="V176" s="144">
        <f t="shared" si="156"/>
        <v>-14130741</v>
      </c>
      <c r="W176" s="144">
        <f t="shared" si="156"/>
        <v>0</v>
      </c>
      <c r="X176" s="153">
        <f t="shared" si="156"/>
        <v>199168530</v>
      </c>
      <c r="Y176" s="151">
        <f t="shared" si="156"/>
        <v>18246970</v>
      </c>
      <c r="Z176" s="144">
        <f t="shared" si="156"/>
        <v>7660992</v>
      </c>
      <c r="AA176" s="152">
        <f t="shared" si="156"/>
        <v>25907962</v>
      </c>
      <c r="AB176" s="151">
        <f t="shared" si="156"/>
        <v>18101382</v>
      </c>
      <c r="AC176" s="144">
        <f t="shared" si="156"/>
        <v>7806580</v>
      </c>
      <c r="AD176" s="153">
        <f t="shared" si="156"/>
        <v>25907962</v>
      </c>
      <c r="AE176" s="151">
        <f t="shared" si="156"/>
        <v>11399431</v>
      </c>
      <c r="AF176" s="144">
        <f t="shared" si="156"/>
        <v>11707893</v>
      </c>
      <c r="AG176" s="153">
        <f t="shared" si="156"/>
        <v>23107324</v>
      </c>
      <c r="AH176" s="151">
        <f t="shared" si="156"/>
        <v>173260568</v>
      </c>
      <c r="AI176" s="144">
        <f t="shared" si="156"/>
        <v>173260568</v>
      </c>
      <c r="AJ176" s="153">
        <f t="shared" si="156"/>
        <v>176061206</v>
      </c>
      <c r="AK176" s="10"/>
      <c r="AL176" s="151">
        <f>SUM(AL177:AL183)</f>
        <v>-14130741</v>
      </c>
      <c r="AM176" s="153">
        <f>SUM(AM177:AM183)</f>
        <v>0</v>
      </c>
      <c r="AN176" s="10"/>
    </row>
    <row r="177" spans="1:40" s="467" customFormat="1" x14ac:dyDescent="0.2">
      <c r="A177" s="623"/>
      <c r="N177" s="10"/>
      <c r="P177" s="10"/>
      <c r="Q177" s="10"/>
      <c r="R177" s="10"/>
      <c r="S177" s="155">
        <f>+IF(ENERO!S177=0,"",ENERO!S177)</f>
        <v>3200100</v>
      </c>
      <c r="T177" s="238" t="str">
        <f>+IF(ENERO!T177=0,"",ENERO!T177)</f>
        <v>Pensiones y Jubilaciones (Pago Directo)</v>
      </c>
      <c r="U177" s="31">
        <f>+ENERO!U177</f>
        <v>104106866</v>
      </c>
      <c r="V177" s="17">
        <f>ENERO!V177+FEBRERO!AL177</f>
        <v>0</v>
      </c>
      <c r="W177" s="17">
        <f>ENERO!W177+FEBRERO!AM177</f>
        <v>0</v>
      </c>
      <c r="X177" s="18">
        <f t="shared" ref="X177:X183" si="157">SUM(U177:W177)</f>
        <v>104106866</v>
      </c>
      <c r="Y177" s="21">
        <f>ENERO!AA177</f>
        <v>7037842</v>
      </c>
      <c r="Z177" s="457">
        <v>7806580</v>
      </c>
      <c r="AA177" s="20">
        <f t="shared" ref="AA177:AA183" si="158">SUM(Y177:Z177)</f>
        <v>14844422</v>
      </c>
      <c r="AB177" s="21">
        <f>ENERO!AD177</f>
        <v>7037842</v>
      </c>
      <c r="AC177" s="457">
        <v>7806580</v>
      </c>
      <c r="AD177" s="18">
        <f t="shared" ref="AD177:AD183" si="159">SUM(AB177:AC177)</f>
        <v>14844422</v>
      </c>
      <c r="AE177" s="21">
        <f>ENERO!AG177</f>
        <v>6123138</v>
      </c>
      <c r="AF177" s="457">
        <v>7619192</v>
      </c>
      <c r="AG177" s="18">
        <f t="shared" ref="AG177:AG183" si="160">SUM(AE177:AF177)</f>
        <v>13742330</v>
      </c>
      <c r="AH177" s="21">
        <f t="shared" ref="AH177:AH183" si="161">X177-AA177</f>
        <v>89262444</v>
      </c>
      <c r="AI177" s="17">
        <f t="shared" ref="AI177:AI183" si="162">X177-AD177</f>
        <v>89262444</v>
      </c>
      <c r="AJ177" s="18">
        <f t="shared" ref="AJ177:AJ183" si="163">X177-AG177</f>
        <v>90364536</v>
      </c>
      <c r="AK177" s="10"/>
      <c r="AL177" s="455">
        <v>0</v>
      </c>
      <c r="AM177" s="458">
        <v>0</v>
      </c>
      <c r="AN177" s="10"/>
    </row>
    <row r="178" spans="1:40" s="467" customFormat="1" x14ac:dyDescent="0.2">
      <c r="A178" s="623"/>
      <c r="N178" s="10"/>
      <c r="P178" s="10"/>
      <c r="Q178" s="10"/>
      <c r="R178" s="10"/>
      <c r="S178" s="155">
        <f>+IF(ENERO!S178=0,"",ENERO!S178)</f>
        <v>3200200</v>
      </c>
      <c r="T178" s="238" t="str">
        <f>+IF(ENERO!T178=0,"",ENERO!T178)</f>
        <v>Cesantías Pago Directo (Pago Directo)</v>
      </c>
      <c r="U178" s="31">
        <f>+ENERO!U178</f>
        <v>22532311</v>
      </c>
      <c r="V178" s="17">
        <f>ENERO!V178+FEBRERO!AL178</f>
        <v>0</v>
      </c>
      <c r="W178" s="17">
        <f>ENERO!W178+FEBRERO!AM178</f>
        <v>0</v>
      </c>
      <c r="X178" s="18">
        <f t="shared" si="157"/>
        <v>22532311</v>
      </c>
      <c r="Y178" s="21">
        <f>ENERO!AA178</f>
        <v>5145588</v>
      </c>
      <c r="Z178" s="457">
        <v>-145588</v>
      </c>
      <c r="AA178" s="20">
        <f t="shared" si="158"/>
        <v>5000000</v>
      </c>
      <c r="AB178" s="21">
        <f>ENERO!AD178</f>
        <v>5000000</v>
      </c>
      <c r="AC178" s="457">
        <v>0</v>
      </c>
      <c r="AD178" s="18">
        <f t="shared" si="159"/>
        <v>5000000</v>
      </c>
      <c r="AE178" s="21">
        <f>ENERO!AG178</f>
        <v>5000000</v>
      </c>
      <c r="AF178" s="457">
        <v>0</v>
      </c>
      <c r="AG178" s="18">
        <f t="shared" si="160"/>
        <v>5000000</v>
      </c>
      <c r="AH178" s="21">
        <f t="shared" si="161"/>
        <v>17532311</v>
      </c>
      <c r="AI178" s="17">
        <f t="shared" si="162"/>
        <v>17532311</v>
      </c>
      <c r="AJ178" s="18">
        <f t="shared" si="163"/>
        <v>17532311</v>
      </c>
      <c r="AK178" s="10"/>
      <c r="AL178" s="455">
        <v>0</v>
      </c>
      <c r="AM178" s="458">
        <v>0</v>
      </c>
      <c r="AN178" s="10"/>
    </row>
    <row r="179" spans="1:40" s="467" customFormat="1" x14ac:dyDescent="0.2">
      <c r="A179" s="623"/>
      <c r="N179" s="10"/>
      <c r="P179" s="10"/>
      <c r="Q179" s="10"/>
      <c r="R179" s="10"/>
      <c r="S179" s="155">
        <f>+IF(ENERO!S179=0,"",ENERO!S179)</f>
        <v>3200300</v>
      </c>
      <c r="T179" s="238" t="str">
        <f>+IF(ENERO!T179=0,"",ENERO!T179)</f>
        <v>Bonos, Cuotas de Bonos y cuotas partes jubilatorias</v>
      </c>
      <c r="U179" s="31">
        <f>+ENERO!U179</f>
        <v>70000000</v>
      </c>
      <c r="V179" s="17">
        <f>ENERO!V179+FEBRERO!AL179</f>
        <v>-17721746</v>
      </c>
      <c r="W179" s="17">
        <f>ENERO!W179+FEBRERO!AM179</f>
        <v>0</v>
      </c>
      <c r="X179" s="18">
        <f t="shared" si="157"/>
        <v>52278254</v>
      </c>
      <c r="Y179" s="21">
        <f>ENERO!AA179</f>
        <v>472535</v>
      </c>
      <c r="Z179" s="457">
        <v>0</v>
      </c>
      <c r="AA179" s="20">
        <f t="shared" si="158"/>
        <v>472535</v>
      </c>
      <c r="AB179" s="21">
        <f>ENERO!AD179</f>
        <v>472535</v>
      </c>
      <c r="AC179" s="457">
        <v>0</v>
      </c>
      <c r="AD179" s="18">
        <f t="shared" si="159"/>
        <v>472535</v>
      </c>
      <c r="AE179" s="21">
        <f>ENERO!AG179</f>
        <v>0</v>
      </c>
      <c r="AF179" s="457">
        <v>0</v>
      </c>
      <c r="AG179" s="18">
        <f t="shared" si="160"/>
        <v>0</v>
      </c>
      <c r="AH179" s="21">
        <f t="shared" si="161"/>
        <v>51805719</v>
      </c>
      <c r="AI179" s="17">
        <f t="shared" si="162"/>
        <v>51805719</v>
      </c>
      <c r="AJ179" s="18">
        <f t="shared" si="163"/>
        <v>52278254</v>
      </c>
      <c r="AK179" s="10"/>
      <c r="AL179" s="455">
        <v>-17721746</v>
      </c>
      <c r="AM179" s="458">
        <v>0</v>
      </c>
      <c r="AN179" s="10"/>
    </row>
    <row r="180" spans="1:40" s="467" customFormat="1" x14ac:dyDescent="0.2">
      <c r="A180" s="623"/>
      <c r="N180" s="10"/>
      <c r="P180" s="10"/>
      <c r="Q180" s="10"/>
      <c r="R180" s="10"/>
      <c r="S180" s="155">
        <f>+IF(ENERO!S180=0,"",ENERO!S180)</f>
        <v>3200400</v>
      </c>
      <c r="T180" s="238" t="str">
        <f>+IF(ENERO!T180=0,"",ENERO!T180)</f>
        <v>Intereses a las cesantias</v>
      </c>
      <c r="U180" s="31">
        <f>+ENERO!U180</f>
        <v>14660094</v>
      </c>
      <c r="V180" s="17">
        <f>ENERO!V180+FEBRERO!AL180</f>
        <v>0</v>
      </c>
      <c r="W180" s="17">
        <f>ENERO!W180+FEBRERO!AM180</f>
        <v>0</v>
      </c>
      <c r="X180" s="18">
        <f t="shared" si="157"/>
        <v>14660094</v>
      </c>
      <c r="Y180" s="21">
        <f>ENERO!AA180</f>
        <v>0</v>
      </c>
      <c r="Z180" s="457">
        <v>0</v>
      </c>
      <c r="AA180" s="20">
        <f t="shared" si="158"/>
        <v>0</v>
      </c>
      <c r="AB180" s="21">
        <f>ENERO!AD180</f>
        <v>0</v>
      </c>
      <c r="AC180" s="457">
        <v>0</v>
      </c>
      <c r="AD180" s="18">
        <f t="shared" si="159"/>
        <v>0</v>
      </c>
      <c r="AE180" s="21">
        <f>ENERO!AG180</f>
        <v>0</v>
      </c>
      <c r="AF180" s="457">
        <v>0</v>
      </c>
      <c r="AG180" s="18">
        <f t="shared" si="160"/>
        <v>0</v>
      </c>
      <c r="AH180" s="21">
        <f t="shared" si="161"/>
        <v>14660094</v>
      </c>
      <c r="AI180" s="17">
        <f t="shared" si="162"/>
        <v>14660094</v>
      </c>
      <c r="AJ180" s="18">
        <f t="shared" si="163"/>
        <v>14660094</v>
      </c>
      <c r="AK180" s="10"/>
      <c r="AL180" s="455">
        <v>0</v>
      </c>
      <c r="AM180" s="458">
        <v>0</v>
      </c>
      <c r="AN180" s="10"/>
    </row>
    <row r="181" spans="1:40" s="467" customFormat="1" x14ac:dyDescent="0.2">
      <c r="A181" s="623"/>
      <c r="N181" s="10"/>
      <c r="P181" s="10"/>
      <c r="Q181" s="10"/>
      <c r="R181" s="10"/>
      <c r="S181" s="155" t="str">
        <f>+IF(ENERO!S181=0,"",ENERO!S181)</f>
        <v/>
      </c>
      <c r="T181" s="238" t="str">
        <f>+IF(ENERO!T181=0,"",ENERO!T181)</f>
        <v/>
      </c>
      <c r="U181" s="31">
        <f>+ENERO!U181</f>
        <v>0</v>
      </c>
      <c r="V181" s="17">
        <f>ENERO!V181+FEBRERO!AL181</f>
        <v>0</v>
      </c>
      <c r="W181" s="17">
        <f>ENERO!W181+FEBRERO!AM181</f>
        <v>0</v>
      </c>
      <c r="X181" s="18">
        <f t="shared" si="157"/>
        <v>0</v>
      </c>
      <c r="Y181" s="21">
        <f>ENERO!AA181</f>
        <v>0</v>
      </c>
      <c r="Z181" s="457">
        <v>0</v>
      </c>
      <c r="AA181" s="20">
        <f t="shared" si="158"/>
        <v>0</v>
      </c>
      <c r="AB181" s="21">
        <f>ENERO!AD181</f>
        <v>0</v>
      </c>
      <c r="AC181" s="457">
        <v>0</v>
      </c>
      <c r="AD181" s="18">
        <f t="shared" si="159"/>
        <v>0</v>
      </c>
      <c r="AE181" s="21">
        <f>ENERO!AG181</f>
        <v>0</v>
      </c>
      <c r="AF181" s="457">
        <v>0</v>
      </c>
      <c r="AG181" s="18">
        <f t="shared" si="160"/>
        <v>0</v>
      </c>
      <c r="AH181" s="21">
        <f t="shared" si="161"/>
        <v>0</v>
      </c>
      <c r="AI181" s="17">
        <f t="shared" si="162"/>
        <v>0</v>
      </c>
      <c r="AJ181" s="18">
        <f t="shared" si="163"/>
        <v>0</v>
      </c>
      <c r="AK181" s="10"/>
      <c r="AL181" s="455">
        <v>0</v>
      </c>
      <c r="AM181" s="458">
        <v>0</v>
      </c>
      <c r="AN181" s="10"/>
    </row>
    <row r="182" spans="1:40" s="467" customFormat="1" x14ac:dyDescent="0.2">
      <c r="A182" s="623"/>
      <c r="N182" s="10"/>
      <c r="P182" s="10"/>
      <c r="Q182" s="10"/>
      <c r="R182" s="10"/>
      <c r="S182" s="155" t="str">
        <f>+IF(ENERO!S182=0,"",ENERO!S182)</f>
        <v/>
      </c>
      <c r="T182" s="238" t="str">
        <f>+IF(ENERO!T182=0,"",ENERO!T182)</f>
        <v/>
      </c>
      <c r="U182" s="31">
        <f>+ENERO!U182</f>
        <v>0</v>
      </c>
      <c r="V182" s="17">
        <f>ENERO!V182+FEBRERO!AL182</f>
        <v>0</v>
      </c>
      <c r="W182" s="17">
        <f>ENERO!W182+FEBRERO!AM182</f>
        <v>0</v>
      </c>
      <c r="X182" s="18">
        <f t="shared" si="157"/>
        <v>0</v>
      </c>
      <c r="Y182" s="21">
        <f>ENERO!AA182</f>
        <v>0</v>
      </c>
      <c r="Z182" s="457">
        <v>0</v>
      </c>
      <c r="AA182" s="20">
        <f t="shared" si="158"/>
        <v>0</v>
      </c>
      <c r="AB182" s="21">
        <f>ENERO!AD182</f>
        <v>0</v>
      </c>
      <c r="AC182" s="457">
        <v>0</v>
      </c>
      <c r="AD182" s="18">
        <f t="shared" si="159"/>
        <v>0</v>
      </c>
      <c r="AE182" s="21">
        <f>ENERO!AG182</f>
        <v>0</v>
      </c>
      <c r="AF182" s="457">
        <v>0</v>
      </c>
      <c r="AG182" s="18">
        <f t="shared" si="160"/>
        <v>0</v>
      </c>
      <c r="AH182" s="21">
        <f t="shared" si="161"/>
        <v>0</v>
      </c>
      <c r="AI182" s="17">
        <f t="shared" si="162"/>
        <v>0</v>
      </c>
      <c r="AJ182" s="18">
        <f t="shared" si="163"/>
        <v>0</v>
      </c>
      <c r="AK182" s="10"/>
      <c r="AL182" s="455">
        <v>0</v>
      </c>
      <c r="AM182" s="458">
        <v>0</v>
      </c>
      <c r="AN182" s="10"/>
    </row>
    <row r="183" spans="1:40" s="467" customFormat="1" x14ac:dyDescent="0.2">
      <c r="A183" s="623"/>
      <c r="N183" s="10"/>
      <c r="P183" s="10"/>
      <c r="Q183" s="10"/>
      <c r="R183" s="10"/>
      <c r="S183" s="155">
        <f>+IF(ENERO!S183=0,"",ENERO!S183)</f>
        <v>3299999</v>
      </c>
      <c r="T183" s="238" t="str">
        <f>+IF(ENERO!T183=0,"",ENERO!T183)</f>
        <v>Vigencias Anteriores</v>
      </c>
      <c r="U183" s="31">
        <f>+ENERO!U183</f>
        <v>2000000</v>
      </c>
      <c r="V183" s="17">
        <f>ENERO!V183+FEBRERO!AL183</f>
        <v>3591005</v>
      </c>
      <c r="W183" s="17">
        <f>ENERO!W183+FEBRERO!AM183</f>
        <v>0</v>
      </c>
      <c r="X183" s="18">
        <f t="shared" si="157"/>
        <v>5591005</v>
      </c>
      <c r="Y183" s="21">
        <f>ENERO!AA183</f>
        <v>5591005</v>
      </c>
      <c r="Z183" s="457">
        <v>0</v>
      </c>
      <c r="AA183" s="20">
        <f t="shared" si="158"/>
        <v>5591005</v>
      </c>
      <c r="AB183" s="21">
        <f>ENERO!AD183</f>
        <v>5591005</v>
      </c>
      <c r="AC183" s="457">
        <v>0</v>
      </c>
      <c r="AD183" s="18">
        <f t="shared" si="159"/>
        <v>5591005</v>
      </c>
      <c r="AE183" s="21">
        <f>ENERO!AG183</f>
        <v>276293</v>
      </c>
      <c r="AF183" s="457">
        <v>4088701</v>
      </c>
      <c r="AG183" s="18">
        <f t="shared" si="160"/>
        <v>4364994</v>
      </c>
      <c r="AH183" s="21">
        <f t="shared" si="161"/>
        <v>0</v>
      </c>
      <c r="AI183" s="17">
        <f t="shared" si="162"/>
        <v>0</v>
      </c>
      <c r="AJ183" s="18">
        <f t="shared" si="163"/>
        <v>1226011</v>
      </c>
      <c r="AK183" s="10"/>
      <c r="AL183" s="455">
        <v>3591005</v>
      </c>
      <c r="AM183" s="458">
        <v>0</v>
      </c>
      <c r="AN183" s="10"/>
    </row>
    <row r="184" spans="1:40" s="467" customFormat="1" ht="15.75" x14ac:dyDescent="0.2">
      <c r="A184" s="623"/>
      <c r="N184" s="10"/>
      <c r="P184" s="10"/>
      <c r="Q184" s="10"/>
      <c r="R184" s="10"/>
      <c r="S184" s="448" t="str">
        <f>+IF(ENERO!S184=0,"",ENERO!S184)</f>
        <v/>
      </c>
      <c r="T184" s="649" t="str">
        <f>+IF(ENERO!T184=0,"",ENERO!T184)</f>
        <v/>
      </c>
      <c r="U184" s="450"/>
      <c r="V184" s="193"/>
      <c r="W184" s="193"/>
      <c r="X184" s="207"/>
      <c r="Y184" s="450"/>
      <c r="Z184" s="193"/>
      <c r="AA184" s="193"/>
      <c r="AB184" s="450"/>
      <c r="AC184" s="193"/>
      <c r="AD184" s="207"/>
      <c r="AE184" s="450"/>
      <c r="AF184" s="193"/>
      <c r="AG184" s="207"/>
      <c r="AH184" s="450"/>
      <c r="AI184" s="193"/>
      <c r="AJ184" s="207"/>
      <c r="AK184" s="10"/>
      <c r="AL184" s="213"/>
      <c r="AM184" s="214"/>
      <c r="AN184" s="10"/>
    </row>
    <row r="185" spans="1:40" s="467" customFormat="1" ht="15" x14ac:dyDescent="0.2">
      <c r="A185" s="623"/>
      <c r="N185" s="10"/>
      <c r="P185" s="10"/>
      <c r="Q185" s="10"/>
      <c r="R185" s="10"/>
      <c r="S185" s="34">
        <f>+IF(ENERO!S185=0,"",ENERO!S185)</f>
        <v>3300000</v>
      </c>
      <c r="T185" s="237" t="str">
        <f>+IF(ENERO!T185=0,"",ENERO!T185)</f>
        <v>Otras Transferencias</v>
      </c>
      <c r="U185" s="151">
        <f t="shared" ref="U185:AJ185" si="164">U186+U187+U191</f>
        <v>1500000</v>
      </c>
      <c r="V185" s="144">
        <f t="shared" si="164"/>
        <v>476550</v>
      </c>
      <c r="W185" s="144">
        <f t="shared" si="164"/>
        <v>0</v>
      </c>
      <c r="X185" s="153">
        <f t="shared" si="164"/>
        <v>1976550</v>
      </c>
      <c r="Y185" s="151">
        <f t="shared" si="164"/>
        <v>476550</v>
      </c>
      <c r="Z185" s="144">
        <f t="shared" si="164"/>
        <v>0</v>
      </c>
      <c r="AA185" s="152">
        <f t="shared" si="164"/>
        <v>476550</v>
      </c>
      <c r="AB185" s="151">
        <f t="shared" si="164"/>
        <v>476550</v>
      </c>
      <c r="AC185" s="144">
        <f t="shared" si="164"/>
        <v>0</v>
      </c>
      <c r="AD185" s="153">
        <f t="shared" si="164"/>
        <v>476550</v>
      </c>
      <c r="AE185" s="151">
        <f t="shared" si="164"/>
        <v>0</v>
      </c>
      <c r="AF185" s="144">
        <f t="shared" si="164"/>
        <v>0</v>
      </c>
      <c r="AG185" s="153">
        <f t="shared" si="164"/>
        <v>0</v>
      </c>
      <c r="AH185" s="151">
        <f t="shared" si="164"/>
        <v>1500000</v>
      </c>
      <c r="AI185" s="144">
        <f t="shared" si="164"/>
        <v>1500000</v>
      </c>
      <c r="AJ185" s="153">
        <f t="shared" si="164"/>
        <v>1976550</v>
      </c>
      <c r="AK185" s="10"/>
      <c r="AL185" s="151">
        <f>AL186+AL187+AL191</f>
        <v>476550</v>
      </c>
      <c r="AM185" s="153">
        <f>AM186+AM187+AM191</f>
        <v>0</v>
      </c>
      <c r="AN185" s="10"/>
    </row>
    <row r="186" spans="1:40" s="467" customFormat="1" x14ac:dyDescent="0.2">
      <c r="A186" s="623"/>
      <c r="N186" s="10"/>
      <c r="P186" s="10"/>
      <c r="Q186" s="10"/>
      <c r="R186" s="10"/>
      <c r="S186" s="155">
        <f>+IF(ENERO!S186=0,"",ENERO!S186)</f>
        <v>3300100</v>
      </c>
      <c r="T186" s="238" t="str">
        <f>+IF(ENERO!T186=0,"",ENERO!T186)</f>
        <v>Sentencias y Conciliaciones</v>
      </c>
      <c r="U186" s="31">
        <f>+ENERO!U186</f>
        <v>0</v>
      </c>
      <c r="V186" s="17">
        <f>ENERO!V186+FEBRERO!AL186</f>
        <v>0</v>
      </c>
      <c r="W186" s="17">
        <f>ENERO!W186+FEBRERO!AM186</f>
        <v>0</v>
      </c>
      <c r="X186" s="18">
        <f>SUM(U186:W186)</f>
        <v>0</v>
      </c>
      <c r="Y186" s="21">
        <f>ENERO!AA186</f>
        <v>0</v>
      </c>
      <c r="Z186" s="457">
        <v>0</v>
      </c>
      <c r="AA186" s="20">
        <f>SUM(Y186:Z186)</f>
        <v>0</v>
      </c>
      <c r="AB186" s="21">
        <f>ENERO!AD186</f>
        <v>0</v>
      </c>
      <c r="AC186" s="457">
        <v>0</v>
      </c>
      <c r="AD186" s="18">
        <f>SUM(AB186:AC186)</f>
        <v>0</v>
      </c>
      <c r="AE186" s="21">
        <f>ENERO!AG186</f>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+IF(ENERO!S187=0,"",ENERO!S187)</f>
        <v>3300200</v>
      </c>
      <c r="T187" s="238" t="str">
        <f>+IF(ENERO!T187=0,"",ENERO!T187)</f>
        <v>Destinatarios de otras transferencias</v>
      </c>
      <c r="U187" s="31">
        <f t="shared" ref="U187:AM187" si="165">SUM(U188:U190)</f>
        <v>1500000</v>
      </c>
      <c r="V187" s="17">
        <f t="shared" si="165"/>
        <v>0</v>
      </c>
      <c r="W187" s="17">
        <f t="shared" si="165"/>
        <v>0</v>
      </c>
      <c r="X187" s="18">
        <f t="shared" si="165"/>
        <v>1500000</v>
      </c>
      <c r="Y187" s="21">
        <f t="shared" si="165"/>
        <v>0</v>
      </c>
      <c r="Z187" s="169">
        <f t="shared" si="165"/>
        <v>0</v>
      </c>
      <c r="AA187" s="20">
        <f t="shared" si="165"/>
        <v>0</v>
      </c>
      <c r="AB187" s="21">
        <f t="shared" si="165"/>
        <v>0</v>
      </c>
      <c r="AC187" s="169">
        <f t="shared" si="165"/>
        <v>0</v>
      </c>
      <c r="AD187" s="18">
        <f t="shared" si="165"/>
        <v>0</v>
      </c>
      <c r="AE187" s="21">
        <f t="shared" si="165"/>
        <v>0</v>
      </c>
      <c r="AF187" s="169">
        <f t="shared" si="165"/>
        <v>0</v>
      </c>
      <c r="AG187" s="18">
        <f t="shared" si="165"/>
        <v>0</v>
      </c>
      <c r="AH187" s="21">
        <f t="shared" si="165"/>
        <v>1500000</v>
      </c>
      <c r="AI187" s="17">
        <f t="shared" si="165"/>
        <v>1500000</v>
      </c>
      <c r="AJ187" s="18">
        <f t="shared" si="165"/>
        <v>1500000</v>
      </c>
      <c r="AK187" s="10"/>
      <c r="AL187" s="31">
        <f t="shared" si="165"/>
        <v>0</v>
      </c>
      <c r="AM187" s="28">
        <f t="shared" si="165"/>
        <v>0</v>
      </c>
      <c r="AN187" s="10"/>
    </row>
    <row r="188" spans="1:40" s="467" customFormat="1" x14ac:dyDescent="0.2">
      <c r="A188" s="623"/>
      <c r="B188" s="554"/>
      <c r="N188" s="10"/>
      <c r="P188" s="10"/>
      <c r="Q188" s="10"/>
      <c r="R188" s="10"/>
      <c r="S188" s="156" t="str">
        <f>+IF(ENERO!S188=0,"",ENERO!S188)</f>
        <v>3300200-1</v>
      </c>
      <c r="T188" s="238" t="str">
        <f>+IF(ENERO!T188=0,"",ENERO!T188)</f>
        <v>COHAN</v>
      </c>
      <c r="U188" s="31">
        <f>+ENERO!U188</f>
        <v>1500000</v>
      </c>
      <c r="V188" s="17">
        <f>ENERO!V188+FEBRERO!AL188</f>
        <v>0</v>
      </c>
      <c r="W188" s="17">
        <f>ENERO!W188+FEBRERO!AM188</f>
        <v>0</v>
      </c>
      <c r="X188" s="18">
        <f>SUM(U188:W188)</f>
        <v>1500000</v>
      </c>
      <c r="Y188" s="21">
        <f>ENERO!AA188</f>
        <v>0</v>
      </c>
      <c r="Z188" s="457">
        <v>0</v>
      </c>
      <c r="AA188" s="20">
        <f>SUM(Y188:Z188)</f>
        <v>0</v>
      </c>
      <c r="AB188" s="21">
        <f>ENERO!AD188</f>
        <v>0</v>
      </c>
      <c r="AC188" s="457">
        <v>0</v>
      </c>
      <c r="AD188" s="18">
        <f>SUM(AB188:AC188)</f>
        <v>0</v>
      </c>
      <c r="AE188" s="21">
        <f>ENERO!AG188</f>
        <v>0</v>
      </c>
      <c r="AF188" s="457">
        <v>0</v>
      </c>
      <c r="AG188" s="18">
        <f>SUM(AE188:AF188)</f>
        <v>0</v>
      </c>
      <c r="AH188" s="21">
        <f>X188-AA188</f>
        <v>1500000</v>
      </c>
      <c r="AI188" s="17">
        <f>X188-AD188</f>
        <v>1500000</v>
      </c>
      <c r="AJ188" s="18">
        <f>X188-AG188</f>
        <v>1500000</v>
      </c>
      <c r="AK188" s="10"/>
      <c r="AL188" s="455">
        <v>0</v>
      </c>
      <c r="AM188" s="458">
        <v>0</v>
      </c>
      <c r="AN188" s="10"/>
    </row>
    <row r="189" spans="1:40" s="467" customFormat="1" x14ac:dyDescent="0.2">
      <c r="A189" s="623"/>
      <c r="B189" s="554"/>
      <c r="N189" s="10"/>
      <c r="P189" s="10"/>
      <c r="Q189" s="10"/>
      <c r="R189" s="10"/>
      <c r="S189" s="156" t="str">
        <f>+IF(ENERO!S189=0,"",ENERO!S189)</f>
        <v>3300200-2</v>
      </c>
      <c r="T189" s="238" t="str">
        <f>+IF(ENERO!T189=0,"",ENERO!T189)</f>
        <v>AESA</v>
      </c>
      <c r="U189" s="31">
        <f>+ENERO!U189</f>
        <v>0</v>
      </c>
      <c r="V189" s="17">
        <f>ENERO!V189+FEBRERO!AL189</f>
        <v>0</v>
      </c>
      <c r="W189" s="17">
        <f>ENERO!W189+FEBRERO!AM189</f>
        <v>0</v>
      </c>
      <c r="X189" s="18">
        <f>SUM(U189:W189)</f>
        <v>0</v>
      </c>
      <c r="Y189" s="21">
        <f>ENERO!AA189</f>
        <v>0</v>
      </c>
      <c r="Z189" s="457">
        <v>0</v>
      </c>
      <c r="AA189" s="20">
        <f>SUM(Y189:Z189)</f>
        <v>0</v>
      </c>
      <c r="AB189" s="21">
        <f>ENERO!AD189</f>
        <v>0</v>
      </c>
      <c r="AC189" s="457">
        <v>0</v>
      </c>
      <c r="AD189" s="18">
        <f>SUM(AB189:AC189)</f>
        <v>0</v>
      </c>
      <c r="AE189" s="21">
        <f>ENERO!AG189</f>
        <v>0</v>
      </c>
      <c r="AF189" s="457">
        <v>0</v>
      </c>
      <c r="AG189" s="18">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+IF(ENERO!S190=0,"",ENERO!S190)</f>
        <v>3300200-3</v>
      </c>
      <c r="T190" s="238" t="str">
        <f>+IF(ENERO!T190=0,"",ENERO!T190)</f>
        <v xml:space="preserve">OTRAS </v>
      </c>
      <c r="U190" s="31">
        <f>+ENERO!U190</f>
        <v>0</v>
      </c>
      <c r="V190" s="17">
        <f>ENERO!V190+FEBRERO!AL190</f>
        <v>0</v>
      </c>
      <c r="W190" s="17">
        <f>ENERO!W190+FEBRERO!AM190</f>
        <v>0</v>
      </c>
      <c r="X190" s="18">
        <f>SUM(U190:W190)</f>
        <v>0</v>
      </c>
      <c r="Y190" s="21">
        <f>ENERO!AA190</f>
        <v>0</v>
      </c>
      <c r="Z190" s="457">
        <v>0</v>
      </c>
      <c r="AA190" s="20">
        <f>SUM(Y190:Z190)</f>
        <v>0</v>
      </c>
      <c r="AB190" s="21">
        <f>ENERO!AD190</f>
        <v>0</v>
      </c>
      <c r="AC190" s="457">
        <v>0</v>
      </c>
      <c r="AD190" s="18">
        <f>SUM(AB190:AC190)</f>
        <v>0</v>
      </c>
      <c r="AE190" s="21">
        <f>ENERO!AG190</f>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+IF(ENERO!S191=0,"",ENERO!S191)</f>
        <v>3399999</v>
      </c>
      <c r="T191" s="238" t="str">
        <f>+IF(ENERO!T191=0,"",ENERO!T191)</f>
        <v>Vigencias Anteriores</v>
      </c>
      <c r="U191" s="31">
        <f>+ENERO!U191</f>
        <v>0</v>
      </c>
      <c r="V191" s="17">
        <f>ENERO!V191+FEBRERO!AL191</f>
        <v>476550</v>
      </c>
      <c r="W191" s="17">
        <f>ENERO!W191+FEBRERO!AM191</f>
        <v>0</v>
      </c>
      <c r="X191" s="18">
        <f>SUM(U191:W191)</f>
        <v>476550</v>
      </c>
      <c r="Y191" s="21">
        <f>ENERO!AA191</f>
        <v>476550</v>
      </c>
      <c r="Z191" s="457">
        <v>0</v>
      </c>
      <c r="AA191" s="20">
        <f>SUM(Y191:Z191)</f>
        <v>476550</v>
      </c>
      <c r="AB191" s="21">
        <f>ENERO!AD191</f>
        <v>476550</v>
      </c>
      <c r="AC191" s="457">
        <v>0</v>
      </c>
      <c r="AD191" s="18">
        <f>SUM(AB191:AC191)</f>
        <v>476550</v>
      </c>
      <c r="AE191" s="21">
        <f>ENERO!AG191</f>
        <v>0</v>
      </c>
      <c r="AF191" s="457">
        <v>0</v>
      </c>
      <c r="AG191" s="18">
        <f>SUM(AE191:AF191)</f>
        <v>0</v>
      </c>
      <c r="AH191" s="21">
        <f>X191-AA191</f>
        <v>0</v>
      </c>
      <c r="AI191" s="17">
        <f>X191-AD191</f>
        <v>0</v>
      </c>
      <c r="AJ191" s="18">
        <f>X191-AG191</f>
        <v>476550</v>
      </c>
      <c r="AK191" s="10"/>
      <c r="AL191" s="455">
        <v>476550</v>
      </c>
      <c r="AM191" s="458">
        <v>0</v>
      </c>
      <c r="AN191" s="10"/>
    </row>
    <row r="192" spans="1:40" s="467" customFormat="1" ht="15.75" x14ac:dyDescent="0.2">
      <c r="A192" s="623"/>
      <c r="B192" s="554"/>
      <c r="N192" s="10"/>
      <c r="P192" s="10"/>
      <c r="Q192" s="10"/>
      <c r="R192" s="10"/>
      <c r="S192" s="448" t="str">
        <f>+IF(ENERO!S192=0,"",ENERO!S192)</f>
        <v/>
      </c>
      <c r="T192" s="649" t="str">
        <f>+IF(ENERO!T192=0,"",ENERO!T192)</f>
        <v/>
      </c>
      <c r="U192" s="450"/>
      <c r="V192" s="193"/>
      <c r="W192" s="193"/>
      <c r="X192" s="207"/>
      <c r="Y192" s="450"/>
      <c r="Z192" s="193"/>
      <c r="AA192" s="193"/>
      <c r="AB192" s="450"/>
      <c r="AC192" s="193"/>
      <c r="AD192" s="207"/>
      <c r="AE192" s="450"/>
      <c r="AF192" s="193"/>
      <c r="AG192" s="207"/>
      <c r="AH192" s="450"/>
      <c r="AI192" s="193"/>
      <c r="AJ192" s="207"/>
      <c r="AK192" s="10"/>
      <c r="AL192" s="213"/>
      <c r="AM192" s="214"/>
      <c r="AN192" s="10"/>
    </row>
    <row r="193" spans="1:40" s="467" customFormat="1" ht="15.75" x14ac:dyDescent="0.2">
      <c r="A193" s="623"/>
      <c r="B193" s="554"/>
      <c r="N193" s="10"/>
      <c r="P193" s="10"/>
      <c r="Q193" s="10"/>
      <c r="R193" s="10"/>
      <c r="S193" s="469">
        <f>+IF(ENERO!S193=0,"",ENERO!S193)</f>
        <v>4000000</v>
      </c>
      <c r="T193" s="680" t="str">
        <f>+IF(ENERO!T193=0,"",ENERO!T193)</f>
        <v>GASTOS  DE PRESTACION DE SERVICIOS</v>
      </c>
      <c r="U193" s="464">
        <f t="shared" ref="U193:AJ193" si="166">U194</f>
        <v>355892858</v>
      </c>
      <c r="V193" s="590">
        <f t="shared" si="166"/>
        <v>15217291</v>
      </c>
      <c r="W193" s="590">
        <f t="shared" si="166"/>
        <v>0</v>
      </c>
      <c r="X193" s="465">
        <f t="shared" si="166"/>
        <v>371110149</v>
      </c>
      <c r="Y193" s="464">
        <f t="shared" si="166"/>
        <v>79674748</v>
      </c>
      <c r="Z193" s="590">
        <f t="shared" si="166"/>
        <v>22972181</v>
      </c>
      <c r="AA193" s="591">
        <f t="shared" si="166"/>
        <v>102646929</v>
      </c>
      <c r="AB193" s="464">
        <f t="shared" si="166"/>
        <v>79674748</v>
      </c>
      <c r="AC193" s="590">
        <f t="shared" si="166"/>
        <v>22972181</v>
      </c>
      <c r="AD193" s="465">
        <f t="shared" si="166"/>
        <v>102646929</v>
      </c>
      <c r="AE193" s="464">
        <f t="shared" si="166"/>
        <v>1063000</v>
      </c>
      <c r="AF193" s="590">
        <f t="shared" si="166"/>
        <v>31839718</v>
      </c>
      <c r="AG193" s="465">
        <f t="shared" si="166"/>
        <v>32902718</v>
      </c>
      <c r="AH193" s="464">
        <f t="shared" si="166"/>
        <v>268463220</v>
      </c>
      <c r="AI193" s="590">
        <f t="shared" si="166"/>
        <v>268463220</v>
      </c>
      <c r="AJ193" s="465">
        <f t="shared" si="166"/>
        <v>338207431</v>
      </c>
      <c r="AK193" s="10"/>
      <c r="AL193" s="151">
        <f>AL194</f>
        <v>15217291</v>
      </c>
      <c r="AM193" s="153">
        <f>AM194</f>
        <v>0</v>
      </c>
      <c r="AN193" s="10"/>
    </row>
    <row r="194" spans="1:40" s="467" customFormat="1" ht="15" x14ac:dyDescent="0.2">
      <c r="A194" s="623"/>
      <c r="B194" s="554"/>
      <c r="N194" s="10"/>
      <c r="P194" s="10"/>
      <c r="Q194" s="10"/>
      <c r="R194" s="10"/>
      <c r="S194" s="34">
        <f>+IF(ENERO!S194=0,"",ENERO!S194)</f>
        <v>4100000</v>
      </c>
      <c r="T194" s="237" t="str">
        <f>+IF(ENERO!T194=0,"",ENERO!T194)</f>
        <v>Insumos y Suministros Hospitalarios</v>
      </c>
      <c r="U194" s="151">
        <f t="shared" ref="U194:AJ194" si="167">U195+U203+U205</f>
        <v>355892858</v>
      </c>
      <c r="V194" s="144">
        <f t="shared" si="167"/>
        <v>15217291</v>
      </c>
      <c r="W194" s="144">
        <f t="shared" si="167"/>
        <v>0</v>
      </c>
      <c r="X194" s="153">
        <f t="shared" si="167"/>
        <v>371110149</v>
      </c>
      <c r="Y194" s="151">
        <f t="shared" si="167"/>
        <v>79674748</v>
      </c>
      <c r="Z194" s="144">
        <f t="shared" si="167"/>
        <v>22972181</v>
      </c>
      <c r="AA194" s="152">
        <f t="shared" si="167"/>
        <v>102646929</v>
      </c>
      <c r="AB194" s="151">
        <f t="shared" si="167"/>
        <v>79674748</v>
      </c>
      <c r="AC194" s="144">
        <f t="shared" si="167"/>
        <v>22972181</v>
      </c>
      <c r="AD194" s="153">
        <f t="shared" si="167"/>
        <v>102646929</v>
      </c>
      <c r="AE194" s="151">
        <f t="shared" si="167"/>
        <v>1063000</v>
      </c>
      <c r="AF194" s="144">
        <f t="shared" si="167"/>
        <v>31839718</v>
      </c>
      <c r="AG194" s="153">
        <f t="shared" si="167"/>
        <v>32902718</v>
      </c>
      <c r="AH194" s="151">
        <f t="shared" si="167"/>
        <v>268463220</v>
      </c>
      <c r="AI194" s="144">
        <f t="shared" si="167"/>
        <v>268463220</v>
      </c>
      <c r="AJ194" s="153">
        <f t="shared" si="167"/>
        <v>338207431</v>
      </c>
      <c r="AK194" s="12"/>
      <c r="AL194" s="151">
        <f>AL195+AL203+AL205</f>
        <v>15217291</v>
      </c>
      <c r="AM194" s="153">
        <f>AM195+AM203+AM205</f>
        <v>0</v>
      </c>
      <c r="AN194" s="10"/>
    </row>
    <row r="195" spans="1:40" s="467" customFormat="1" x14ac:dyDescent="0.2">
      <c r="A195" s="623"/>
      <c r="B195" s="554"/>
      <c r="N195" s="10"/>
      <c r="P195" s="10"/>
      <c r="Q195" s="10"/>
      <c r="R195" s="10"/>
      <c r="S195" s="155">
        <f>+IF(ENERO!S195=0,"",ENERO!S195)</f>
        <v>4100100</v>
      </c>
      <c r="T195" s="238" t="str">
        <f>+IF(ENERO!T195=0,"",ENERO!T195)</f>
        <v>Compra de Bienes para la Prestacion de servicios</v>
      </c>
      <c r="U195" s="31">
        <f t="shared" ref="U195:AJ195" si="168">SUM(U196:U202)</f>
        <v>282124359</v>
      </c>
      <c r="V195" s="17">
        <f t="shared" si="168"/>
        <v>0</v>
      </c>
      <c r="W195" s="17">
        <f t="shared" si="168"/>
        <v>0</v>
      </c>
      <c r="X195" s="18">
        <f t="shared" si="168"/>
        <v>282124359</v>
      </c>
      <c r="Y195" s="21">
        <f t="shared" si="168"/>
        <v>17864160</v>
      </c>
      <c r="Z195" s="169">
        <f t="shared" si="168"/>
        <v>20847430</v>
      </c>
      <c r="AA195" s="20">
        <f t="shared" si="168"/>
        <v>38711590</v>
      </c>
      <c r="AB195" s="21">
        <f t="shared" si="168"/>
        <v>17864160</v>
      </c>
      <c r="AC195" s="169">
        <f t="shared" si="168"/>
        <v>20847430</v>
      </c>
      <c r="AD195" s="18">
        <f t="shared" si="168"/>
        <v>38711590</v>
      </c>
      <c r="AE195" s="21">
        <f t="shared" si="168"/>
        <v>1063000</v>
      </c>
      <c r="AF195" s="169">
        <f t="shared" si="168"/>
        <v>0</v>
      </c>
      <c r="AG195" s="18">
        <f t="shared" si="168"/>
        <v>1063000</v>
      </c>
      <c r="AH195" s="21">
        <f t="shared" si="168"/>
        <v>243412769</v>
      </c>
      <c r="AI195" s="17">
        <f t="shared" si="168"/>
        <v>243412769</v>
      </c>
      <c r="AJ195" s="18">
        <f t="shared" si="168"/>
        <v>281061359</v>
      </c>
      <c r="AK195" s="10"/>
      <c r="AL195" s="31">
        <f>SUM(AL196:AL202)</f>
        <v>0</v>
      </c>
      <c r="AM195" s="28">
        <f>SUM(AM196:AM202)</f>
        <v>0</v>
      </c>
      <c r="AN195" s="10"/>
    </row>
    <row r="196" spans="1:40" s="467" customFormat="1" x14ac:dyDescent="0.2">
      <c r="A196" s="623"/>
      <c r="B196" s="554"/>
      <c r="N196" s="10"/>
      <c r="P196" s="10"/>
      <c r="Q196" s="10"/>
      <c r="R196" s="10"/>
      <c r="S196" s="156" t="str">
        <f>+IF(ENERO!S196=0,"",ENERO!S196)</f>
        <v>4100100-1</v>
      </c>
      <c r="T196" s="251" t="str">
        <f>+IF(ENERO!T196=0,"",ENERO!T196)</f>
        <v>Productos Farmaceuticos</v>
      </c>
      <c r="U196" s="31">
        <f>+ENERO!U196</f>
        <v>185254982</v>
      </c>
      <c r="V196" s="17">
        <f>ENERO!V196+FEBRERO!AL196</f>
        <v>0</v>
      </c>
      <c r="W196" s="17">
        <f>ENERO!W196+FEBRERO!AM196</f>
        <v>0</v>
      </c>
      <c r="X196" s="18">
        <f t="shared" ref="X196:X202" si="169">SUM(U196:W196)</f>
        <v>185254982</v>
      </c>
      <c r="Y196" s="21">
        <f>ENERO!AA196</f>
        <v>13797645</v>
      </c>
      <c r="Z196" s="457">
        <v>12142363</v>
      </c>
      <c r="AA196" s="20">
        <f t="shared" ref="AA196:AA202" si="170">SUM(Y196:Z196)</f>
        <v>25940008</v>
      </c>
      <c r="AB196" s="21">
        <f>ENERO!AD196</f>
        <v>13797645</v>
      </c>
      <c r="AC196" s="457">
        <v>12142363</v>
      </c>
      <c r="AD196" s="18">
        <f t="shared" ref="AD196:AD202" si="171">SUM(AB196:AC196)</f>
        <v>25940008</v>
      </c>
      <c r="AE196" s="21">
        <f>ENERO!AG196</f>
        <v>463000</v>
      </c>
      <c r="AF196" s="457">
        <v>0</v>
      </c>
      <c r="AG196" s="18">
        <f t="shared" ref="AG196:AG202" si="172">SUM(AE196:AF196)</f>
        <v>463000</v>
      </c>
      <c r="AH196" s="21">
        <f t="shared" ref="AH196:AH202" si="173">X196-AA196</f>
        <v>159314974</v>
      </c>
      <c r="AI196" s="17">
        <f t="shared" ref="AI196:AI202" si="174">X196-AD196</f>
        <v>159314974</v>
      </c>
      <c r="AJ196" s="18">
        <f t="shared" ref="AJ196:AJ202" si="175">X196-AG196</f>
        <v>184791982</v>
      </c>
      <c r="AK196" s="10"/>
      <c r="AL196" s="455">
        <v>0</v>
      </c>
      <c r="AM196" s="458">
        <v>0</v>
      </c>
      <c r="AN196" s="10"/>
    </row>
    <row r="197" spans="1:40" s="467" customFormat="1" x14ac:dyDescent="0.2">
      <c r="A197" s="623"/>
      <c r="B197" s="554"/>
      <c r="N197" s="10"/>
      <c r="P197" s="10"/>
      <c r="Q197" s="10"/>
      <c r="R197" s="10"/>
      <c r="S197" s="156" t="str">
        <f>+IF(ENERO!S197=0,"",ENERO!S197)</f>
        <v>4100100-2</v>
      </c>
      <c r="T197" s="251" t="str">
        <f>+IF(ENERO!T197=0,"",ENERO!T197)</f>
        <v>Material Médico Quirúrgico</v>
      </c>
      <c r="U197" s="31">
        <f>+ENERO!U197</f>
        <v>45805235</v>
      </c>
      <c r="V197" s="17">
        <f>ENERO!V197+FEBRERO!AL197</f>
        <v>0</v>
      </c>
      <c r="W197" s="17">
        <f>ENERO!W197+FEBRERO!AM197</f>
        <v>0</v>
      </c>
      <c r="X197" s="18">
        <f t="shared" si="169"/>
        <v>45805235</v>
      </c>
      <c r="Y197" s="21">
        <f>ENERO!AA197</f>
        <v>2867710</v>
      </c>
      <c r="Z197" s="457">
        <v>4190243</v>
      </c>
      <c r="AA197" s="20">
        <f t="shared" si="170"/>
        <v>7057953</v>
      </c>
      <c r="AB197" s="21">
        <f>ENERO!AD197</f>
        <v>2867710</v>
      </c>
      <c r="AC197" s="457">
        <v>4190243</v>
      </c>
      <c r="AD197" s="18">
        <f t="shared" si="171"/>
        <v>7057953</v>
      </c>
      <c r="AE197" s="21">
        <f>ENERO!AG197</f>
        <v>0</v>
      </c>
      <c r="AF197" s="457">
        <v>0</v>
      </c>
      <c r="AG197" s="18">
        <f t="shared" si="172"/>
        <v>0</v>
      </c>
      <c r="AH197" s="21">
        <f t="shared" si="173"/>
        <v>38747282</v>
      </c>
      <c r="AI197" s="17">
        <f t="shared" si="174"/>
        <v>38747282</v>
      </c>
      <c r="AJ197" s="18">
        <f t="shared" si="175"/>
        <v>45805235</v>
      </c>
      <c r="AK197" s="10"/>
      <c r="AL197" s="455">
        <v>0</v>
      </c>
      <c r="AM197" s="458">
        <v>0</v>
      </c>
      <c r="AN197" s="10"/>
    </row>
    <row r="198" spans="1:40" s="467" customFormat="1" x14ac:dyDescent="0.2">
      <c r="A198" s="623"/>
      <c r="B198" s="554"/>
      <c r="N198" s="10"/>
      <c r="P198" s="10"/>
      <c r="Q198" s="10"/>
      <c r="R198" s="10"/>
      <c r="S198" s="156" t="str">
        <f>+IF(ENERO!S198=0,"",ENERO!S198)</f>
        <v>4100100-3</v>
      </c>
      <c r="T198" s="251" t="str">
        <f>+IF(ENERO!T198=0,"",ENERO!T198)</f>
        <v>Material de Laboratorio</v>
      </c>
      <c r="U198" s="31">
        <f>+ENERO!U198</f>
        <v>28507645</v>
      </c>
      <c r="V198" s="17">
        <f>ENERO!V198+FEBRERO!AL198</f>
        <v>0</v>
      </c>
      <c r="W198" s="17">
        <f>ENERO!W198+FEBRERO!AM198</f>
        <v>0</v>
      </c>
      <c r="X198" s="18">
        <f t="shared" si="169"/>
        <v>28507645</v>
      </c>
      <c r="Y198" s="21">
        <f>ENERO!AA198</f>
        <v>930000</v>
      </c>
      <c r="Z198" s="457">
        <v>3279424</v>
      </c>
      <c r="AA198" s="20">
        <f t="shared" si="170"/>
        <v>4209424</v>
      </c>
      <c r="AB198" s="21">
        <f>ENERO!AD198</f>
        <v>930000</v>
      </c>
      <c r="AC198" s="457">
        <v>3279424</v>
      </c>
      <c r="AD198" s="18">
        <f t="shared" si="171"/>
        <v>4209424</v>
      </c>
      <c r="AE198" s="21">
        <f>ENERO!AG198</f>
        <v>600000</v>
      </c>
      <c r="AF198" s="457">
        <v>0</v>
      </c>
      <c r="AG198" s="18">
        <f t="shared" si="172"/>
        <v>600000</v>
      </c>
      <c r="AH198" s="21">
        <f t="shared" si="173"/>
        <v>24298221</v>
      </c>
      <c r="AI198" s="17">
        <f t="shared" si="174"/>
        <v>24298221</v>
      </c>
      <c r="AJ198" s="18">
        <f t="shared" si="175"/>
        <v>27907645</v>
      </c>
      <c r="AK198" s="10"/>
      <c r="AL198" s="455">
        <v>0</v>
      </c>
      <c r="AM198" s="458">
        <v>0</v>
      </c>
      <c r="AN198" s="10"/>
    </row>
    <row r="199" spans="1:40" s="467" customFormat="1" x14ac:dyDescent="0.2">
      <c r="A199" s="623"/>
      <c r="B199" s="554"/>
      <c r="N199" s="10"/>
      <c r="P199" s="10"/>
      <c r="Q199" s="10"/>
      <c r="R199" s="10"/>
      <c r="S199" s="156" t="str">
        <f>+IF(ENERO!S199=0,"",ENERO!S199)</f>
        <v>4100100-4</v>
      </c>
      <c r="T199" s="251" t="str">
        <f>+IF(ENERO!T199=0,"",ENERO!T199)</f>
        <v>Material para Odontologia</v>
      </c>
      <c r="U199" s="31">
        <f>+ENERO!U199</f>
        <v>13598841</v>
      </c>
      <c r="V199" s="17">
        <f>ENERO!V199+FEBRERO!AL199</f>
        <v>0</v>
      </c>
      <c r="W199" s="17">
        <f>ENERO!W199+FEBRERO!AM199</f>
        <v>0</v>
      </c>
      <c r="X199" s="18">
        <f t="shared" si="169"/>
        <v>13598841</v>
      </c>
      <c r="Y199" s="21">
        <f>ENERO!AA199</f>
        <v>30000</v>
      </c>
      <c r="Z199" s="457">
        <v>1235400</v>
      </c>
      <c r="AA199" s="20">
        <f t="shared" si="170"/>
        <v>1265400</v>
      </c>
      <c r="AB199" s="21">
        <f>ENERO!AD199</f>
        <v>30000</v>
      </c>
      <c r="AC199" s="457">
        <v>1235400</v>
      </c>
      <c r="AD199" s="18">
        <f t="shared" si="171"/>
        <v>1265400</v>
      </c>
      <c r="AE199" s="21">
        <f>ENERO!AG199</f>
        <v>0</v>
      </c>
      <c r="AF199" s="457">
        <v>0</v>
      </c>
      <c r="AG199" s="18">
        <f t="shared" si="172"/>
        <v>0</v>
      </c>
      <c r="AH199" s="21">
        <f t="shared" si="173"/>
        <v>12333441</v>
      </c>
      <c r="AI199" s="17">
        <f t="shared" si="174"/>
        <v>12333441</v>
      </c>
      <c r="AJ199" s="18">
        <f t="shared" si="175"/>
        <v>13598841</v>
      </c>
      <c r="AK199" s="10"/>
      <c r="AL199" s="455">
        <v>0</v>
      </c>
      <c r="AM199" s="458">
        <v>0</v>
      </c>
      <c r="AN199" s="10"/>
    </row>
    <row r="200" spans="1:40" s="467" customFormat="1" x14ac:dyDescent="0.2">
      <c r="A200" s="623"/>
      <c r="B200" s="554"/>
      <c r="N200" s="10"/>
      <c r="P200" s="10"/>
      <c r="Q200" s="10"/>
      <c r="R200" s="10"/>
      <c r="S200" s="156" t="str">
        <f>+IF(ENERO!S200=0,"",ENERO!S200)</f>
        <v>4100100-5</v>
      </c>
      <c r="T200" s="251" t="str">
        <f>+IF(ENERO!T200=0,"",ENERO!T200)</f>
        <v>Material para Rayos X</v>
      </c>
      <c r="U200" s="31">
        <f>+ENERO!U200</f>
        <v>8957656</v>
      </c>
      <c r="V200" s="17">
        <f>ENERO!V200+FEBRERO!AL200</f>
        <v>0</v>
      </c>
      <c r="W200" s="17">
        <f>ENERO!W200+FEBRERO!AM200</f>
        <v>0</v>
      </c>
      <c r="X200" s="18">
        <f t="shared" si="169"/>
        <v>8957656</v>
      </c>
      <c r="Y200" s="21">
        <f>ENERO!AA200</f>
        <v>238805</v>
      </c>
      <c r="Z200" s="457">
        <v>0</v>
      </c>
      <c r="AA200" s="20">
        <f t="shared" si="170"/>
        <v>238805</v>
      </c>
      <c r="AB200" s="21">
        <f>ENERO!AD200</f>
        <v>238805</v>
      </c>
      <c r="AC200" s="457">
        <v>0</v>
      </c>
      <c r="AD200" s="18">
        <f t="shared" si="171"/>
        <v>238805</v>
      </c>
      <c r="AE200" s="21">
        <f>ENERO!AG200</f>
        <v>0</v>
      </c>
      <c r="AF200" s="457">
        <v>0</v>
      </c>
      <c r="AG200" s="18">
        <f t="shared" si="172"/>
        <v>0</v>
      </c>
      <c r="AH200" s="21">
        <f t="shared" si="173"/>
        <v>8718851</v>
      </c>
      <c r="AI200" s="17">
        <f t="shared" si="174"/>
        <v>8718851</v>
      </c>
      <c r="AJ200" s="18">
        <f t="shared" si="175"/>
        <v>8957656</v>
      </c>
      <c r="AK200" s="10"/>
      <c r="AL200" s="455">
        <v>0</v>
      </c>
      <c r="AM200" s="458">
        <v>0</v>
      </c>
      <c r="AN200" s="10"/>
    </row>
    <row r="201" spans="1:40" s="467" customFormat="1" x14ac:dyDescent="0.2">
      <c r="A201" s="623"/>
      <c r="B201" s="554"/>
      <c r="N201" s="10"/>
      <c r="P201" s="10"/>
      <c r="Q201" s="10"/>
      <c r="R201" s="10"/>
      <c r="S201" s="156" t="str">
        <f>+IF(ENERO!S201=0,"",ENERO!S201)</f>
        <v/>
      </c>
      <c r="T201" s="251" t="str">
        <f>+IF(ENERO!T201=0,"",ENERO!T201)</f>
        <v/>
      </c>
      <c r="U201" s="31">
        <f>+ENERO!U201</f>
        <v>0</v>
      </c>
      <c r="V201" s="17">
        <f>ENERO!V201+FEBRERO!AL201</f>
        <v>0</v>
      </c>
      <c r="W201" s="17">
        <f>ENERO!W201+FEBRERO!AM201</f>
        <v>0</v>
      </c>
      <c r="X201" s="18">
        <f t="shared" si="169"/>
        <v>0</v>
      </c>
      <c r="Y201" s="21">
        <f>ENERO!AA201</f>
        <v>0</v>
      </c>
      <c r="Z201" s="457">
        <v>0</v>
      </c>
      <c r="AA201" s="20">
        <f t="shared" si="170"/>
        <v>0</v>
      </c>
      <c r="AB201" s="21">
        <f>ENERO!AD201</f>
        <v>0</v>
      </c>
      <c r="AC201" s="457">
        <v>0</v>
      </c>
      <c r="AD201" s="18">
        <f t="shared" si="171"/>
        <v>0</v>
      </c>
      <c r="AE201" s="21">
        <f>ENERO!AG201</f>
        <v>0</v>
      </c>
      <c r="AF201" s="457">
        <v>0</v>
      </c>
      <c r="AG201" s="18">
        <f t="shared" si="172"/>
        <v>0</v>
      </c>
      <c r="AH201" s="21">
        <f t="shared" si="173"/>
        <v>0</v>
      </c>
      <c r="AI201" s="17">
        <f t="shared" si="174"/>
        <v>0</v>
      </c>
      <c r="AJ201" s="18">
        <f t="shared" si="175"/>
        <v>0</v>
      </c>
      <c r="AK201" s="10"/>
      <c r="AL201" s="455">
        <v>0</v>
      </c>
      <c r="AM201" s="458">
        <v>0</v>
      </c>
      <c r="AN201" s="10"/>
    </row>
    <row r="202" spans="1:40" s="467" customFormat="1" x14ac:dyDescent="0.2">
      <c r="A202" s="623"/>
      <c r="B202" s="554"/>
      <c r="N202" s="10"/>
      <c r="P202" s="10"/>
      <c r="Q202" s="10"/>
      <c r="R202" s="10"/>
      <c r="S202" s="156" t="str">
        <f>+IF(ENERO!S202=0,"",ENERO!S202)</f>
        <v/>
      </c>
      <c r="T202" s="251" t="str">
        <f>+IF(ENERO!T202=0,"",ENERO!T202)</f>
        <v/>
      </c>
      <c r="U202" s="31">
        <f>+ENERO!U202</f>
        <v>0</v>
      </c>
      <c r="V202" s="17">
        <f>ENERO!V202+FEBRERO!AL202</f>
        <v>0</v>
      </c>
      <c r="W202" s="17">
        <f>ENERO!W202+FEBRERO!AM202</f>
        <v>0</v>
      </c>
      <c r="X202" s="18">
        <f t="shared" si="169"/>
        <v>0</v>
      </c>
      <c r="Y202" s="21">
        <f>ENERO!AA202</f>
        <v>0</v>
      </c>
      <c r="Z202" s="457">
        <v>0</v>
      </c>
      <c r="AA202" s="20">
        <f t="shared" si="170"/>
        <v>0</v>
      </c>
      <c r="AB202" s="21">
        <f>ENERO!AD202</f>
        <v>0</v>
      </c>
      <c r="AC202" s="457">
        <v>0</v>
      </c>
      <c r="AD202" s="18">
        <f t="shared" si="171"/>
        <v>0</v>
      </c>
      <c r="AE202" s="21">
        <f>ENERO!AG202</f>
        <v>0</v>
      </c>
      <c r="AF202" s="457">
        <v>0</v>
      </c>
      <c r="AG202" s="18">
        <f t="shared" si="172"/>
        <v>0</v>
      </c>
      <c r="AH202" s="21">
        <f t="shared" si="173"/>
        <v>0</v>
      </c>
      <c r="AI202" s="17">
        <f t="shared" si="174"/>
        <v>0</v>
      </c>
      <c r="AJ202" s="18">
        <f t="shared" si="175"/>
        <v>0</v>
      </c>
      <c r="AK202" s="10"/>
      <c r="AL202" s="455">
        <v>0</v>
      </c>
      <c r="AM202" s="458">
        <v>0</v>
      </c>
      <c r="AN202" s="10"/>
    </row>
    <row r="203" spans="1:40" s="467" customFormat="1" x14ac:dyDescent="0.2">
      <c r="A203" s="623"/>
      <c r="B203" s="554"/>
      <c r="N203" s="10"/>
      <c r="P203" s="10"/>
      <c r="Q203" s="10"/>
      <c r="R203" s="10"/>
      <c r="S203" s="155">
        <f>+IF(ENERO!S203=0,"",ENERO!S203)</f>
        <v>4100200</v>
      </c>
      <c r="T203" s="238" t="str">
        <f>+IF(ENERO!T203=0,"",ENERO!T203)</f>
        <v>Gastos Complementarios e Intermedios</v>
      </c>
      <c r="U203" s="31">
        <f t="shared" ref="U203:AJ203" si="176">U204</f>
        <v>28768499</v>
      </c>
      <c r="V203" s="17">
        <f t="shared" si="176"/>
        <v>0</v>
      </c>
      <c r="W203" s="17">
        <f t="shared" si="176"/>
        <v>0</v>
      </c>
      <c r="X203" s="18">
        <f t="shared" si="176"/>
        <v>28768499</v>
      </c>
      <c r="Y203" s="21">
        <f t="shared" si="176"/>
        <v>1593297</v>
      </c>
      <c r="Z203" s="169">
        <f t="shared" si="176"/>
        <v>2124751</v>
      </c>
      <c r="AA203" s="20">
        <f t="shared" si="176"/>
        <v>3718048</v>
      </c>
      <c r="AB203" s="21">
        <f t="shared" si="176"/>
        <v>1593297</v>
      </c>
      <c r="AC203" s="169">
        <f t="shared" si="176"/>
        <v>2124751</v>
      </c>
      <c r="AD203" s="18">
        <f t="shared" si="176"/>
        <v>3718048</v>
      </c>
      <c r="AE203" s="21">
        <f t="shared" si="176"/>
        <v>0</v>
      </c>
      <c r="AF203" s="169">
        <f t="shared" si="176"/>
        <v>18000</v>
      </c>
      <c r="AG203" s="18">
        <f t="shared" si="176"/>
        <v>18000</v>
      </c>
      <c r="AH203" s="21">
        <f t="shared" si="176"/>
        <v>25050451</v>
      </c>
      <c r="AI203" s="17">
        <f t="shared" si="176"/>
        <v>25050451</v>
      </c>
      <c r="AJ203" s="18">
        <f t="shared" si="176"/>
        <v>28750499</v>
      </c>
      <c r="AK203" s="10"/>
      <c r="AL203" s="31">
        <f>AL204</f>
        <v>0</v>
      </c>
      <c r="AM203" s="28">
        <f>AM204</f>
        <v>0</v>
      </c>
      <c r="AN203" s="10"/>
    </row>
    <row r="204" spans="1:40" s="467" customFormat="1" x14ac:dyDescent="0.2">
      <c r="A204" s="623"/>
      <c r="B204" s="554"/>
      <c r="N204" s="10"/>
      <c r="P204" s="10"/>
      <c r="Q204" s="10"/>
      <c r="R204" s="10"/>
      <c r="S204" s="156" t="str">
        <f>+IF(ENERO!S204=0,"",ENERO!S204)</f>
        <v>4100200-1</v>
      </c>
      <c r="T204" s="251" t="str">
        <f>+IF(ENERO!T204=0,"",ENERO!T204)</f>
        <v>Alimentación</v>
      </c>
      <c r="U204" s="31">
        <f>+ENERO!U204</f>
        <v>28768499</v>
      </c>
      <c r="V204" s="17">
        <f>ENERO!V204+FEBRERO!AL204</f>
        <v>0</v>
      </c>
      <c r="W204" s="17">
        <f>ENERO!W204+FEBRERO!AM204</f>
        <v>0</v>
      </c>
      <c r="X204" s="18">
        <f>SUM(U204:W204)</f>
        <v>28768499</v>
      </c>
      <c r="Y204" s="21">
        <f>ENERO!AA204</f>
        <v>1593297</v>
      </c>
      <c r="Z204" s="457">
        <v>2124751</v>
      </c>
      <c r="AA204" s="20">
        <f>SUM(Y204:Z204)</f>
        <v>3718048</v>
      </c>
      <c r="AB204" s="21">
        <f>ENERO!AD204</f>
        <v>1593297</v>
      </c>
      <c r="AC204" s="457">
        <v>2124751</v>
      </c>
      <c r="AD204" s="18">
        <f>SUM(AB204:AC204)</f>
        <v>3718048</v>
      </c>
      <c r="AE204" s="21">
        <f>ENERO!AG204</f>
        <v>0</v>
      </c>
      <c r="AF204" s="457">
        <v>18000</v>
      </c>
      <c r="AG204" s="18">
        <f>SUM(AE204:AF204)</f>
        <v>18000</v>
      </c>
      <c r="AH204" s="21">
        <f>X204-AA204</f>
        <v>25050451</v>
      </c>
      <c r="AI204" s="17">
        <f>X204-AD204</f>
        <v>25050451</v>
      </c>
      <c r="AJ204" s="18">
        <f>X204-AG204</f>
        <v>28750499</v>
      </c>
      <c r="AK204" s="10"/>
      <c r="AL204" s="455">
        <v>0</v>
      </c>
      <c r="AM204" s="458">
        <v>0</v>
      </c>
      <c r="AN204" s="10"/>
    </row>
    <row r="205" spans="1:40" s="467" customFormat="1" ht="13.5" thickBot="1" x14ac:dyDescent="0.25">
      <c r="A205" s="623"/>
      <c r="B205" s="554"/>
      <c r="N205" s="10"/>
      <c r="P205" s="10"/>
      <c r="Q205" s="10"/>
      <c r="R205" s="10"/>
      <c r="S205" s="624">
        <f>+IF(ENERO!S205=0,"",ENERO!S205)</f>
        <v>4199999</v>
      </c>
      <c r="T205" s="688" t="str">
        <f>+IF(ENERO!T205=0,"",ENERO!T205)</f>
        <v>Vigencias Anteriores</v>
      </c>
      <c r="U205" s="241">
        <f>+ENERO!U205</f>
        <v>45000000</v>
      </c>
      <c r="V205" s="143">
        <f>ENERO!V205+FEBRERO!AL205</f>
        <v>15217291</v>
      </c>
      <c r="W205" s="143">
        <f>ENERO!W205+FEBRERO!AM205</f>
        <v>0</v>
      </c>
      <c r="X205" s="148">
        <f>SUM(U205:W205)</f>
        <v>60217291</v>
      </c>
      <c r="Y205" s="147">
        <f>ENERO!AA205</f>
        <v>60217291</v>
      </c>
      <c r="Z205" s="475">
        <v>0</v>
      </c>
      <c r="AA205" s="149">
        <f>SUM(Y205:Z205)</f>
        <v>60217291</v>
      </c>
      <c r="AB205" s="147">
        <f>ENERO!AD205</f>
        <v>60217291</v>
      </c>
      <c r="AC205" s="475">
        <v>0</v>
      </c>
      <c r="AD205" s="148">
        <f>SUM(AB205:AC205)</f>
        <v>60217291</v>
      </c>
      <c r="AE205" s="147">
        <f>ENERO!AG205</f>
        <v>0</v>
      </c>
      <c r="AF205" s="475">
        <v>31821718</v>
      </c>
      <c r="AG205" s="148">
        <f>SUM(AE205:AF205)</f>
        <v>31821718</v>
      </c>
      <c r="AH205" s="147">
        <f>X205-AA205</f>
        <v>0</v>
      </c>
      <c r="AI205" s="143">
        <f>X205-AD205</f>
        <v>0</v>
      </c>
      <c r="AJ205" s="148">
        <f>X205-AG205</f>
        <v>28395573</v>
      </c>
      <c r="AK205" s="10"/>
      <c r="AL205" s="471">
        <f>1563100+13654191</f>
        <v>15217291</v>
      </c>
      <c r="AM205" s="476"/>
      <c r="AN205" s="10"/>
    </row>
    <row r="206" spans="1:40" s="467" customFormat="1" ht="15.75" x14ac:dyDescent="0.2">
      <c r="A206" s="623"/>
      <c r="B206" s="554"/>
      <c r="N206" s="10"/>
      <c r="P206" s="10"/>
      <c r="Q206" s="10"/>
      <c r="R206" s="10"/>
      <c r="S206" s="627" t="str">
        <f>+IF(ENERO!S206=0,"",ENERO!S206)</f>
        <v/>
      </c>
      <c r="T206" s="628" t="str">
        <f>+IF(ENERO!T206=0,"",ENERO!T206)</f>
        <v/>
      </c>
      <c r="U206" s="208"/>
      <c r="V206" s="208"/>
      <c r="W206" s="208"/>
      <c r="X206" s="208"/>
      <c r="Y206" s="208"/>
      <c r="Z206" s="208"/>
      <c r="AA206" s="208"/>
      <c r="AB206" s="629"/>
      <c r="AC206" s="208"/>
      <c r="AD206" s="209"/>
      <c r="AE206" s="629"/>
      <c r="AF206" s="208"/>
      <c r="AG206" s="209"/>
      <c r="AH206" s="629"/>
      <c r="AI206" s="208"/>
      <c r="AJ206" s="209"/>
      <c r="AK206" s="10"/>
      <c r="AL206" s="630"/>
      <c r="AM206" s="631"/>
      <c r="AN206" s="10"/>
    </row>
    <row r="207" spans="1:40" s="467" customFormat="1" ht="19.5" x14ac:dyDescent="0.2">
      <c r="A207" s="623"/>
      <c r="B207" s="554"/>
      <c r="N207" s="10"/>
      <c r="P207" s="10"/>
      <c r="Q207" s="10"/>
      <c r="R207" s="10"/>
      <c r="S207" s="654" t="str">
        <f>+IF(ENERO!S207=0,"",ENERO!S207)</f>
        <v>B</v>
      </c>
      <c r="T207" s="655" t="str">
        <f>+IF(ENERO!T207=0,"",ENERO!T207)</f>
        <v>GASTOS DE OPERACION COMERCIAL</v>
      </c>
      <c r="U207" s="589">
        <f t="shared" ref="U207:AJ207" si="177">U209</f>
        <v>0</v>
      </c>
      <c r="V207" s="590">
        <f t="shared" si="177"/>
        <v>0</v>
      </c>
      <c r="W207" s="590">
        <f t="shared" si="177"/>
        <v>0</v>
      </c>
      <c r="X207" s="591">
        <f t="shared" si="177"/>
        <v>0</v>
      </c>
      <c r="Y207" s="464">
        <f t="shared" si="177"/>
        <v>0</v>
      </c>
      <c r="Z207" s="590">
        <f t="shared" si="177"/>
        <v>0</v>
      </c>
      <c r="AA207" s="591">
        <f t="shared" si="177"/>
        <v>0</v>
      </c>
      <c r="AB207" s="464">
        <f t="shared" si="177"/>
        <v>0</v>
      </c>
      <c r="AC207" s="590">
        <f t="shared" si="177"/>
        <v>0</v>
      </c>
      <c r="AD207" s="465">
        <f t="shared" si="177"/>
        <v>0</v>
      </c>
      <c r="AE207" s="464">
        <f t="shared" si="177"/>
        <v>0</v>
      </c>
      <c r="AF207" s="590">
        <f t="shared" si="177"/>
        <v>0</v>
      </c>
      <c r="AG207" s="465">
        <f t="shared" si="177"/>
        <v>0</v>
      </c>
      <c r="AH207" s="464">
        <f t="shared" si="177"/>
        <v>0</v>
      </c>
      <c r="AI207" s="590">
        <f t="shared" si="177"/>
        <v>0</v>
      </c>
      <c r="AJ207" s="465">
        <f t="shared" si="177"/>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450"/>
      <c r="AC208" s="193"/>
      <c r="AD208" s="207"/>
      <c r="AE208" s="450"/>
      <c r="AF208" s="193"/>
      <c r="AG208" s="207"/>
      <c r="AH208" s="450"/>
      <c r="AI208" s="193"/>
      <c r="AJ208" s="207"/>
      <c r="AK208" s="10"/>
      <c r="AL208" s="637"/>
      <c r="AM208" s="638"/>
      <c r="AN208" s="10"/>
    </row>
    <row r="209" spans="1:40" s="467" customFormat="1" ht="15.75" x14ac:dyDescent="0.2">
      <c r="A209" s="623"/>
      <c r="B209" s="554"/>
      <c r="N209" s="10"/>
      <c r="P209" s="10"/>
      <c r="Q209" s="10"/>
      <c r="R209" s="10"/>
      <c r="S209" s="469">
        <f>+IF(ENERO!S209=0,"",ENERO!S209)</f>
        <v>5000000</v>
      </c>
      <c r="T209" s="469" t="str">
        <f>+IF(ENERO!T209=0,"",ENERO!T209)</f>
        <v>GASTOS DE COMERCIALIZACION</v>
      </c>
      <c r="U209" s="589">
        <f t="shared" ref="U209:AJ209" si="178">U210</f>
        <v>0</v>
      </c>
      <c r="V209" s="590">
        <f t="shared" si="178"/>
        <v>0</v>
      </c>
      <c r="W209" s="590">
        <f t="shared" si="178"/>
        <v>0</v>
      </c>
      <c r="X209" s="591">
        <f t="shared" si="178"/>
        <v>0</v>
      </c>
      <c r="Y209" s="464">
        <f t="shared" si="178"/>
        <v>0</v>
      </c>
      <c r="Z209" s="590">
        <f t="shared" si="178"/>
        <v>0</v>
      </c>
      <c r="AA209" s="591">
        <f t="shared" si="178"/>
        <v>0</v>
      </c>
      <c r="AB209" s="464">
        <f t="shared" si="178"/>
        <v>0</v>
      </c>
      <c r="AC209" s="590">
        <f t="shared" si="178"/>
        <v>0</v>
      </c>
      <c r="AD209" s="465">
        <f t="shared" si="178"/>
        <v>0</v>
      </c>
      <c r="AE209" s="464">
        <f t="shared" si="178"/>
        <v>0</v>
      </c>
      <c r="AF209" s="590">
        <f t="shared" si="178"/>
        <v>0</v>
      </c>
      <c r="AG209" s="465">
        <f t="shared" si="178"/>
        <v>0</v>
      </c>
      <c r="AH209" s="464">
        <f t="shared" si="178"/>
        <v>0</v>
      </c>
      <c r="AI209" s="590">
        <f t="shared" si="178"/>
        <v>0</v>
      </c>
      <c r="AJ209" s="465">
        <f t="shared" si="178"/>
        <v>0</v>
      </c>
      <c r="AK209" s="10"/>
      <c r="AL209" s="151">
        <f>AL210</f>
        <v>0</v>
      </c>
      <c r="AM209" s="153">
        <f>AM210</f>
        <v>0</v>
      </c>
      <c r="AN209" s="10"/>
    </row>
    <row r="210" spans="1:40" s="467" customFormat="1" ht="15" x14ac:dyDescent="0.2">
      <c r="A210" s="623"/>
      <c r="B210" s="554"/>
      <c r="N210" s="10"/>
      <c r="P210" s="10"/>
      <c r="Q210" s="10"/>
      <c r="R210" s="10"/>
      <c r="S210" s="34">
        <f>+IF(ENERO!S210=0,"",ENERO!S210)</f>
        <v>5100000</v>
      </c>
      <c r="T210" s="158" t="str">
        <f>+IF(ENERO!T210=0,"",ENERO!T210)</f>
        <v>Insumos y Suministros para Venta al Público</v>
      </c>
      <c r="U210" s="157">
        <f t="shared" ref="U210:AJ210" si="179">U211+U218</f>
        <v>0</v>
      </c>
      <c r="V210" s="144">
        <f t="shared" si="179"/>
        <v>0</v>
      </c>
      <c r="W210" s="144">
        <f t="shared" si="179"/>
        <v>0</v>
      </c>
      <c r="X210" s="152">
        <f t="shared" si="179"/>
        <v>0</v>
      </c>
      <c r="Y210" s="151">
        <f t="shared" si="179"/>
        <v>0</v>
      </c>
      <c r="Z210" s="144">
        <f t="shared" si="179"/>
        <v>0</v>
      </c>
      <c r="AA210" s="152">
        <f t="shared" si="179"/>
        <v>0</v>
      </c>
      <c r="AB210" s="151">
        <f t="shared" si="179"/>
        <v>0</v>
      </c>
      <c r="AC210" s="144">
        <f t="shared" si="179"/>
        <v>0</v>
      </c>
      <c r="AD210" s="153">
        <f t="shared" si="179"/>
        <v>0</v>
      </c>
      <c r="AE210" s="151">
        <f t="shared" si="179"/>
        <v>0</v>
      </c>
      <c r="AF210" s="144">
        <f t="shared" si="179"/>
        <v>0</v>
      </c>
      <c r="AG210" s="153">
        <f t="shared" si="179"/>
        <v>0</v>
      </c>
      <c r="AH210" s="151">
        <f t="shared" si="179"/>
        <v>0</v>
      </c>
      <c r="AI210" s="144">
        <f t="shared" si="179"/>
        <v>0</v>
      </c>
      <c r="AJ210" s="153">
        <f t="shared" si="179"/>
        <v>0</v>
      </c>
      <c r="AK210" s="10"/>
      <c r="AL210" s="151">
        <f>AL211+AL218</f>
        <v>0</v>
      </c>
      <c r="AM210" s="153">
        <f>AM211+AM218</f>
        <v>0</v>
      </c>
      <c r="AN210" s="10"/>
    </row>
    <row r="211" spans="1:40" s="467" customFormat="1" x14ac:dyDescent="0.2">
      <c r="A211" s="623"/>
      <c r="B211" s="554"/>
      <c r="N211" s="10"/>
      <c r="P211" s="10"/>
      <c r="Q211" s="10"/>
      <c r="R211" s="10"/>
      <c r="S211" s="155">
        <f>+IF(ENERO!S211=0,"",ENERO!S211)</f>
        <v>5100100</v>
      </c>
      <c r="T211" s="159" t="str">
        <f>+IF(ENERO!T211=0,"",ENERO!T211)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18">
        <f t="shared" si="180"/>
        <v>0</v>
      </c>
      <c r="AE211" s="21">
        <f t="shared" si="180"/>
        <v>0</v>
      </c>
      <c r="AF211" s="169">
        <f t="shared" si="180"/>
        <v>0</v>
      </c>
      <c r="AG211" s="18">
        <f t="shared" si="180"/>
        <v>0</v>
      </c>
      <c r="AH211" s="21">
        <f t="shared" si="180"/>
        <v>0</v>
      </c>
      <c r="AI211" s="17">
        <f t="shared" si="180"/>
        <v>0</v>
      </c>
      <c r="AJ211" s="18">
        <f t="shared" si="180"/>
        <v>0</v>
      </c>
      <c r="AK211" s="12"/>
      <c r="AL211" s="31">
        <f>SUM(AL212:AL217)</f>
        <v>0</v>
      </c>
      <c r="AM211" s="28">
        <f>SUM(AM212:AM217)</f>
        <v>0</v>
      </c>
      <c r="AN211" s="10"/>
    </row>
    <row r="212" spans="1:40" s="467" customFormat="1" x14ac:dyDescent="0.2">
      <c r="A212" s="623"/>
      <c r="B212" s="554"/>
      <c r="N212" s="10"/>
      <c r="P212" s="10"/>
      <c r="Q212" s="10"/>
      <c r="R212" s="10"/>
      <c r="S212" s="156" t="str">
        <f>+IF(ENERO!S212=0,"",ENERO!S212)</f>
        <v>5100100-1</v>
      </c>
      <c r="T212" s="55" t="str">
        <f>+IF(ENERO!T212=0,"",ENERO!T212)</f>
        <v>Productos Farmaceuticos</v>
      </c>
      <c r="U212" s="29">
        <f>+ENERO!U212</f>
        <v>0</v>
      </c>
      <c r="V212" s="17">
        <f>ENERO!V212+FEBRERO!AL212</f>
        <v>0</v>
      </c>
      <c r="W212" s="17">
        <f>ENERO!W212+FEBRERO!AM212</f>
        <v>0</v>
      </c>
      <c r="X212" s="20">
        <f t="shared" ref="X212:X218" si="181">SUM(U212:W212)</f>
        <v>0</v>
      </c>
      <c r="Y212" s="21">
        <f>ENERO!AA212</f>
        <v>0</v>
      </c>
      <c r="Z212" s="457">
        <v>0</v>
      </c>
      <c r="AA212" s="20">
        <f t="shared" ref="AA212:AA218" si="182">SUM(Y212:Z212)</f>
        <v>0</v>
      </c>
      <c r="AB212" s="21">
        <f>ENERO!AD212</f>
        <v>0</v>
      </c>
      <c r="AC212" s="457">
        <v>0</v>
      </c>
      <c r="AD212" s="18">
        <f t="shared" ref="AD212:AD218" si="183">SUM(AB212:AC212)</f>
        <v>0</v>
      </c>
      <c r="AE212" s="21">
        <f>ENERO!AG212</f>
        <v>0</v>
      </c>
      <c r="AF212" s="457">
        <v>0</v>
      </c>
      <c r="AG212" s="18">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x14ac:dyDescent="0.2">
      <c r="A213" s="623"/>
      <c r="B213" s="554"/>
      <c r="N213" s="10"/>
      <c r="P213" s="10"/>
      <c r="Q213" s="10"/>
      <c r="R213" s="10"/>
      <c r="S213" s="156" t="str">
        <f>+IF(ENERO!S213=0,"",ENERO!S213)</f>
        <v>5100100-2</v>
      </c>
      <c r="T213" s="55" t="str">
        <f>+IF(ENERO!T213=0,"",ENERO!T213)</f>
        <v>Material Médico Quirúrgico</v>
      </c>
      <c r="U213" s="29">
        <f>+ENERO!U213</f>
        <v>0</v>
      </c>
      <c r="V213" s="17">
        <f>ENERO!V213+FEBRERO!AL213</f>
        <v>0</v>
      </c>
      <c r="W213" s="17">
        <f>ENERO!W213+FEBRERO!AM213</f>
        <v>0</v>
      </c>
      <c r="X213" s="20">
        <f t="shared" si="181"/>
        <v>0</v>
      </c>
      <c r="Y213" s="21">
        <f>ENERO!AA213</f>
        <v>0</v>
      </c>
      <c r="Z213" s="457">
        <v>0</v>
      </c>
      <c r="AA213" s="20">
        <f t="shared" si="182"/>
        <v>0</v>
      </c>
      <c r="AB213" s="21">
        <f>ENERO!AD213</f>
        <v>0</v>
      </c>
      <c r="AC213" s="457">
        <v>0</v>
      </c>
      <c r="AD213" s="18">
        <f t="shared" si="183"/>
        <v>0</v>
      </c>
      <c r="AE213" s="21">
        <f>ENERO!AG213</f>
        <v>0</v>
      </c>
      <c r="AF213" s="457">
        <v>0</v>
      </c>
      <c r="AG213" s="18">
        <f t="shared" si="184"/>
        <v>0</v>
      </c>
      <c r="AH213" s="21">
        <f t="shared" si="185"/>
        <v>0</v>
      </c>
      <c r="AI213" s="17">
        <f t="shared" si="186"/>
        <v>0</v>
      </c>
      <c r="AJ213" s="18">
        <f t="shared" si="187"/>
        <v>0</v>
      </c>
      <c r="AK213" s="10"/>
      <c r="AL213" s="455">
        <v>0</v>
      </c>
      <c r="AM213" s="458">
        <v>0</v>
      </c>
      <c r="AN213" s="10"/>
    </row>
    <row r="214" spans="1:40" s="467" customFormat="1" x14ac:dyDescent="0.2">
      <c r="A214" s="623"/>
      <c r="B214" s="554"/>
      <c r="N214" s="10"/>
      <c r="P214" s="10"/>
      <c r="Q214" s="10"/>
      <c r="R214" s="10"/>
      <c r="S214" s="156" t="str">
        <f>+IF(ENERO!S214=0,"",ENERO!S214)</f>
        <v>5100100-3</v>
      </c>
      <c r="T214" s="55" t="str">
        <f>+IF(ENERO!T214=0,"",ENERO!T214)</f>
        <v>Material de Laboratorio</v>
      </c>
      <c r="U214" s="29">
        <f>+ENERO!U214</f>
        <v>0</v>
      </c>
      <c r="V214" s="17">
        <f>ENERO!V214+FEBRERO!AL214</f>
        <v>0</v>
      </c>
      <c r="W214" s="17">
        <f>ENERO!W214+FEBRERO!AM214</f>
        <v>0</v>
      </c>
      <c r="X214" s="20">
        <f t="shared" si="181"/>
        <v>0</v>
      </c>
      <c r="Y214" s="21">
        <f>ENERO!AA214</f>
        <v>0</v>
      </c>
      <c r="Z214" s="457">
        <v>0</v>
      </c>
      <c r="AA214" s="20">
        <f t="shared" si="182"/>
        <v>0</v>
      </c>
      <c r="AB214" s="21">
        <f>ENERO!AD214</f>
        <v>0</v>
      </c>
      <c r="AC214" s="457">
        <v>0</v>
      </c>
      <c r="AD214" s="18">
        <f t="shared" si="183"/>
        <v>0</v>
      </c>
      <c r="AE214" s="21">
        <f>ENERO!AG214</f>
        <v>0</v>
      </c>
      <c r="AF214" s="457">
        <v>0</v>
      </c>
      <c r="AG214" s="18">
        <f t="shared" si="184"/>
        <v>0</v>
      </c>
      <c r="AH214" s="21">
        <f t="shared" si="185"/>
        <v>0</v>
      </c>
      <c r="AI214" s="17">
        <f t="shared" si="186"/>
        <v>0</v>
      </c>
      <c r="AJ214" s="18">
        <f t="shared" si="187"/>
        <v>0</v>
      </c>
      <c r="AK214" s="10"/>
      <c r="AL214" s="455">
        <v>0</v>
      </c>
      <c r="AM214" s="458">
        <v>0</v>
      </c>
      <c r="AN214" s="10"/>
    </row>
    <row r="215" spans="1:40" s="467" customFormat="1" x14ac:dyDescent="0.2">
      <c r="A215" s="623"/>
      <c r="B215" s="554"/>
      <c r="N215" s="10"/>
      <c r="P215" s="10"/>
      <c r="Q215" s="10"/>
      <c r="R215" s="10"/>
      <c r="S215" s="156" t="str">
        <f>+IF(ENERO!S215=0,"",ENERO!S215)</f>
        <v>5100100-4</v>
      </c>
      <c r="T215" s="55" t="str">
        <f>+IF(ENERO!T215=0,"",ENERO!T215)</f>
        <v>Material para Odontologia</v>
      </c>
      <c r="U215" s="29">
        <f>+ENERO!U215</f>
        <v>0</v>
      </c>
      <c r="V215" s="17">
        <f>ENERO!V215+FEBRERO!AL215</f>
        <v>0</v>
      </c>
      <c r="W215" s="17">
        <f>ENERO!W215+FEBRERO!AM215</f>
        <v>0</v>
      </c>
      <c r="X215" s="20">
        <f t="shared" si="181"/>
        <v>0</v>
      </c>
      <c r="Y215" s="21">
        <f>ENERO!AA215</f>
        <v>0</v>
      </c>
      <c r="Z215" s="457">
        <v>0</v>
      </c>
      <c r="AA215" s="20">
        <f t="shared" si="182"/>
        <v>0</v>
      </c>
      <c r="AB215" s="21">
        <f>ENERO!AD215</f>
        <v>0</v>
      </c>
      <c r="AC215" s="457">
        <v>0</v>
      </c>
      <c r="AD215" s="18">
        <f t="shared" si="183"/>
        <v>0</v>
      </c>
      <c r="AE215" s="21">
        <f>ENERO!AG215</f>
        <v>0</v>
      </c>
      <c r="AF215" s="457">
        <v>0</v>
      </c>
      <c r="AG215" s="18">
        <f t="shared" si="184"/>
        <v>0</v>
      </c>
      <c r="AH215" s="21">
        <f t="shared" si="185"/>
        <v>0</v>
      </c>
      <c r="AI215" s="17">
        <f t="shared" si="186"/>
        <v>0</v>
      </c>
      <c r="AJ215" s="18">
        <f t="shared" si="187"/>
        <v>0</v>
      </c>
      <c r="AK215" s="10"/>
      <c r="AL215" s="455">
        <v>0</v>
      </c>
      <c r="AM215" s="458">
        <v>0</v>
      </c>
      <c r="AN215" s="10"/>
    </row>
    <row r="216" spans="1:40" s="467" customFormat="1" x14ac:dyDescent="0.2">
      <c r="A216" s="623"/>
      <c r="B216" s="554"/>
      <c r="N216" s="10"/>
      <c r="P216" s="10"/>
      <c r="Q216" s="10"/>
      <c r="R216" s="10"/>
      <c r="S216" s="156" t="str">
        <f>+IF(ENERO!S216=0,"",ENERO!S216)</f>
        <v>5100100-5</v>
      </c>
      <c r="T216" s="55" t="str">
        <f>+IF(ENERO!T216=0,"",ENERO!T216)</f>
        <v>Material para Rayos X</v>
      </c>
      <c r="U216" s="29">
        <f>+ENERO!U216</f>
        <v>0</v>
      </c>
      <c r="V216" s="17">
        <f>ENERO!V216+FEBRERO!AL216</f>
        <v>0</v>
      </c>
      <c r="W216" s="17">
        <f>ENERO!W216+FEBRERO!AM216</f>
        <v>0</v>
      </c>
      <c r="X216" s="20">
        <f t="shared" si="181"/>
        <v>0</v>
      </c>
      <c r="Y216" s="21">
        <f>ENERO!AA216</f>
        <v>0</v>
      </c>
      <c r="Z216" s="457">
        <v>0</v>
      </c>
      <c r="AA216" s="20">
        <f t="shared" si="182"/>
        <v>0</v>
      </c>
      <c r="AB216" s="21">
        <f>ENERO!AD216</f>
        <v>0</v>
      </c>
      <c r="AC216" s="457">
        <v>0</v>
      </c>
      <c r="AD216" s="18">
        <f t="shared" si="183"/>
        <v>0</v>
      </c>
      <c r="AE216" s="21">
        <f>ENERO!AG216</f>
        <v>0</v>
      </c>
      <c r="AF216" s="457">
        <v>0</v>
      </c>
      <c r="AG216" s="18">
        <f t="shared" si="184"/>
        <v>0</v>
      </c>
      <c r="AH216" s="21">
        <f t="shared" si="185"/>
        <v>0</v>
      </c>
      <c r="AI216" s="17">
        <f t="shared" si="186"/>
        <v>0</v>
      </c>
      <c r="AJ216" s="18">
        <f t="shared" si="187"/>
        <v>0</v>
      </c>
      <c r="AK216" s="10"/>
      <c r="AL216" s="455">
        <v>0</v>
      </c>
      <c r="AM216" s="458">
        <v>0</v>
      </c>
      <c r="AN216" s="10"/>
    </row>
    <row r="217" spans="1:40" s="467" customFormat="1" x14ac:dyDescent="0.2">
      <c r="A217" s="623"/>
      <c r="B217" s="554"/>
      <c r="N217" s="10"/>
      <c r="P217" s="10"/>
      <c r="Q217" s="10"/>
      <c r="R217" s="10"/>
      <c r="S217" s="156" t="str">
        <f>+IF(ENERO!S217=0,"",ENERO!S217)</f>
        <v>5100100-6</v>
      </c>
      <c r="T217" s="55" t="str">
        <f>+IF(ENERO!T217=0,"",ENERO!T217)</f>
        <v>Material aseo personal, etc.</v>
      </c>
      <c r="U217" s="29">
        <f>+ENERO!U217</f>
        <v>0</v>
      </c>
      <c r="V217" s="17">
        <f>ENERO!V217+FEBRERO!AL217</f>
        <v>0</v>
      </c>
      <c r="W217" s="17">
        <f>ENERO!W217+FEBRERO!AM217</f>
        <v>0</v>
      </c>
      <c r="X217" s="20">
        <f t="shared" si="181"/>
        <v>0</v>
      </c>
      <c r="Y217" s="21">
        <f>ENERO!AA217</f>
        <v>0</v>
      </c>
      <c r="Z217" s="457">
        <v>0</v>
      </c>
      <c r="AA217" s="20">
        <f t="shared" si="182"/>
        <v>0</v>
      </c>
      <c r="AB217" s="21">
        <f>ENERO!AD217</f>
        <v>0</v>
      </c>
      <c r="AC217" s="457">
        <v>0</v>
      </c>
      <c r="AD217" s="18">
        <f t="shared" si="183"/>
        <v>0</v>
      </c>
      <c r="AE217" s="21">
        <f>ENERO!AG217</f>
        <v>0</v>
      </c>
      <c r="AF217" s="457">
        <v>0</v>
      </c>
      <c r="AG217" s="18">
        <f t="shared" si="184"/>
        <v>0</v>
      </c>
      <c r="AH217" s="21">
        <f t="shared" si="185"/>
        <v>0</v>
      </c>
      <c r="AI217" s="17">
        <f t="shared" si="186"/>
        <v>0</v>
      </c>
      <c r="AJ217" s="18">
        <f t="shared" si="187"/>
        <v>0</v>
      </c>
      <c r="AK217" s="10"/>
      <c r="AL217" s="455">
        <v>0</v>
      </c>
      <c r="AM217" s="458">
        <v>0</v>
      </c>
      <c r="AN217" s="10"/>
    </row>
    <row r="218" spans="1:40" s="467" customFormat="1" ht="15" thickBot="1" x14ac:dyDescent="0.25">
      <c r="A218" s="623"/>
      <c r="B218" s="554"/>
      <c r="N218" s="10"/>
      <c r="P218" s="10"/>
      <c r="Q218" s="10"/>
      <c r="R218" s="10"/>
      <c r="S218" s="657">
        <f>+IF(ENERO!S218=0,"",ENERO!S218)</f>
        <v>5199999</v>
      </c>
      <c r="T218" s="658" t="str">
        <f>+IF(ENERO!T218=0,"",ENERO!T218)</f>
        <v>Vigencias Anteriores</v>
      </c>
      <c r="U218" s="160">
        <f>+ENERO!U218</f>
        <v>0</v>
      </c>
      <c r="V218" s="143">
        <f>ENERO!V218+FEBRERO!AL218</f>
        <v>0</v>
      </c>
      <c r="W218" s="143">
        <f>ENERO!W218+FEBRERO!AM218</f>
        <v>0</v>
      </c>
      <c r="X218" s="149">
        <f t="shared" si="181"/>
        <v>0</v>
      </c>
      <c r="Y218" s="147">
        <f>ENERO!AA218</f>
        <v>0</v>
      </c>
      <c r="Z218" s="475">
        <v>0</v>
      </c>
      <c r="AA218" s="149">
        <f t="shared" si="182"/>
        <v>0</v>
      </c>
      <c r="AB218" s="147">
        <f>ENERO!AD218</f>
        <v>0</v>
      </c>
      <c r="AC218" s="475">
        <v>0</v>
      </c>
      <c r="AD218" s="148">
        <f t="shared" si="183"/>
        <v>0</v>
      </c>
      <c r="AE218" s="147">
        <f>ENERO!AG218</f>
        <v>0</v>
      </c>
      <c r="AF218" s="475">
        <v>0</v>
      </c>
      <c r="AG218" s="148">
        <f t="shared" si="184"/>
        <v>0</v>
      </c>
      <c r="AH218" s="147">
        <f t="shared" si="185"/>
        <v>0</v>
      </c>
      <c r="AI218" s="143">
        <f t="shared" si="186"/>
        <v>0</v>
      </c>
      <c r="AJ218" s="148">
        <f t="shared" si="187"/>
        <v>0</v>
      </c>
      <c r="AK218" s="10"/>
      <c r="AL218" s="650">
        <v>0</v>
      </c>
      <c r="AM218" s="651">
        <v>0</v>
      </c>
      <c r="AN218" s="10"/>
    </row>
    <row r="219" spans="1:40" s="467" customFormat="1" ht="16.5" thickBot="1" x14ac:dyDescent="0.25">
      <c r="A219" s="623"/>
      <c r="B219" s="554"/>
      <c r="N219" s="10"/>
      <c r="P219" s="10"/>
      <c r="Q219" s="10"/>
      <c r="R219" s="10"/>
      <c r="S219" s="643" t="str">
        <f>+IF(ENERO!S219=0,"",ENERO!S219)</f>
        <v/>
      </c>
      <c r="T219" s="357" t="str">
        <f>+IF(ENERO!T219=0,"",ENERO!T219)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+IF(ENERO!S220=0,"",ENERO!S220)</f>
        <v>C</v>
      </c>
      <c r="T220" s="439" t="str">
        <f>+IF(ENERO!T220=0,"",ENERO!T220)</f>
        <v xml:space="preserve">SERVICIO DE LA DEUDA </v>
      </c>
      <c r="U220" s="440">
        <f t="shared" ref="U220:AJ220" si="188">U222+U227</f>
        <v>0</v>
      </c>
      <c r="V220" s="441">
        <f t="shared" si="188"/>
        <v>0</v>
      </c>
      <c r="W220" s="441">
        <f t="shared" si="188"/>
        <v>0</v>
      </c>
      <c r="X220" s="444">
        <f t="shared" si="188"/>
        <v>0</v>
      </c>
      <c r="Y220" s="443">
        <f t="shared" si="188"/>
        <v>0</v>
      </c>
      <c r="Z220" s="441">
        <f t="shared" si="188"/>
        <v>0</v>
      </c>
      <c r="AA220" s="444">
        <f t="shared" si="188"/>
        <v>0</v>
      </c>
      <c r="AB220" s="443">
        <f t="shared" si="188"/>
        <v>0</v>
      </c>
      <c r="AC220" s="441">
        <f t="shared" si="188"/>
        <v>0</v>
      </c>
      <c r="AD220" s="444">
        <f t="shared" si="188"/>
        <v>0</v>
      </c>
      <c r="AE220" s="443">
        <f t="shared" si="188"/>
        <v>0</v>
      </c>
      <c r="AF220" s="441">
        <f t="shared" si="188"/>
        <v>0</v>
      </c>
      <c r="AG220" s="444">
        <f t="shared" si="188"/>
        <v>0</v>
      </c>
      <c r="AH220" s="443">
        <f t="shared" si="188"/>
        <v>0</v>
      </c>
      <c r="AI220" s="441">
        <f t="shared" si="188"/>
        <v>0</v>
      </c>
      <c r="AJ220" s="442">
        <f t="shared" si="188"/>
        <v>0</v>
      </c>
      <c r="AK220" s="648"/>
      <c r="AL220" s="443">
        <f>AL222+AL227</f>
        <v>0</v>
      </c>
      <c r="AM220" s="442">
        <f>AM222+AM227</f>
        <v>0</v>
      </c>
      <c r="AN220" s="10"/>
    </row>
    <row r="221" spans="1:40" s="467" customFormat="1" ht="15.75" x14ac:dyDescent="0.2">
      <c r="A221" s="623"/>
      <c r="B221" s="554"/>
      <c r="N221" s="10"/>
      <c r="P221" s="10"/>
      <c r="Q221" s="10"/>
      <c r="R221" s="10"/>
      <c r="S221" s="448" t="str">
        <f>+IF(ENERO!S221=0,"",ENERO!S221)</f>
        <v/>
      </c>
      <c r="T221" s="649" t="str">
        <f>+IF(ENERO!T221=0,"",ENERO!T221)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+IF(ENERO!S222=0,"",ENERO!S222)</f>
        <v>7001000</v>
      </c>
      <c r="T222" s="158" t="str">
        <f>+IF(ENERO!T222=0,"",ENERO!T222)</f>
        <v>SERVICIO DE LA DEUDA INTERNA</v>
      </c>
      <c r="U222" s="157">
        <f t="shared" ref="U222:AJ222" si="189">SUM(U223:U225)</f>
        <v>0</v>
      </c>
      <c r="V222" s="144">
        <f t="shared" si="189"/>
        <v>0</v>
      </c>
      <c r="W222" s="144">
        <f t="shared" si="189"/>
        <v>0</v>
      </c>
      <c r="X222" s="152">
        <f t="shared" si="189"/>
        <v>0</v>
      </c>
      <c r="Y222" s="151">
        <f t="shared" si="189"/>
        <v>0</v>
      </c>
      <c r="Z222" s="144">
        <f t="shared" si="189"/>
        <v>0</v>
      </c>
      <c r="AA222" s="152">
        <f t="shared" si="189"/>
        <v>0</v>
      </c>
      <c r="AB222" s="151">
        <f t="shared" si="189"/>
        <v>0</v>
      </c>
      <c r="AC222" s="144">
        <f t="shared" si="189"/>
        <v>0</v>
      </c>
      <c r="AD222" s="152">
        <f t="shared" si="189"/>
        <v>0</v>
      </c>
      <c r="AE222" s="151">
        <f t="shared" si="189"/>
        <v>0</v>
      </c>
      <c r="AF222" s="144">
        <f t="shared" si="189"/>
        <v>0</v>
      </c>
      <c r="AG222" s="152">
        <f t="shared" si="189"/>
        <v>0</v>
      </c>
      <c r="AH222" s="151">
        <f t="shared" si="189"/>
        <v>0</v>
      </c>
      <c r="AI222" s="144">
        <f t="shared" si="189"/>
        <v>0</v>
      </c>
      <c r="AJ222" s="153">
        <f t="shared" si="189"/>
        <v>0</v>
      </c>
      <c r="AK222" s="10"/>
      <c r="AL222" s="151">
        <f>SUM(AL223:AL225)</f>
        <v>0</v>
      </c>
      <c r="AM222" s="153">
        <f>SUM(AM223:AM225)</f>
        <v>0</v>
      </c>
      <c r="AN222" s="10"/>
    </row>
    <row r="223" spans="1:40" s="467" customFormat="1" x14ac:dyDescent="0.2">
      <c r="A223" s="623"/>
      <c r="B223" s="554"/>
      <c r="N223" s="10"/>
      <c r="P223" s="10"/>
      <c r="Q223" s="10"/>
      <c r="R223" s="10"/>
      <c r="S223" s="155">
        <f>+IF(ENERO!S223=0,"",ENERO!S223)</f>
        <v>7001100</v>
      </c>
      <c r="T223" s="159" t="str">
        <f>+IF(ENERO!T223=0,"",ENERO!T223)</f>
        <v>Amortización deuda Pública Interna</v>
      </c>
      <c r="U223" s="29">
        <f>+ENERO!U223</f>
        <v>0</v>
      </c>
      <c r="V223" s="17">
        <f>ENERO!V223+FEBRERO!AL223</f>
        <v>0</v>
      </c>
      <c r="W223" s="17">
        <f>ENERO!W223+FEBRERO!AM223</f>
        <v>0</v>
      </c>
      <c r="X223" s="20">
        <f>SUM(U223:W223)</f>
        <v>0</v>
      </c>
      <c r="Y223" s="21">
        <f>ENERO!AA223</f>
        <v>0</v>
      </c>
      <c r="Z223" s="457">
        <v>0</v>
      </c>
      <c r="AA223" s="20">
        <f>SUM(Y223:Z223)</f>
        <v>0</v>
      </c>
      <c r="AB223" s="21">
        <f>ENERO!AD223</f>
        <v>0</v>
      </c>
      <c r="AC223" s="457">
        <v>0</v>
      </c>
      <c r="AD223" s="20">
        <f>SUM(AB223:AC223)</f>
        <v>0</v>
      </c>
      <c r="AE223" s="21">
        <f>ENERO!AG223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+IF(ENERO!S224=0,"",ENERO!S224)</f>
        <v>7001200</v>
      </c>
      <c r="T224" s="159" t="str">
        <f>+IF(ENERO!T224=0,"",ENERO!T224)</f>
        <v>Intereses Comisiones y gastos de la Deuda Pública</v>
      </c>
      <c r="U224" s="29">
        <f>+ENERO!U224</f>
        <v>0</v>
      </c>
      <c r="V224" s="17">
        <f>ENERO!V224+FEBRERO!AL224</f>
        <v>0</v>
      </c>
      <c r="W224" s="17">
        <f>ENERO!W224+FEBRERO!AM224</f>
        <v>0</v>
      </c>
      <c r="X224" s="20">
        <f>SUM(U224:W224)</f>
        <v>0</v>
      </c>
      <c r="Y224" s="21">
        <f>ENERO!AA224</f>
        <v>0</v>
      </c>
      <c r="Z224" s="457">
        <v>0</v>
      </c>
      <c r="AA224" s="20">
        <f>SUM(Y224:Z224)</f>
        <v>0</v>
      </c>
      <c r="AB224" s="21">
        <f>ENERO!AD224</f>
        <v>0</v>
      </c>
      <c r="AC224" s="457">
        <v>0</v>
      </c>
      <c r="AD224" s="20">
        <f>SUM(AB224:AC224)</f>
        <v>0</v>
      </c>
      <c r="AE224" s="21">
        <f>ENERO!AG224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+IF(ENERO!S225=0,"",ENERO!S225)</f>
        <v>7001999</v>
      </c>
      <c r="T225" s="159" t="str">
        <f>+IF(ENERO!T225=0,"",ENERO!T225)</f>
        <v>Vigencias Anteriores</v>
      </c>
      <c r="U225" s="29">
        <f>+ENERO!U225</f>
        <v>0</v>
      </c>
      <c r="V225" s="17">
        <f>ENERO!V225+FEBRERO!AL225</f>
        <v>0</v>
      </c>
      <c r="W225" s="17">
        <f>ENERO!W225+FEBRERO!AM225</f>
        <v>0</v>
      </c>
      <c r="X225" s="20">
        <f>SUM(U225:W225)</f>
        <v>0</v>
      </c>
      <c r="Y225" s="21">
        <f>ENERO!AA225</f>
        <v>0</v>
      </c>
      <c r="Z225" s="457">
        <v>0</v>
      </c>
      <c r="AA225" s="20">
        <f>SUM(Y225:Z225)</f>
        <v>0</v>
      </c>
      <c r="AB225" s="21">
        <f>ENERO!AD225</f>
        <v>0</v>
      </c>
      <c r="AC225" s="457">
        <v>0</v>
      </c>
      <c r="AD225" s="20">
        <f>SUM(AB225:AC225)</f>
        <v>0</v>
      </c>
      <c r="AE225" s="21">
        <f>ENERO!AG225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+IF(ENERO!S226=0,"",ENERO!S226)</f>
        <v/>
      </c>
      <c r="T226" s="649" t="str">
        <f>+IF(ENERO!T226=0,"",ENERO!T226)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+IF(ENERO!S227=0,"",ENERO!S227)</f>
        <v>7002001</v>
      </c>
      <c r="T227" s="158" t="str">
        <f>+IF(ENERO!T227=0,"",ENERO!T227)</f>
        <v>SERVICIO DE LA DEUDA EXTERNA</v>
      </c>
      <c r="U227" s="157">
        <f t="shared" ref="U227:AJ227" si="190">SUM(U228:U230)</f>
        <v>0</v>
      </c>
      <c r="V227" s="144">
        <f t="shared" si="190"/>
        <v>0</v>
      </c>
      <c r="W227" s="144">
        <f t="shared" si="190"/>
        <v>0</v>
      </c>
      <c r="X227" s="152">
        <f t="shared" si="190"/>
        <v>0</v>
      </c>
      <c r="Y227" s="151">
        <f t="shared" si="190"/>
        <v>0</v>
      </c>
      <c r="Z227" s="144">
        <f t="shared" si="190"/>
        <v>0</v>
      </c>
      <c r="AA227" s="152">
        <f t="shared" si="190"/>
        <v>0</v>
      </c>
      <c r="AB227" s="151">
        <f t="shared" si="190"/>
        <v>0</v>
      </c>
      <c r="AC227" s="144">
        <f t="shared" si="190"/>
        <v>0</v>
      </c>
      <c r="AD227" s="152">
        <f t="shared" si="190"/>
        <v>0</v>
      </c>
      <c r="AE227" s="151">
        <f t="shared" si="190"/>
        <v>0</v>
      </c>
      <c r="AF227" s="144">
        <f t="shared" si="190"/>
        <v>0</v>
      </c>
      <c r="AG227" s="152">
        <f t="shared" si="190"/>
        <v>0</v>
      </c>
      <c r="AH227" s="151">
        <f t="shared" si="190"/>
        <v>0</v>
      </c>
      <c r="AI227" s="144">
        <f t="shared" si="190"/>
        <v>0</v>
      </c>
      <c r="AJ227" s="153">
        <f t="shared" si="190"/>
        <v>0</v>
      </c>
      <c r="AK227" s="12"/>
      <c r="AL227" s="151">
        <f>SUM(AL228:AL230)</f>
        <v>0</v>
      </c>
      <c r="AM227" s="153">
        <f>SUM(AM228:AM230)</f>
        <v>0</v>
      </c>
      <c r="AN227" s="10"/>
    </row>
    <row r="228" spans="1:64" s="467" customFormat="1" x14ac:dyDescent="0.2">
      <c r="A228" s="623"/>
      <c r="B228" s="554"/>
      <c r="N228" s="10"/>
      <c r="P228" s="10"/>
      <c r="Q228" s="10"/>
      <c r="R228" s="10"/>
      <c r="S228" s="155">
        <f>+IF(ENERO!S228=0,"",ENERO!S228)</f>
        <v>7002100</v>
      </c>
      <c r="T228" s="159" t="str">
        <f>+IF(ENERO!T228=0,"",ENERO!T228)</f>
        <v>Amortización deuda Pública Externa</v>
      </c>
      <c r="U228" s="29">
        <f>+ENERO!U228</f>
        <v>0</v>
      </c>
      <c r="V228" s="17">
        <f>ENERO!V228+FEBRERO!AL228</f>
        <v>0</v>
      </c>
      <c r="W228" s="17">
        <f>ENERO!W228+FEBRERO!AM228</f>
        <v>0</v>
      </c>
      <c r="X228" s="20">
        <f>SUM(U228:W228)</f>
        <v>0</v>
      </c>
      <c r="Y228" s="21">
        <f>ENERO!AA228</f>
        <v>0</v>
      </c>
      <c r="Z228" s="457">
        <v>0</v>
      </c>
      <c r="AA228" s="20">
        <f>SUM(Y228:Z228)</f>
        <v>0</v>
      </c>
      <c r="AB228" s="21">
        <f>ENERO!AD228</f>
        <v>0</v>
      </c>
      <c r="AC228" s="457">
        <v>0</v>
      </c>
      <c r="AD228" s="20">
        <f>SUM(AB228:AC228)</f>
        <v>0</v>
      </c>
      <c r="AE228" s="21">
        <f>ENERO!AG228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+IF(ENERO!S229=0,"",ENERO!S229)</f>
        <v>7002200</v>
      </c>
      <c r="T229" s="159" t="str">
        <f>+IF(ENERO!T229=0,"",ENERO!T229)</f>
        <v>Intereses Comisiones y gastos de la Deuda Pública</v>
      </c>
      <c r="U229" s="29">
        <f>+ENERO!U229</f>
        <v>0</v>
      </c>
      <c r="V229" s="17">
        <f>ENERO!V229+FEBRERO!AL229</f>
        <v>0</v>
      </c>
      <c r="W229" s="17">
        <f>ENERO!W229+FEBRERO!AM229</f>
        <v>0</v>
      </c>
      <c r="X229" s="20">
        <f>SUM(U229:W229)</f>
        <v>0</v>
      </c>
      <c r="Y229" s="21">
        <f>ENERO!AA229</f>
        <v>0</v>
      </c>
      <c r="Z229" s="457">
        <v>0</v>
      </c>
      <c r="AA229" s="20">
        <f>SUM(Y229:Z229)</f>
        <v>0</v>
      </c>
      <c r="AB229" s="21">
        <f>ENERO!AD229</f>
        <v>0</v>
      </c>
      <c r="AC229" s="457">
        <v>0</v>
      </c>
      <c r="AD229" s="20">
        <f>SUM(AB229:AC229)</f>
        <v>0</v>
      </c>
      <c r="AE229" s="21">
        <f>ENERO!AG229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+IF(ENERO!S230=0,"",ENERO!S230)</f>
        <v>7002999</v>
      </c>
      <c r="T230" s="625" t="str">
        <f>+IF(ENERO!T230=0,"",ENERO!T230)</f>
        <v>Vigencias Anteriores</v>
      </c>
      <c r="U230" s="160">
        <f>+ENERO!U230</f>
        <v>0</v>
      </c>
      <c r="V230" s="143">
        <f>ENERO!V230+FEBRERO!AL230</f>
        <v>0</v>
      </c>
      <c r="W230" s="143">
        <f>ENERO!W230+FEBRERO!AM230</f>
        <v>0</v>
      </c>
      <c r="X230" s="149">
        <f>SUM(U230:W230)</f>
        <v>0</v>
      </c>
      <c r="Y230" s="147">
        <f>ENERO!AA230</f>
        <v>0</v>
      </c>
      <c r="Z230" s="475">
        <v>0</v>
      </c>
      <c r="AA230" s="149">
        <f>SUM(Y230:Z230)</f>
        <v>0</v>
      </c>
      <c r="AB230" s="147">
        <f>ENERO!AD230</f>
        <v>0</v>
      </c>
      <c r="AC230" s="475">
        <v>0</v>
      </c>
      <c r="AD230" s="149">
        <f>SUM(AB230:AC230)</f>
        <v>0</v>
      </c>
      <c r="AE230" s="147">
        <f>ENERO!AG230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+IF(ENERO!S231=0,"",ENERO!S231)</f>
        <v/>
      </c>
      <c r="T231" s="628" t="str">
        <f>+IF(ENERO!T231=0,"",ENERO!T231)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+IF(ENERO!S232=0,"",ENERO!S232)</f>
        <v>D</v>
      </c>
      <c r="T232" s="655" t="str">
        <f>+IF(ENERO!T232=0,"",ENERO!T232)</f>
        <v>INVERSION</v>
      </c>
      <c r="U232" s="589">
        <f t="shared" ref="U232:AJ232" si="191">U234</f>
        <v>121563100</v>
      </c>
      <c r="V232" s="590">
        <f t="shared" si="191"/>
        <v>-1563100</v>
      </c>
      <c r="W232" s="590">
        <f t="shared" si="191"/>
        <v>0</v>
      </c>
      <c r="X232" s="591">
        <f t="shared" si="191"/>
        <v>120000000</v>
      </c>
      <c r="Y232" s="464">
        <f t="shared" si="191"/>
        <v>0</v>
      </c>
      <c r="Z232" s="590">
        <f t="shared" si="191"/>
        <v>19019492</v>
      </c>
      <c r="AA232" s="591">
        <f t="shared" si="191"/>
        <v>19019492</v>
      </c>
      <c r="AB232" s="464">
        <f t="shared" si="191"/>
        <v>0</v>
      </c>
      <c r="AC232" s="590">
        <f t="shared" si="191"/>
        <v>19019492</v>
      </c>
      <c r="AD232" s="591">
        <f t="shared" si="191"/>
        <v>19019492</v>
      </c>
      <c r="AE232" s="464">
        <f t="shared" si="191"/>
        <v>0</v>
      </c>
      <c r="AF232" s="590">
        <f t="shared" si="191"/>
        <v>0</v>
      </c>
      <c r="AG232" s="591">
        <f t="shared" si="191"/>
        <v>0</v>
      </c>
      <c r="AH232" s="464">
        <f t="shared" si="191"/>
        <v>100980508</v>
      </c>
      <c r="AI232" s="590">
        <f t="shared" si="191"/>
        <v>100980508</v>
      </c>
      <c r="AJ232" s="465">
        <f t="shared" si="191"/>
        <v>120000000</v>
      </c>
      <c r="AK232" s="648"/>
      <c r="AL232" s="464">
        <f>AL234</f>
        <v>-1563100</v>
      </c>
      <c r="AM232" s="465">
        <f>AM234</f>
        <v>0</v>
      </c>
      <c r="AN232" s="10"/>
    </row>
    <row r="233" spans="1:64" s="467" customFormat="1" ht="15.75" x14ac:dyDescent="0.2">
      <c r="A233" s="623"/>
      <c r="B233" s="554"/>
      <c r="N233" s="10"/>
      <c r="P233" s="10"/>
      <c r="Q233" s="10"/>
      <c r="R233" s="10"/>
      <c r="S233" s="448" t="str">
        <f>+IF(ENERO!S233=0,"",ENERO!S233)</f>
        <v/>
      </c>
      <c r="T233" s="649" t="str">
        <f>+IF(ENERO!T233=0,"",ENERO!T233)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+IF(ENERO!S234=0,"",ENERO!S234)</f>
        <v>8000000</v>
      </c>
      <c r="T234" s="158" t="str">
        <f>+IF(ENERO!T234=0,"",ENERO!T234)</f>
        <v>Programas de Inversión</v>
      </c>
      <c r="U234" s="157">
        <f t="shared" ref="U234:AJ234" si="192">U235+U243</f>
        <v>121563100</v>
      </c>
      <c r="V234" s="144">
        <f t="shared" si="192"/>
        <v>-1563100</v>
      </c>
      <c r="W234" s="144">
        <f t="shared" si="192"/>
        <v>0</v>
      </c>
      <c r="X234" s="152">
        <f t="shared" si="192"/>
        <v>120000000</v>
      </c>
      <c r="Y234" s="151">
        <f t="shared" si="192"/>
        <v>0</v>
      </c>
      <c r="Z234" s="144">
        <f t="shared" si="192"/>
        <v>19019492</v>
      </c>
      <c r="AA234" s="152">
        <f t="shared" si="192"/>
        <v>19019492</v>
      </c>
      <c r="AB234" s="151">
        <f t="shared" si="192"/>
        <v>0</v>
      </c>
      <c r="AC234" s="144">
        <f t="shared" si="192"/>
        <v>19019492</v>
      </c>
      <c r="AD234" s="152">
        <f t="shared" si="192"/>
        <v>19019492</v>
      </c>
      <c r="AE234" s="151">
        <f t="shared" si="192"/>
        <v>0</v>
      </c>
      <c r="AF234" s="144">
        <f t="shared" si="192"/>
        <v>0</v>
      </c>
      <c r="AG234" s="152">
        <f t="shared" si="192"/>
        <v>0</v>
      </c>
      <c r="AH234" s="151">
        <f t="shared" si="192"/>
        <v>100980508</v>
      </c>
      <c r="AI234" s="144">
        <f t="shared" si="192"/>
        <v>100980508</v>
      </c>
      <c r="AJ234" s="153">
        <f t="shared" si="192"/>
        <v>120000000</v>
      </c>
      <c r="AK234" s="10"/>
      <c r="AL234" s="151">
        <f>AL235+AL243</f>
        <v>-1563100</v>
      </c>
      <c r="AM234" s="153">
        <f>AM235+AM243</f>
        <v>0</v>
      </c>
      <c r="AN234" s="10"/>
    </row>
    <row r="235" spans="1:64" s="467" customFormat="1" x14ac:dyDescent="0.2">
      <c r="A235" s="623"/>
      <c r="B235" s="554"/>
      <c r="N235" s="10"/>
      <c r="P235" s="10"/>
      <c r="Q235" s="10"/>
      <c r="R235" s="10"/>
      <c r="S235" s="155">
        <f>+IF(ENERO!S235=0,"",ENERO!S235)</f>
        <v>8001000</v>
      </c>
      <c r="T235" s="159" t="str">
        <f>+IF(ENERO!T235=0,"",ENERO!T235)</f>
        <v>Formación Bruta del Capital</v>
      </c>
      <c r="U235" s="29">
        <f t="shared" ref="U235:AJ235" si="193">SUM(U236:U241)</f>
        <v>0</v>
      </c>
      <c r="V235" s="17">
        <f t="shared" si="193"/>
        <v>0</v>
      </c>
      <c r="W235" s="17">
        <f t="shared" si="193"/>
        <v>0</v>
      </c>
      <c r="X235" s="20">
        <f t="shared" si="193"/>
        <v>0</v>
      </c>
      <c r="Y235" s="21">
        <f t="shared" si="193"/>
        <v>0</v>
      </c>
      <c r="Z235" s="169">
        <f t="shared" si="193"/>
        <v>0</v>
      </c>
      <c r="AA235" s="20">
        <f t="shared" si="193"/>
        <v>0</v>
      </c>
      <c r="AB235" s="21">
        <f t="shared" si="193"/>
        <v>0</v>
      </c>
      <c r="AC235" s="169">
        <f t="shared" si="193"/>
        <v>0</v>
      </c>
      <c r="AD235" s="20">
        <f t="shared" si="193"/>
        <v>0</v>
      </c>
      <c r="AE235" s="21">
        <f t="shared" si="193"/>
        <v>0</v>
      </c>
      <c r="AF235" s="169">
        <f t="shared" si="193"/>
        <v>0</v>
      </c>
      <c r="AG235" s="20">
        <f t="shared" si="193"/>
        <v>0</v>
      </c>
      <c r="AH235" s="21">
        <f t="shared" si="193"/>
        <v>0</v>
      </c>
      <c r="AI235" s="17">
        <f t="shared" si="193"/>
        <v>0</v>
      </c>
      <c r="AJ235" s="18">
        <f t="shared" si="193"/>
        <v>0</v>
      </c>
      <c r="AK235" s="10"/>
      <c r="AL235" s="31">
        <f>SUM(AL236:AL241)</f>
        <v>0</v>
      </c>
      <c r="AM235" s="28">
        <f>SUM(AM236:AM241)</f>
        <v>0</v>
      </c>
      <c r="AN235" s="10"/>
    </row>
    <row r="236" spans="1:64" s="467" customFormat="1" x14ac:dyDescent="0.2">
      <c r="A236" s="623"/>
      <c r="B236" s="554"/>
      <c r="N236" s="10"/>
      <c r="P236" s="10"/>
      <c r="Q236" s="10"/>
      <c r="R236" s="10"/>
      <c r="S236" s="156" t="str">
        <f>+IF(ENERO!S236=0,"",ENERO!S236)</f>
        <v>8001000-1</v>
      </c>
      <c r="T236" s="55" t="str">
        <f>+IF(ENERO!T236=0,"",ENERO!T236)</f>
        <v>Subprogr.Construc. Remodelac. Adecuación y Apliac.1</v>
      </c>
      <c r="U236" s="29">
        <f>+ENERO!U236</f>
        <v>0</v>
      </c>
      <c r="V236" s="17">
        <f>ENERO!V236+FEBRERO!AL236</f>
        <v>0</v>
      </c>
      <c r="W236" s="17">
        <f>ENERO!W236+FEBRERO!AM236</f>
        <v>0</v>
      </c>
      <c r="X236" s="20">
        <f t="shared" ref="X236:X241" si="194">SUM(U236:W236)</f>
        <v>0</v>
      </c>
      <c r="Y236" s="21">
        <f>ENERO!AA236</f>
        <v>0</v>
      </c>
      <c r="Z236" s="457">
        <v>0</v>
      </c>
      <c r="AA236" s="20">
        <f t="shared" ref="AA236:AA241" si="195">SUM(Y236:Z236)</f>
        <v>0</v>
      </c>
      <c r="AB236" s="21">
        <f>ENERO!AD236</f>
        <v>0</v>
      </c>
      <c r="AC236" s="457">
        <v>0</v>
      </c>
      <c r="AD236" s="20">
        <f t="shared" ref="AD236:AD241" si="196">SUM(AB236:AC236)</f>
        <v>0</v>
      </c>
      <c r="AE236" s="21">
        <f>ENERO!AG236</f>
        <v>0</v>
      </c>
      <c r="AF236" s="457">
        <v>0</v>
      </c>
      <c r="AG236" s="20">
        <f t="shared" ref="AG236:AG241" si="197">SUM(AE236:AF236)</f>
        <v>0</v>
      </c>
      <c r="AH236" s="21">
        <f t="shared" ref="AH236:AH241" si="198">X236-AA236</f>
        <v>0</v>
      </c>
      <c r="AI236" s="17">
        <f t="shared" ref="AI236:AI241" si="199">X236-AD236</f>
        <v>0</v>
      </c>
      <c r="AJ236" s="18">
        <f t="shared" ref="AJ236:AJ241" si="200">X236-AG236</f>
        <v>0</v>
      </c>
      <c r="AK236" s="10"/>
      <c r="AL236" s="455">
        <v>0</v>
      </c>
      <c r="AM236" s="458">
        <v>0</v>
      </c>
      <c r="AN236" s="10"/>
    </row>
    <row r="237" spans="1:64" s="467" customFormat="1" x14ac:dyDescent="0.2">
      <c r="A237" s="623"/>
      <c r="B237" s="554"/>
      <c r="N237" s="10"/>
      <c r="P237" s="10"/>
      <c r="Q237" s="10"/>
      <c r="R237" s="10"/>
      <c r="S237" s="156" t="str">
        <f>+IF(ENERO!S237=0,"",ENERO!S237)</f>
        <v>8001000-2</v>
      </c>
      <c r="T237" s="55" t="str">
        <f>+IF(ENERO!T237=0,"",ENERO!T237)</f>
        <v>Subprogr.Construc. Remodelac. Adecuación y Apliac.2</v>
      </c>
      <c r="U237" s="29">
        <f>+ENERO!U237</f>
        <v>0</v>
      </c>
      <c r="V237" s="17">
        <f>ENERO!V237+FEBRERO!AL237</f>
        <v>0</v>
      </c>
      <c r="W237" s="17">
        <f>ENERO!W237+FEBRERO!AM237</f>
        <v>0</v>
      </c>
      <c r="X237" s="20">
        <f t="shared" si="194"/>
        <v>0</v>
      </c>
      <c r="Y237" s="21">
        <f>ENERO!AA237</f>
        <v>0</v>
      </c>
      <c r="Z237" s="457">
        <v>0</v>
      </c>
      <c r="AA237" s="20">
        <f t="shared" si="195"/>
        <v>0</v>
      </c>
      <c r="AB237" s="21">
        <f>ENERO!AD237</f>
        <v>0</v>
      </c>
      <c r="AC237" s="457">
        <v>0</v>
      </c>
      <c r="AD237" s="20">
        <f t="shared" si="196"/>
        <v>0</v>
      </c>
      <c r="AE237" s="21">
        <f>ENERO!AG237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x14ac:dyDescent="0.2">
      <c r="A238" s="623"/>
      <c r="B238" s="554"/>
      <c r="N238" s="10"/>
      <c r="P238" s="10"/>
      <c r="Q238" s="10"/>
      <c r="R238" s="10"/>
      <c r="S238" s="156" t="str">
        <f>+IF(ENERO!S238=0,"",ENERO!S238)</f>
        <v>8001000-3</v>
      </c>
      <c r="T238" s="55" t="str">
        <f>+IF(ENERO!T238=0,"",ENERO!T238)</f>
        <v>Subprogr.Construc. Remodelac. Adecuación y Apliac.3</v>
      </c>
      <c r="U238" s="29">
        <f>+ENERO!U238</f>
        <v>0</v>
      </c>
      <c r="V238" s="17">
        <f>ENERO!V238+FEBRERO!AL238</f>
        <v>0</v>
      </c>
      <c r="W238" s="17">
        <f>ENERO!W238+FEBRERO!AM238</f>
        <v>0</v>
      </c>
      <c r="X238" s="20">
        <f t="shared" si="194"/>
        <v>0</v>
      </c>
      <c r="Y238" s="21">
        <f>ENERO!AA238</f>
        <v>0</v>
      </c>
      <c r="Z238" s="457">
        <v>0</v>
      </c>
      <c r="AA238" s="20">
        <f t="shared" si="195"/>
        <v>0</v>
      </c>
      <c r="AB238" s="21">
        <f>ENERO!AD238</f>
        <v>0</v>
      </c>
      <c r="AC238" s="457">
        <v>0</v>
      </c>
      <c r="AD238" s="20">
        <f t="shared" si="196"/>
        <v>0</v>
      </c>
      <c r="AE238" s="21">
        <f>ENERO!AG238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x14ac:dyDescent="0.2">
      <c r="A239" s="623"/>
      <c r="B239" s="554"/>
      <c r="N239" s="10"/>
      <c r="P239" s="10"/>
      <c r="Q239" s="10"/>
      <c r="S239" s="156" t="str">
        <f>+IF(ENERO!S239=0,"",ENERO!S239)</f>
        <v>8001000-4</v>
      </c>
      <c r="T239" s="55" t="str">
        <f>+IF(ENERO!T239=0,"",ENERO!T239)</f>
        <v>Subprogr.Construc. Remodelac. Adecuación y Apliac.4</v>
      </c>
      <c r="U239" s="29">
        <f>+ENERO!U239</f>
        <v>0</v>
      </c>
      <c r="V239" s="17">
        <f>ENERO!V239+FEBRERO!AL239</f>
        <v>0</v>
      </c>
      <c r="W239" s="17">
        <f>ENERO!W239+FEBRERO!AM239</f>
        <v>0</v>
      </c>
      <c r="X239" s="20">
        <f t="shared" si="194"/>
        <v>0</v>
      </c>
      <c r="Y239" s="21">
        <f>ENERO!AA239</f>
        <v>0</v>
      </c>
      <c r="Z239" s="457">
        <v>0</v>
      </c>
      <c r="AA239" s="20">
        <f t="shared" si="195"/>
        <v>0</v>
      </c>
      <c r="AB239" s="21">
        <f>ENERO!AD239</f>
        <v>0</v>
      </c>
      <c r="AC239" s="457">
        <v>0</v>
      </c>
      <c r="AD239" s="20">
        <f t="shared" si="196"/>
        <v>0</v>
      </c>
      <c r="AE239" s="21">
        <f>ENERO!AG239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x14ac:dyDescent="0.2">
      <c r="A240" s="623"/>
      <c r="B240" s="554"/>
      <c r="N240" s="10"/>
      <c r="P240" s="10"/>
      <c r="Q240" s="10"/>
      <c r="S240" s="156" t="str">
        <f>+IF(ENERO!S240=0,"",ENERO!S240)</f>
        <v>8001000-7</v>
      </c>
      <c r="T240" s="55" t="str">
        <f>+IF(ENERO!T240=0,"",ENERO!T240)</f>
        <v>Subprogr.Construc. Remodelac. Adecuación y Apliac.5</v>
      </c>
      <c r="U240" s="29">
        <f>+ENERO!U240</f>
        <v>0</v>
      </c>
      <c r="V240" s="17">
        <f>ENERO!V240+FEBRERO!AL240</f>
        <v>0</v>
      </c>
      <c r="W240" s="17">
        <f>ENERO!W240+FEBRERO!AM240</f>
        <v>0</v>
      </c>
      <c r="X240" s="20">
        <f t="shared" si="194"/>
        <v>0</v>
      </c>
      <c r="Y240" s="21">
        <f>ENERO!AA240</f>
        <v>0</v>
      </c>
      <c r="Z240" s="457">
        <v>0</v>
      </c>
      <c r="AA240" s="20">
        <f t="shared" si="195"/>
        <v>0</v>
      </c>
      <c r="AB240" s="21">
        <f>ENERO!AD240</f>
        <v>0</v>
      </c>
      <c r="AC240" s="457">
        <v>0</v>
      </c>
      <c r="AD240" s="20">
        <f t="shared" si="196"/>
        <v>0</v>
      </c>
      <c r="AE240" s="21">
        <f>ENERO!AG240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s="467" customFormat="1" ht="14.25" x14ac:dyDescent="0.2">
      <c r="A241" s="623"/>
      <c r="B241" s="554"/>
      <c r="N241" s="10"/>
      <c r="P241" s="10"/>
      <c r="Q241" s="10"/>
      <c r="S241" s="656">
        <f>+IF(ENERO!S241=0,"",ENERO!S241)</f>
        <v>8001999</v>
      </c>
      <c r="T241" s="55" t="str">
        <f>+IF(ENERO!T241=0,"",ENERO!T241)</f>
        <v>Vigencias Anteriores</v>
      </c>
      <c r="U241" s="29">
        <f>+ENERO!U241</f>
        <v>0</v>
      </c>
      <c r="V241" s="17">
        <f>ENERO!V241+FEBRERO!AL241</f>
        <v>0</v>
      </c>
      <c r="W241" s="17">
        <f>ENERO!W241+FEBRERO!AM241</f>
        <v>0</v>
      </c>
      <c r="X241" s="20">
        <f t="shared" si="194"/>
        <v>0</v>
      </c>
      <c r="Y241" s="21">
        <f>ENERO!AA241</f>
        <v>0</v>
      </c>
      <c r="Z241" s="457">
        <v>0</v>
      </c>
      <c r="AA241" s="20">
        <f t="shared" si="195"/>
        <v>0</v>
      </c>
      <c r="AB241" s="21">
        <f>ENERO!AD241</f>
        <v>0</v>
      </c>
      <c r="AC241" s="457">
        <v>0</v>
      </c>
      <c r="AD241" s="20">
        <f t="shared" si="196"/>
        <v>0</v>
      </c>
      <c r="AE241" s="21">
        <f>ENERO!AG241</f>
        <v>0</v>
      </c>
      <c r="AF241" s="457">
        <v>0</v>
      </c>
      <c r="AG241" s="20">
        <f t="shared" si="197"/>
        <v>0</v>
      </c>
      <c r="AH241" s="21">
        <f t="shared" si="198"/>
        <v>0</v>
      </c>
      <c r="AI241" s="17">
        <f t="shared" si="199"/>
        <v>0</v>
      </c>
      <c r="AJ241" s="18">
        <f t="shared" si="200"/>
        <v>0</v>
      </c>
      <c r="AK241" s="10"/>
      <c r="AL241" s="455">
        <v>0</v>
      </c>
      <c r="AM241" s="458">
        <v>0</v>
      </c>
      <c r="AN241" s="10"/>
      <c r="BB241" s="339"/>
      <c r="BC241" s="339"/>
      <c r="BD241" s="339"/>
      <c r="BE241" s="339"/>
      <c r="BF241" s="339"/>
      <c r="BG241" s="339"/>
      <c r="BH241" s="339"/>
      <c r="BI241" s="339"/>
      <c r="BJ241" s="339"/>
      <c r="BK241" s="339"/>
      <c r="BL241" s="339"/>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+IF(ENERO!S242=0,"",ENERO!S242)</f>
        <v/>
      </c>
      <c r="T242" s="649" t="str">
        <f>+IF(ENERO!T242=0,"",ENERO!T242)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+IF(ENERO!S243=0,"",ENERO!S243)</f>
        <v>8002001</v>
      </c>
      <c r="T243" s="159" t="str">
        <f>+IF(ENERO!T243=0,"",ENERO!T243)</f>
        <v>Gastos Operativos de Inversion   (Programas Especiales)</v>
      </c>
      <c r="U243" s="29">
        <f t="shared" ref="U243:AJ243" si="201">SUM(U244:U256)</f>
        <v>121563100</v>
      </c>
      <c r="V243" s="17">
        <f t="shared" si="201"/>
        <v>-1563100</v>
      </c>
      <c r="W243" s="17">
        <f t="shared" si="201"/>
        <v>0</v>
      </c>
      <c r="X243" s="20">
        <f t="shared" si="201"/>
        <v>120000000</v>
      </c>
      <c r="Y243" s="21">
        <f t="shared" si="201"/>
        <v>0</v>
      </c>
      <c r="Z243" s="169">
        <f t="shared" si="201"/>
        <v>19019492</v>
      </c>
      <c r="AA243" s="20">
        <f t="shared" si="201"/>
        <v>19019492</v>
      </c>
      <c r="AB243" s="21">
        <f t="shared" si="201"/>
        <v>0</v>
      </c>
      <c r="AC243" s="169">
        <f t="shared" si="201"/>
        <v>19019492</v>
      </c>
      <c r="AD243" s="20">
        <f t="shared" si="201"/>
        <v>19019492</v>
      </c>
      <c r="AE243" s="21">
        <f t="shared" si="201"/>
        <v>0</v>
      </c>
      <c r="AF243" s="169">
        <f t="shared" si="201"/>
        <v>0</v>
      </c>
      <c r="AG243" s="20">
        <f t="shared" si="201"/>
        <v>0</v>
      </c>
      <c r="AH243" s="21">
        <f t="shared" si="201"/>
        <v>100980508</v>
      </c>
      <c r="AI243" s="17">
        <f t="shared" si="201"/>
        <v>100980508</v>
      </c>
      <c r="AJ243" s="18">
        <f t="shared" si="201"/>
        <v>120000000</v>
      </c>
      <c r="AK243" s="10"/>
      <c r="AL243" s="21">
        <f>SUM(AL244:AL256)</f>
        <v>-1563100</v>
      </c>
      <c r="AM243" s="18">
        <f>SUM(AM244:AM256)</f>
        <v>0</v>
      </c>
      <c r="BR243" s="467"/>
    </row>
    <row r="244" spans="1:70" x14ac:dyDescent="0.2">
      <c r="A244" s="623"/>
      <c r="B244" s="554"/>
      <c r="C244" s="467"/>
      <c r="D244" s="467"/>
      <c r="E244" s="467"/>
      <c r="F244" s="467"/>
      <c r="G244" s="467"/>
      <c r="H244" s="467"/>
      <c r="I244" s="467"/>
      <c r="J244" s="467"/>
      <c r="K244" s="467"/>
      <c r="L244" s="467"/>
      <c r="M244" s="467"/>
      <c r="N244" s="10"/>
      <c r="O244" s="467"/>
      <c r="P244" s="10"/>
      <c r="Q244" s="10"/>
      <c r="S244" s="156" t="str">
        <f>+IF(ENERO!S244=0,"",ENERO!S244)</f>
        <v>8002100-1</v>
      </c>
      <c r="T244" s="55" t="str">
        <f>+IF(ENERO!T244=0,"",ENERO!T244)</f>
        <v>Salud Pública</v>
      </c>
      <c r="U244" s="29">
        <f>+ENERO!U244</f>
        <v>120000000</v>
      </c>
      <c r="V244" s="17">
        <f>ENERO!V244+FEBRERO!AL244</f>
        <v>0</v>
      </c>
      <c r="W244" s="17">
        <f>ENERO!W244+FEBRERO!AM244</f>
        <v>0</v>
      </c>
      <c r="X244" s="20">
        <f t="shared" ref="X244:X256" si="202">SUM(U244:W244)</f>
        <v>120000000</v>
      </c>
      <c r="Y244" s="21">
        <f>ENERO!AA244</f>
        <v>0</v>
      </c>
      <c r="Z244" s="457">
        <v>19019492</v>
      </c>
      <c r="AA244" s="20">
        <f t="shared" ref="AA244:AA256" si="203">SUM(Y244:Z244)</f>
        <v>19019492</v>
      </c>
      <c r="AB244" s="21">
        <f>ENERO!AD244</f>
        <v>0</v>
      </c>
      <c r="AC244" s="457">
        <v>19019492</v>
      </c>
      <c r="AD244" s="20">
        <f t="shared" ref="AD244:AD256" si="204">SUM(AB244:AC244)</f>
        <v>19019492</v>
      </c>
      <c r="AE244" s="21">
        <f>ENERO!AG244</f>
        <v>0</v>
      </c>
      <c r="AF244" s="457">
        <v>0</v>
      </c>
      <c r="AG244" s="20">
        <f t="shared" ref="AG244:AG256" si="205">SUM(AE244:AF244)</f>
        <v>0</v>
      </c>
      <c r="AH244" s="21">
        <f t="shared" ref="AH244:AH256" si="206">X244-AA244</f>
        <v>100980508</v>
      </c>
      <c r="AI244" s="17">
        <f t="shared" ref="AI244:AI256" si="207">X244-AD244</f>
        <v>100980508</v>
      </c>
      <c r="AJ244" s="18">
        <f t="shared" ref="AJ244:AJ256" si="208">X244-AG244</f>
        <v>120000000</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+IF(ENERO!S245=0,"",ENERO!S245)</f>
        <v>8002100-2</v>
      </c>
      <c r="T245" s="55" t="str">
        <f>+IF(ENERO!T245=0,"",ENERO!T245)</f>
        <v>Programas Especial 01</v>
      </c>
      <c r="U245" s="29">
        <f>+ENERO!U245</f>
        <v>0</v>
      </c>
      <c r="V245" s="17">
        <f>ENERO!V245+FEBRERO!AL245</f>
        <v>0</v>
      </c>
      <c r="W245" s="17">
        <f>ENERO!W245+FEBRERO!AM245</f>
        <v>0</v>
      </c>
      <c r="X245" s="20">
        <f t="shared" si="202"/>
        <v>0</v>
      </c>
      <c r="Y245" s="21">
        <f>ENERO!AA245</f>
        <v>0</v>
      </c>
      <c r="Z245" s="457">
        <v>0</v>
      </c>
      <c r="AA245" s="20">
        <f t="shared" si="203"/>
        <v>0</v>
      </c>
      <c r="AB245" s="21">
        <f>ENERO!AD245</f>
        <v>0</v>
      </c>
      <c r="AC245" s="457">
        <v>0</v>
      </c>
      <c r="AD245" s="20">
        <f t="shared" si="204"/>
        <v>0</v>
      </c>
      <c r="AE245" s="21">
        <f>ENERO!AG245</f>
        <v>0</v>
      </c>
      <c r="AF245" s="457">
        <v>0</v>
      </c>
      <c r="AG245" s="20">
        <f t="shared" si="205"/>
        <v>0</v>
      </c>
      <c r="AH245" s="21">
        <f t="shared" si="206"/>
        <v>0</v>
      </c>
      <c r="AI245" s="17">
        <f t="shared" si="207"/>
        <v>0</v>
      </c>
      <c r="AJ245" s="18">
        <f t="shared" si="208"/>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+IF(ENERO!S246=0,"",ENERO!S246)</f>
        <v>8002100-3</v>
      </c>
      <c r="T246" s="55" t="str">
        <f>+IF(ENERO!T246=0,"",ENERO!T246)</f>
        <v>Programas Especial 02</v>
      </c>
      <c r="U246" s="29">
        <f>+ENERO!U246</f>
        <v>0</v>
      </c>
      <c r="V246" s="17">
        <f>ENERO!V246+FEBRERO!AL246</f>
        <v>0</v>
      </c>
      <c r="W246" s="17">
        <f>ENERO!W246+FEBRERO!AM246</f>
        <v>0</v>
      </c>
      <c r="X246" s="20">
        <f t="shared" si="202"/>
        <v>0</v>
      </c>
      <c r="Y246" s="21">
        <f>ENERO!AA246</f>
        <v>0</v>
      </c>
      <c r="Z246" s="457">
        <v>0</v>
      </c>
      <c r="AA246" s="20">
        <f t="shared" si="203"/>
        <v>0</v>
      </c>
      <c r="AB246" s="21">
        <f>ENERO!AD246</f>
        <v>0</v>
      </c>
      <c r="AC246" s="457">
        <v>0</v>
      </c>
      <c r="AD246" s="20">
        <f t="shared" si="204"/>
        <v>0</v>
      </c>
      <c r="AE246" s="21">
        <f>ENERO!AG246</f>
        <v>0</v>
      </c>
      <c r="AF246" s="457">
        <v>0</v>
      </c>
      <c r="AG246" s="20">
        <f t="shared" si="205"/>
        <v>0</v>
      </c>
      <c r="AH246" s="21">
        <f t="shared" si="206"/>
        <v>0</v>
      </c>
      <c r="AI246" s="17">
        <f t="shared" si="207"/>
        <v>0</v>
      </c>
      <c r="AJ246" s="18">
        <f t="shared" si="208"/>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+IF(ENERO!S247=0,"",ENERO!S247)</f>
        <v>8002100-4</v>
      </c>
      <c r="T247" s="55" t="str">
        <f>+IF(ENERO!T247=0,"",ENERO!T247)</f>
        <v>Programas Especial 03</v>
      </c>
      <c r="U247" s="29">
        <f>+ENERO!U247</f>
        <v>0</v>
      </c>
      <c r="V247" s="17">
        <f>ENERO!V247+FEBRERO!AL247</f>
        <v>0</v>
      </c>
      <c r="W247" s="17">
        <f>ENERO!W247+FEBRERO!AM247</f>
        <v>0</v>
      </c>
      <c r="X247" s="20">
        <f t="shared" si="202"/>
        <v>0</v>
      </c>
      <c r="Y247" s="21">
        <f>ENERO!AA247</f>
        <v>0</v>
      </c>
      <c r="Z247" s="457">
        <v>0</v>
      </c>
      <c r="AA247" s="20">
        <f t="shared" si="203"/>
        <v>0</v>
      </c>
      <c r="AB247" s="21">
        <f>ENERO!AD247</f>
        <v>0</v>
      </c>
      <c r="AC247" s="457">
        <v>0</v>
      </c>
      <c r="AD247" s="20">
        <f t="shared" si="204"/>
        <v>0</v>
      </c>
      <c r="AE247" s="21">
        <f>ENERO!AG247</f>
        <v>0</v>
      </c>
      <c r="AF247" s="457">
        <v>0</v>
      </c>
      <c r="AG247" s="20">
        <f t="shared" si="205"/>
        <v>0</v>
      </c>
      <c r="AH247" s="21">
        <f t="shared" si="206"/>
        <v>0</v>
      </c>
      <c r="AI247" s="17">
        <f t="shared" si="207"/>
        <v>0</v>
      </c>
      <c r="AJ247" s="18">
        <f t="shared" si="208"/>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+IF(ENERO!S248=0,"",ENERO!S248)</f>
        <v>8002100-5</v>
      </c>
      <c r="T248" s="55" t="str">
        <f>+IF(ENERO!T248=0,"",ENERO!T248)</f>
        <v>Programas Especial 04</v>
      </c>
      <c r="U248" s="29">
        <f>+ENERO!U248</f>
        <v>0</v>
      </c>
      <c r="V248" s="17">
        <f>ENERO!V248+FEBRERO!AL248</f>
        <v>0</v>
      </c>
      <c r="W248" s="17">
        <f>ENERO!W248+FEBRERO!AM248</f>
        <v>0</v>
      </c>
      <c r="X248" s="20">
        <f t="shared" si="202"/>
        <v>0</v>
      </c>
      <c r="Y248" s="21">
        <f>ENERO!AA248</f>
        <v>0</v>
      </c>
      <c r="Z248" s="457">
        <v>0</v>
      </c>
      <c r="AA248" s="20">
        <f t="shared" si="203"/>
        <v>0</v>
      </c>
      <c r="AB248" s="21">
        <f>ENERO!AD248</f>
        <v>0</v>
      </c>
      <c r="AC248" s="457">
        <v>0</v>
      </c>
      <c r="AD248" s="20">
        <f t="shared" si="204"/>
        <v>0</v>
      </c>
      <c r="AE248" s="21">
        <f>ENERO!AG248</f>
        <v>0</v>
      </c>
      <c r="AF248" s="457">
        <v>0</v>
      </c>
      <c r="AG248" s="20">
        <f t="shared" si="205"/>
        <v>0</v>
      </c>
      <c r="AH248" s="21">
        <f t="shared" si="206"/>
        <v>0</v>
      </c>
      <c r="AI248" s="17">
        <f t="shared" si="207"/>
        <v>0</v>
      </c>
      <c r="AJ248" s="18">
        <f t="shared" si="208"/>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+IF(ENERO!S249=0,"",ENERO!S249)</f>
        <v>8002100-6</v>
      </c>
      <c r="T249" s="55" t="str">
        <f>+IF(ENERO!T249=0,"",ENERO!T249)</f>
        <v>Programas Especial 05</v>
      </c>
      <c r="U249" s="29">
        <f>+ENERO!U249</f>
        <v>0</v>
      </c>
      <c r="V249" s="17">
        <f>ENERO!V249+FEBRERO!AL249</f>
        <v>0</v>
      </c>
      <c r="W249" s="17">
        <f>ENERO!W249+FEBRERO!AM249</f>
        <v>0</v>
      </c>
      <c r="X249" s="20">
        <f t="shared" si="202"/>
        <v>0</v>
      </c>
      <c r="Y249" s="21">
        <f>ENERO!AA249</f>
        <v>0</v>
      </c>
      <c r="Z249" s="457">
        <v>0</v>
      </c>
      <c r="AA249" s="20">
        <f t="shared" si="203"/>
        <v>0</v>
      </c>
      <c r="AB249" s="21">
        <f>ENERO!AD249</f>
        <v>0</v>
      </c>
      <c r="AC249" s="457">
        <v>0</v>
      </c>
      <c r="AD249" s="20">
        <f t="shared" si="204"/>
        <v>0</v>
      </c>
      <c r="AE249" s="21">
        <f>ENERO!AG249</f>
        <v>0</v>
      </c>
      <c r="AF249" s="457">
        <v>0</v>
      </c>
      <c r="AG249" s="20">
        <f t="shared" si="205"/>
        <v>0</v>
      </c>
      <c r="AH249" s="21">
        <f t="shared" si="206"/>
        <v>0</v>
      </c>
      <c r="AI249" s="17">
        <f t="shared" si="207"/>
        <v>0</v>
      </c>
      <c r="AJ249" s="18">
        <f t="shared" si="208"/>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+IF(ENERO!S250=0,"",ENERO!S250)</f>
        <v>8002100-7</v>
      </c>
      <c r="T250" s="55" t="str">
        <f>+IF(ENERO!T250=0,"",ENERO!T250)</f>
        <v>Programas Especial 06</v>
      </c>
      <c r="U250" s="29">
        <f>+ENERO!U250</f>
        <v>0</v>
      </c>
      <c r="V250" s="17">
        <f>ENERO!V250+FEBRERO!AL250</f>
        <v>0</v>
      </c>
      <c r="W250" s="17">
        <f>ENERO!W250+FEBRERO!AM250</f>
        <v>0</v>
      </c>
      <c r="X250" s="20">
        <f>SUM(U250:W250)</f>
        <v>0</v>
      </c>
      <c r="Y250" s="21">
        <f>ENERO!AA250</f>
        <v>0</v>
      </c>
      <c r="Z250" s="457">
        <v>0</v>
      </c>
      <c r="AA250" s="20">
        <f>SUM(Y250:Z250)</f>
        <v>0</v>
      </c>
      <c r="AB250" s="21">
        <f>ENERO!AD250</f>
        <v>0</v>
      </c>
      <c r="AC250" s="457">
        <v>0</v>
      </c>
      <c r="AD250" s="20">
        <f>SUM(AB250:AC250)</f>
        <v>0</v>
      </c>
      <c r="AE250" s="21">
        <f>ENERO!AG250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+IF(ENERO!S251=0,"",ENERO!S251)</f>
        <v>8002100-8</v>
      </c>
      <c r="T251" s="55" t="str">
        <f>+IF(ENERO!T251=0,"",ENERO!T251)</f>
        <v>Programas Especial 07</v>
      </c>
      <c r="U251" s="29">
        <f>+ENERO!U251</f>
        <v>0</v>
      </c>
      <c r="V251" s="17">
        <f>ENERO!V251+FEBRERO!AL251</f>
        <v>0</v>
      </c>
      <c r="W251" s="17">
        <f>ENERO!W251+FEBRERO!AM251</f>
        <v>0</v>
      </c>
      <c r="X251" s="20">
        <f>SUM(U251:W251)</f>
        <v>0</v>
      </c>
      <c r="Y251" s="21">
        <f>ENERO!AA251</f>
        <v>0</v>
      </c>
      <c r="Z251" s="457">
        <v>0</v>
      </c>
      <c r="AA251" s="20">
        <f>SUM(Y251:Z251)</f>
        <v>0</v>
      </c>
      <c r="AB251" s="21">
        <f>ENERO!AD251</f>
        <v>0</v>
      </c>
      <c r="AC251" s="457">
        <v>0</v>
      </c>
      <c r="AD251" s="20">
        <f>SUM(AB251:AC251)</f>
        <v>0</v>
      </c>
      <c r="AE251" s="21">
        <f>ENERO!AG251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+IF(ENERO!S252=0,"",ENERO!S252)</f>
        <v>8002100-9</v>
      </c>
      <c r="T252" s="55" t="str">
        <f>+IF(ENERO!T252=0,"",ENERO!T252)</f>
        <v>Programas Especial 08</v>
      </c>
      <c r="U252" s="29">
        <f>+ENERO!U252</f>
        <v>0</v>
      </c>
      <c r="V252" s="17">
        <f>ENERO!V252+FEBRERO!AL252</f>
        <v>0</v>
      </c>
      <c r="W252" s="17">
        <f>ENERO!W252+FEBRERO!AM252</f>
        <v>0</v>
      </c>
      <c r="X252" s="20">
        <f>SUM(U252:W252)</f>
        <v>0</v>
      </c>
      <c r="Y252" s="21">
        <f>ENERO!AA252</f>
        <v>0</v>
      </c>
      <c r="Z252" s="457">
        <v>0</v>
      </c>
      <c r="AA252" s="20">
        <f>SUM(Y252:Z252)</f>
        <v>0</v>
      </c>
      <c r="AB252" s="21">
        <f>ENERO!AD252</f>
        <v>0</v>
      </c>
      <c r="AC252" s="457">
        <v>0</v>
      </c>
      <c r="AD252" s="20">
        <f>SUM(AB252:AC252)</f>
        <v>0</v>
      </c>
      <c r="AE252" s="21">
        <f>ENERO!AG252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+IF(ENERO!S253=0,"",ENERO!S253)</f>
        <v>8002100-10</v>
      </c>
      <c r="T253" s="55" t="str">
        <f>+IF(ENERO!T253=0,"",ENERO!T253)</f>
        <v>Programas Especial 09</v>
      </c>
      <c r="U253" s="29">
        <f>+ENERO!U253</f>
        <v>0</v>
      </c>
      <c r="V253" s="17">
        <f>ENERO!V253+FEBRERO!AL253</f>
        <v>0</v>
      </c>
      <c r="W253" s="17">
        <f>ENERO!W253+FEBRERO!AM253</f>
        <v>0</v>
      </c>
      <c r="X253" s="20">
        <f>SUM(U253:W253)</f>
        <v>0</v>
      </c>
      <c r="Y253" s="21">
        <f>ENERO!AA253</f>
        <v>0</v>
      </c>
      <c r="Z253" s="457">
        <v>0</v>
      </c>
      <c r="AA253" s="20">
        <f>SUM(Y253:Z253)</f>
        <v>0</v>
      </c>
      <c r="AB253" s="21">
        <f>ENERO!AD253</f>
        <v>0</v>
      </c>
      <c r="AC253" s="457">
        <v>0</v>
      </c>
      <c r="AD253" s="20">
        <f>SUM(AB253:AC253)</f>
        <v>0</v>
      </c>
      <c r="AE253" s="21">
        <f>ENERO!AG253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+IF(ENERO!S254=0,"",ENERO!S254)</f>
        <v>8002100-11</v>
      </c>
      <c r="T254" s="55" t="str">
        <f>+IF(ENERO!T254=0,"",ENERO!T254)</f>
        <v>Programas Especial 10</v>
      </c>
      <c r="U254" s="29">
        <f>+ENERO!U254</f>
        <v>0</v>
      </c>
      <c r="V254" s="17">
        <f>ENERO!V254+FEBRERO!AL254</f>
        <v>0</v>
      </c>
      <c r="W254" s="17">
        <f>ENERO!W254+FEBRERO!AM254</f>
        <v>0</v>
      </c>
      <c r="X254" s="20">
        <f>SUM(U254:W254)</f>
        <v>0</v>
      </c>
      <c r="Y254" s="21">
        <f>ENERO!AA254</f>
        <v>0</v>
      </c>
      <c r="Z254" s="457">
        <v>0</v>
      </c>
      <c r="AA254" s="20">
        <f>SUM(Y254:Z254)</f>
        <v>0</v>
      </c>
      <c r="AB254" s="21">
        <f>ENERO!AD254</f>
        <v>0</v>
      </c>
      <c r="AC254" s="457">
        <v>0</v>
      </c>
      <c r="AD254" s="20">
        <f>SUM(AB254:AC254)</f>
        <v>0</v>
      </c>
      <c r="AE254" s="21">
        <f>ENERO!AG254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+IF(ENERO!S255=0,"",ENERO!S255)</f>
        <v>8002100-12</v>
      </c>
      <c r="T255" s="55" t="str">
        <f>+IF(ENERO!T255=0,"",ENERO!T255)</f>
        <v>Programas Especial 11</v>
      </c>
      <c r="U255" s="29">
        <f>+ENERO!U255</f>
        <v>0</v>
      </c>
      <c r="V255" s="17">
        <f>ENERO!V255+FEBRERO!AL255</f>
        <v>0</v>
      </c>
      <c r="W255" s="17">
        <f>ENERO!W255+FEBRERO!AM255</f>
        <v>0</v>
      </c>
      <c r="X255" s="20">
        <f t="shared" si="202"/>
        <v>0</v>
      </c>
      <c r="Y255" s="21">
        <f>ENERO!AA255</f>
        <v>0</v>
      </c>
      <c r="Z255" s="457">
        <v>0</v>
      </c>
      <c r="AA255" s="20">
        <f t="shared" si="203"/>
        <v>0</v>
      </c>
      <c r="AB255" s="21">
        <f>ENERO!AD255</f>
        <v>0</v>
      </c>
      <c r="AC255" s="457">
        <v>0</v>
      </c>
      <c r="AD255" s="20">
        <f t="shared" si="204"/>
        <v>0</v>
      </c>
      <c r="AE255" s="21">
        <f>ENERO!AG255</f>
        <v>0</v>
      </c>
      <c r="AF255" s="457">
        <v>0</v>
      </c>
      <c r="AG255" s="20">
        <f t="shared" si="205"/>
        <v>0</v>
      </c>
      <c r="AH255" s="21">
        <f t="shared" si="206"/>
        <v>0</v>
      </c>
      <c r="AI255" s="17">
        <f t="shared" si="207"/>
        <v>0</v>
      </c>
      <c r="AJ255" s="18">
        <f t="shared" si="208"/>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+IF(ENERO!S256=0,"",ENERO!S256)</f>
        <v>8002999</v>
      </c>
      <c r="T256" s="658" t="str">
        <f>+IF(ENERO!T256=0,"",ENERO!T256)</f>
        <v>Vigencias Anteriores</v>
      </c>
      <c r="U256" s="160">
        <f>+ENERO!U256</f>
        <v>1563100</v>
      </c>
      <c r="V256" s="143">
        <f>ENERO!V256+FEBRERO!AL256</f>
        <v>-1563100</v>
      </c>
      <c r="W256" s="143">
        <f>ENERO!W256+FEBRERO!AM256</f>
        <v>0</v>
      </c>
      <c r="X256" s="149">
        <f t="shared" si="202"/>
        <v>0</v>
      </c>
      <c r="Y256" s="147">
        <f>ENERO!AA256</f>
        <v>0</v>
      </c>
      <c r="Z256" s="475">
        <v>0</v>
      </c>
      <c r="AA256" s="149">
        <f t="shared" si="203"/>
        <v>0</v>
      </c>
      <c r="AB256" s="147">
        <f>ENERO!AD256</f>
        <v>0</v>
      </c>
      <c r="AC256" s="475">
        <v>0</v>
      </c>
      <c r="AD256" s="149">
        <f t="shared" si="204"/>
        <v>0</v>
      </c>
      <c r="AE256" s="147">
        <f>ENERO!AG256</f>
        <v>0</v>
      </c>
      <c r="AF256" s="475">
        <v>0</v>
      </c>
      <c r="AG256" s="149">
        <f t="shared" si="205"/>
        <v>0</v>
      </c>
      <c r="AH256" s="147">
        <f t="shared" si="206"/>
        <v>0</v>
      </c>
      <c r="AI256" s="143">
        <f t="shared" si="207"/>
        <v>0</v>
      </c>
      <c r="AJ256" s="148">
        <f t="shared" si="208"/>
        <v>0</v>
      </c>
      <c r="AK256" s="10"/>
      <c r="AL256" s="471">
        <v>-1563100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+IF(ENERO!S257=0,"",ENERO!S257)</f>
        <v/>
      </c>
      <c r="T257" s="357" t="str">
        <f>+IF(ENERO!T257=0,"",ENERO!T257)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A258" s="623"/>
      <c r="B258" s="554"/>
      <c r="C258" s="467"/>
      <c r="D258" s="467"/>
      <c r="E258" s="467"/>
      <c r="F258" s="467"/>
      <c r="G258" s="467"/>
      <c r="H258" s="467"/>
      <c r="I258" s="467"/>
      <c r="J258" s="467"/>
      <c r="K258" s="467"/>
      <c r="L258" s="467"/>
      <c r="M258" s="467"/>
      <c r="N258" s="10"/>
      <c r="O258" s="467"/>
      <c r="P258" s="10"/>
      <c r="Q258" s="10"/>
      <c r="S258" s="663" t="str">
        <f>+IF(ENERO!S258=0,"",ENERO!S258)</f>
        <v>E</v>
      </c>
      <c r="T258" s="664" t="str">
        <f>+IF(ENERO!T258=0,"",ENERO!T258)</f>
        <v>DISPONIBILIDAD FINAL</v>
      </c>
      <c r="U258" s="415">
        <f>+(C10+C17+C108)-(U10+U207+U220+U232)</f>
        <v>0</v>
      </c>
      <c r="V258" s="415">
        <f t="shared" ref="V258:AJ258" si="209">+(D10+D17+D108)-(V10+V207+V220+V232)</f>
        <v>0</v>
      </c>
      <c r="W258" s="415">
        <f t="shared" si="209"/>
        <v>0</v>
      </c>
      <c r="X258" s="415">
        <f t="shared" si="209"/>
        <v>0</v>
      </c>
      <c r="Y258" s="415">
        <f t="shared" si="209"/>
        <v>-43398310</v>
      </c>
      <c r="Z258" s="415">
        <f t="shared" si="209"/>
        <v>126471940</v>
      </c>
      <c r="AA258" s="415">
        <f t="shared" si="209"/>
        <v>83073630</v>
      </c>
      <c r="AB258" s="415">
        <f t="shared" si="209"/>
        <v>-104110043</v>
      </c>
      <c r="AC258" s="415">
        <f t="shared" si="209"/>
        <v>71401249</v>
      </c>
      <c r="AD258" s="415">
        <f t="shared" si="209"/>
        <v>-32708794</v>
      </c>
      <c r="AE258" s="415">
        <f t="shared" si="209"/>
        <v>2738149905</v>
      </c>
      <c r="AF258" s="415">
        <f t="shared" si="209"/>
        <v>2664168517</v>
      </c>
      <c r="AG258" s="415">
        <f t="shared" si="209"/>
        <v>-500008807</v>
      </c>
      <c r="AH258" s="415">
        <f t="shared" si="209"/>
        <v>-2976345232</v>
      </c>
      <c r="AI258" s="415">
        <f t="shared" si="209"/>
        <v>-2943272718</v>
      </c>
      <c r="AJ258" s="415">
        <f t="shared" si="209"/>
        <v>-3164566320</v>
      </c>
      <c r="AK258" s="10"/>
      <c r="AL258" s="415">
        <v>0</v>
      </c>
      <c r="AM258" s="416">
        <v>0</v>
      </c>
    </row>
    <row r="259" spans="1:39" ht="17.25" thickBot="1" x14ac:dyDescent="0.25">
      <c r="S259" s="982" t="str">
        <f>+IF(ENERO!S259=0,"",ENERO!S259)</f>
        <v>TOTAL VIGENCIAS ANTERIORES</v>
      </c>
      <c r="T259" s="983"/>
      <c r="U259" s="145">
        <f t="shared" ref="U259:AJ259" si="210">+SUMIF($T$8:$T$256,$T$33,U8:U256)</f>
        <v>91581965</v>
      </c>
      <c r="V259" s="133">
        <f t="shared" si="210"/>
        <v>20797411</v>
      </c>
      <c r="W259" s="133">
        <f t="shared" si="210"/>
        <v>33074115</v>
      </c>
      <c r="X259" s="146">
        <f t="shared" si="210"/>
        <v>145453491</v>
      </c>
      <c r="Y259" s="145">
        <f t="shared" si="210"/>
        <v>145453491</v>
      </c>
      <c r="Z259" s="133">
        <f t="shared" si="210"/>
        <v>0</v>
      </c>
      <c r="AA259" s="146">
        <f t="shared" si="210"/>
        <v>145453491</v>
      </c>
      <c r="AB259" s="145">
        <f t="shared" si="210"/>
        <v>145453491</v>
      </c>
      <c r="AC259" s="133">
        <f t="shared" si="210"/>
        <v>0</v>
      </c>
      <c r="AD259" s="146">
        <f t="shared" si="210"/>
        <v>145453491</v>
      </c>
      <c r="AE259" s="145">
        <f t="shared" si="210"/>
        <v>22670543</v>
      </c>
      <c r="AF259" s="133">
        <f t="shared" si="210"/>
        <v>82953483</v>
      </c>
      <c r="AG259" s="146">
        <f t="shared" si="210"/>
        <v>105624026</v>
      </c>
      <c r="AH259" s="145">
        <f t="shared" si="210"/>
        <v>0</v>
      </c>
      <c r="AI259" s="133">
        <f t="shared" si="210"/>
        <v>0</v>
      </c>
      <c r="AJ259" s="134">
        <f t="shared" si="210"/>
        <v>39829465</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7">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A1:B1"/>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5"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1"/>
  <sheetViews>
    <sheetView showGridLines="0" topLeftCell="AB1" zoomScale="90" zoomScaleNormal="90" workbookViewId="0">
      <selection activeCell="AG8" sqref="AG8"/>
    </sheetView>
  </sheetViews>
  <sheetFormatPr baseColWidth="10" defaultColWidth="0" defaultRowHeight="12.75" zeroHeight="1"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425781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1.7109375" style="339" customWidth="1"/>
    <col min="59" max="59" width="72.7109375" style="339" customWidth="1"/>
    <col min="60" max="63" width="17.5703125" style="339" customWidth="1"/>
    <col min="64" max="64" width="35.42578125" style="339" customWidth="1"/>
    <col min="65" max="65" width="76" style="339" customWidth="1"/>
    <col min="66" max="66" width="17.28515625" style="339" customWidth="1"/>
    <col min="67" max="67" width="17" style="339" customWidth="1"/>
    <col min="68" max="68" width="18.28515625" style="339" customWidth="1"/>
    <col min="69" max="69" width="17.7109375" style="339" customWidth="1"/>
    <col min="70" max="70" width="11" style="339" customWidth="1"/>
    <col min="71" max="71" width="2.28515625" style="339" customWidth="1"/>
    <col min="72" max="16384" width="11" style="339" hidden="1"/>
  </cols>
  <sheetData>
    <row r="1" spans="1:69" ht="39.75" customHeight="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3</v>
      </c>
      <c r="AP2" s="349" t="s">
        <v>8</v>
      </c>
      <c r="AQ2" s="350"/>
      <c r="AR2" s="4"/>
      <c r="AS2" s="4"/>
      <c r="AT2" s="4"/>
      <c r="AU2" s="4"/>
      <c r="AV2" s="4"/>
      <c r="AW2" s="4"/>
      <c r="AX2" s="4"/>
      <c r="AY2" s="4"/>
      <c r="AZ2" s="5"/>
      <c r="BB2" s="952" t="s">
        <v>423</v>
      </c>
      <c r="BC2" s="969"/>
      <c r="BD2" s="69" t="s">
        <v>409</v>
      </c>
      <c r="BE2" s="347" t="str">
        <f>+L3</f>
        <v>MARZO</v>
      </c>
      <c r="BF2" s="340"/>
      <c r="BG2" s="952" t="s">
        <v>424</v>
      </c>
      <c r="BH2" s="969"/>
      <c r="BI2" s="969"/>
      <c r="BJ2" s="69" t="s">
        <v>409</v>
      </c>
      <c r="BK2" s="347" t="str">
        <f>+BE2</f>
        <v>MARZO</v>
      </c>
      <c r="BM2" s="952" t="s">
        <v>424</v>
      </c>
      <c r="BN2" s="969"/>
      <c r="BO2" s="969"/>
      <c r="BP2" s="69" t="s">
        <v>409</v>
      </c>
      <c r="BQ2" s="347" t="str">
        <f>+BK2</f>
        <v>MARZO</v>
      </c>
    </row>
    <row r="3" spans="1:69" ht="15" customHeight="1"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385</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MARZO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5" customHeight="1"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50.25" customHeight="1" thickTop="1" thickBot="1" x14ac:dyDescent="0.3">
      <c r="A5" s="945" t="s">
        <v>19</v>
      </c>
      <c r="B5" s="947" t="str">
        <f>IF(SUM(C8:N125)=0,"DESCRIPCIÓN",IF(I10&gt;0,"DESCRIPCIÓN",IF(MARZO!I10=0,"OJO - RECUERDE RECAUDAR LA DISPONIBLIDAD INICIAL EN ESTE TRIMESTRE, haga clik en H9 para ampliar la información","")))</f>
        <v>DESCRIPCIÓN</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1007" t="s">
        <v>386</v>
      </c>
      <c r="BG5" s="689" t="s">
        <v>34</v>
      </c>
      <c r="BH5" s="977" t="str">
        <f>+CONCATENATE("ACUMULADO ",N3)</f>
        <v>ACUMULADO 2014</v>
      </c>
      <c r="BI5" s="978"/>
      <c r="BJ5" s="978"/>
      <c r="BK5" s="1004"/>
      <c r="BL5" s="1005" t="s">
        <v>387</v>
      </c>
      <c r="BM5" s="975" t="s">
        <v>34</v>
      </c>
      <c r="BN5" s="379" t="str">
        <f>+CONCATENATE("ACUMULADO ",BQ3)</f>
        <v>ACUMULADO 2014</v>
      </c>
      <c r="BO5" s="380"/>
      <c r="BP5" s="381"/>
      <c r="BQ5" s="690"/>
    </row>
    <row r="6" spans="1:69" ht="16.5" customHeight="1"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MARZO</v>
      </c>
      <c r="AS6" s="387" t="str">
        <f>AR6</f>
        <v>MARZO</v>
      </c>
      <c r="AT6" s="387" t="str">
        <f>AR6</f>
        <v>MARZO</v>
      </c>
      <c r="AU6" s="387" t="s">
        <v>16</v>
      </c>
      <c r="AV6" s="387" t="s">
        <v>31</v>
      </c>
      <c r="AW6" s="387"/>
      <c r="AX6" s="387"/>
      <c r="AY6" s="387" t="s">
        <v>16</v>
      </c>
      <c r="AZ6" s="388" t="s">
        <v>31</v>
      </c>
      <c r="BB6" s="389"/>
      <c r="BC6" s="390" t="s">
        <v>47</v>
      </c>
      <c r="BD6" s="391" t="s">
        <v>48</v>
      </c>
      <c r="BE6" s="392" t="s">
        <v>49</v>
      </c>
      <c r="BF6" s="1008"/>
      <c r="BG6" s="691"/>
      <c r="BH6" s="692" t="s">
        <v>47</v>
      </c>
      <c r="BI6" s="692" t="s">
        <v>50</v>
      </c>
      <c r="BJ6" s="692" t="s">
        <v>51</v>
      </c>
      <c r="BK6" s="693" t="s">
        <v>52</v>
      </c>
      <c r="BL6" s="1006"/>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79022639</v>
      </c>
      <c r="AS7" s="401">
        <f>L22</f>
        <v>18950543</v>
      </c>
      <c r="AT7" s="15"/>
      <c r="AU7" s="402">
        <f>IF(AQ7=0," ",AR7/AQ7)</f>
        <v>0.33564057497906097</v>
      </c>
      <c r="AV7" s="402">
        <f>IF(AQ7=0," ",AS7/AQ7)</f>
        <v>8.0490492714188136E-2</v>
      </c>
      <c r="AW7" s="401">
        <f>I23/AO$2*12+I24</f>
        <v>262895393</v>
      </c>
      <c r="AX7" s="401">
        <f>L23/AO$2*12+L24</f>
        <v>22607009</v>
      </c>
      <c r="AY7" s="401">
        <f t="shared" ref="AY7:AY16" si="0">AW7-AQ7</f>
        <v>27457115</v>
      </c>
      <c r="AZ7" s="403">
        <f>AX7-AQ7</f>
        <v>-212831269</v>
      </c>
      <c r="BB7" s="404" t="s">
        <v>55</v>
      </c>
      <c r="BC7" s="72">
        <f>F10</f>
        <v>133074115</v>
      </c>
      <c r="BD7" s="73">
        <f>I10</f>
        <v>133074115</v>
      </c>
      <c r="BE7" s="74">
        <f>K10</f>
        <v>0</v>
      </c>
      <c r="BF7" s="71">
        <f>+ENERO!BE7+FEBRERO!BE7+MARZO!BE7</f>
        <v>133074115</v>
      </c>
      <c r="BG7" s="109" t="s">
        <v>56</v>
      </c>
      <c r="BH7" s="135">
        <f>+SUM(BH8:BH11)</f>
        <v>3095428778</v>
      </c>
      <c r="BI7" s="135">
        <f>+SUM(BI8:BI11)</f>
        <v>704291543</v>
      </c>
      <c r="BJ7" s="135">
        <f>+SUM(BJ8:BJ11)</f>
        <v>704289942</v>
      </c>
      <c r="BK7" s="135">
        <f>+SUM(BK8:BK11)</f>
        <v>211677713</v>
      </c>
      <c r="BL7" s="44">
        <f>+ENERO!BK7+FEBRERO!BK7+MARZO!BK7</f>
        <v>604981494</v>
      </c>
      <c r="BM7" s="79" t="s">
        <v>56</v>
      </c>
      <c r="BN7" s="80">
        <f>BN8+BN15+BN22</f>
        <v>3095428778</v>
      </c>
      <c r="BO7" s="81">
        <f>BO8+BO15+BO22</f>
        <v>704291543</v>
      </c>
      <c r="BP7" s="81">
        <f>BP8+BP15+BP22</f>
        <v>704289942</v>
      </c>
      <c r="BQ7" s="82">
        <f>BQ8+BQ15+BQ22</f>
        <v>211677713</v>
      </c>
    </row>
    <row r="8" spans="1:69" s="10" customFormat="1" ht="24" thickBot="1" x14ac:dyDescent="0.3">
      <c r="A8" s="405">
        <f>+IF(FEBRERO!A8=0,"",FEBRERO!A8)</f>
        <v>1</v>
      </c>
      <c r="B8" s="670" t="str">
        <f>+IF(FEBRERO!B8=0,"",FEBRERO!B8)</f>
        <v>INGRESOS</v>
      </c>
      <c r="C8" s="407">
        <f>C10+C17+C108</f>
        <v>3631501012</v>
      </c>
      <c r="D8" s="407">
        <f t="shared" ref="D8:N8" si="1">D10+D17+D108</f>
        <v>0</v>
      </c>
      <c r="E8" s="407">
        <f t="shared" si="1"/>
        <v>58523183</v>
      </c>
      <c r="F8" s="407">
        <f t="shared" si="1"/>
        <v>3690024195</v>
      </c>
      <c r="G8" s="407">
        <f t="shared" si="1"/>
        <v>771303525</v>
      </c>
      <c r="H8" s="407">
        <f t="shared" si="1"/>
        <v>403063851</v>
      </c>
      <c r="I8" s="407">
        <f t="shared" si="1"/>
        <v>1174367376</v>
      </c>
      <c r="J8" s="407">
        <f t="shared" si="1"/>
        <v>655519500</v>
      </c>
      <c r="K8" s="407">
        <f t="shared" si="1"/>
        <v>340748652</v>
      </c>
      <c r="L8" s="407">
        <f t="shared" si="1"/>
        <v>996268152</v>
      </c>
      <c r="M8" s="407">
        <f t="shared" si="1"/>
        <v>2515656819</v>
      </c>
      <c r="N8" s="408">
        <f t="shared" si="1"/>
        <v>2693756043</v>
      </c>
      <c r="O8" s="409"/>
      <c r="P8" s="410">
        <f>P10+P17+P108</f>
        <v>0</v>
      </c>
      <c r="Q8" s="408">
        <f>Q10+Q17+Q108</f>
        <v>25449068</v>
      </c>
      <c r="S8" s="206" t="str">
        <f>+IF(FEBRERO!S8=0,"",FEBRERO!S8)</f>
        <v/>
      </c>
      <c r="T8" s="411" t="str">
        <f>+IF(FEBRERO!T8=0,"",FEBRERO!T8)</f>
        <v>GASTOS</v>
      </c>
      <c r="U8" s="412">
        <f t="shared" ref="U8:AM8" si="2">U10+U207+U220+U232</f>
        <v>3631501012</v>
      </c>
      <c r="V8" s="413">
        <f t="shared" si="2"/>
        <v>0</v>
      </c>
      <c r="W8" s="413">
        <f t="shared" si="2"/>
        <v>58523183</v>
      </c>
      <c r="X8" s="414">
        <f t="shared" si="2"/>
        <v>3690024195</v>
      </c>
      <c r="Y8" s="415">
        <f t="shared" si="2"/>
        <v>688229895</v>
      </c>
      <c r="Z8" s="413">
        <f t="shared" si="2"/>
        <v>260223632</v>
      </c>
      <c r="AA8" s="414">
        <f t="shared" si="2"/>
        <v>948453527</v>
      </c>
      <c r="AB8" s="415">
        <f t="shared" si="2"/>
        <v>688228294</v>
      </c>
      <c r="AC8" s="413">
        <f t="shared" si="2"/>
        <v>260196632</v>
      </c>
      <c r="AD8" s="414">
        <f t="shared" si="2"/>
        <v>948424926</v>
      </c>
      <c r="AE8" s="415">
        <f t="shared" si="2"/>
        <v>500008807</v>
      </c>
      <c r="AF8" s="413">
        <f t="shared" si="2"/>
        <v>258576247</v>
      </c>
      <c r="AG8" s="414">
        <f t="shared" si="2"/>
        <v>758585054</v>
      </c>
      <c r="AH8" s="415">
        <f t="shared" si="2"/>
        <v>2741570668</v>
      </c>
      <c r="AI8" s="413">
        <f t="shared" si="2"/>
        <v>2741599269</v>
      </c>
      <c r="AJ8" s="416">
        <f t="shared" si="2"/>
        <v>2931439141</v>
      </c>
      <c r="AL8" s="417">
        <f t="shared" si="2"/>
        <v>0</v>
      </c>
      <c r="AM8" s="418">
        <f t="shared" si="2"/>
        <v>25449068</v>
      </c>
      <c r="AO8" s="23"/>
      <c r="AP8" s="13" t="s">
        <v>58</v>
      </c>
      <c r="AQ8" s="14">
        <f>F25</f>
        <v>2553198704</v>
      </c>
      <c r="AR8" s="14">
        <f>I25</f>
        <v>737177110</v>
      </c>
      <c r="AS8" s="14">
        <f>L25</f>
        <v>638835661</v>
      </c>
      <c r="AT8" s="15"/>
      <c r="AU8" s="419">
        <f>IF(AQ8=0," ",AR8/AQ8)</f>
        <v>0.28872688555148196</v>
      </c>
      <c r="AV8" s="419">
        <f>IF(AQ8=0," ",AS8/AQ8)</f>
        <v>0.25020992686513599</v>
      </c>
      <c r="AW8" s="14">
        <f>I26/AO$2*12+I27</f>
        <v>2566487401</v>
      </c>
      <c r="AX8" s="14">
        <f>L26/AO$2*12+L27</f>
        <v>2173121605</v>
      </c>
      <c r="AY8" s="14">
        <f t="shared" si="0"/>
        <v>13288697</v>
      </c>
      <c r="AZ8" s="420">
        <f>AX8-AQ8</f>
        <v>-380077099</v>
      </c>
      <c r="BB8" s="167" t="s">
        <v>59</v>
      </c>
      <c r="BC8" s="83">
        <f>BC9+BC19</f>
        <v>3390927588</v>
      </c>
      <c r="BD8" s="84">
        <f>BD9+BD19</f>
        <v>861054903</v>
      </c>
      <c r="BE8" s="85">
        <f>BE9+BE19</f>
        <v>261343786</v>
      </c>
      <c r="BF8" s="71">
        <f>+ENERO!BE8+FEBRERO!BE8+MARZO!BE8</f>
        <v>682955679</v>
      </c>
      <c r="BG8" s="86" t="s">
        <v>60</v>
      </c>
      <c r="BH8" s="87">
        <f>BN9+BN13</f>
        <v>2162482035</v>
      </c>
      <c r="BI8" s="87">
        <f>BO9+BO13</f>
        <v>541805841</v>
      </c>
      <c r="BJ8" s="87">
        <f>BP9+BP13</f>
        <v>541805841</v>
      </c>
      <c r="BK8" s="87">
        <f>BQ9+BQ13</f>
        <v>155801701</v>
      </c>
      <c r="BL8" s="44">
        <f>+ENERO!BK8+FEBRERO!BK8+MARZO!BK8</f>
        <v>495600396</v>
      </c>
      <c r="BM8" s="89" t="s">
        <v>61</v>
      </c>
      <c r="BN8" s="90">
        <f>BN9+BN14+BN13</f>
        <v>2338916990</v>
      </c>
      <c r="BO8" s="87">
        <f>BO9+BO14+BO13</f>
        <v>565602987</v>
      </c>
      <c r="BP8" s="87">
        <f>BP9+BP14+BP13</f>
        <v>565601387</v>
      </c>
      <c r="BQ8" s="88">
        <f>BQ9+BQ14+BQ13</f>
        <v>167917796</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22748059</v>
      </c>
      <c r="AS9" s="14">
        <f>L28+L75</f>
        <v>22748059</v>
      </c>
      <c r="AT9" s="15"/>
      <c r="AU9" s="429">
        <f>IF(AQ9=0," ",AR9/AQ9)</f>
        <v>20.680053636363635</v>
      </c>
      <c r="AV9" s="429">
        <f>IF(AQ9=0," ",AS9/AQ9)</f>
        <v>20.680053636363635</v>
      </c>
      <c r="AW9" s="430">
        <f>(I30+I33+I36+I76)/AO$2*12+I31+I34+I37+I38+I39+I40+I77</f>
        <v>90992236</v>
      </c>
      <c r="AX9" s="430">
        <f>(L30+L33+L36+L76)/AO$2*12+L31+L34+L37+L38+L39+L40+L77</f>
        <v>90992236</v>
      </c>
      <c r="AY9" s="430">
        <f t="shared" si="0"/>
        <v>89892236</v>
      </c>
      <c r="AZ9" s="431">
        <f>AX9-AQ9</f>
        <v>89892236</v>
      </c>
      <c r="BB9" s="432" t="s">
        <v>456</v>
      </c>
      <c r="BC9" s="91">
        <f>BC10+BC18</f>
        <v>3275748559</v>
      </c>
      <c r="BD9" s="92">
        <f>BD10+BD18</f>
        <v>793689775</v>
      </c>
      <c r="BE9" s="93">
        <f>BE10+BE18</f>
        <v>257874787</v>
      </c>
      <c r="BF9" s="71">
        <f>+ENERO!BE9+FEBRERO!BE9+MARZO!BE9</f>
        <v>615590551</v>
      </c>
      <c r="BG9" s="95" t="s">
        <v>64</v>
      </c>
      <c r="BH9" s="96">
        <f t="shared" ref="BH9:BK10" si="3">BN14</f>
        <v>176434955</v>
      </c>
      <c r="BI9" s="96">
        <f t="shared" si="3"/>
        <v>23797146</v>
      </c>
      <c r="BJ9" s="96">
        <f t="shared" si="3"/>
        <v>23795546</v>
      </c>
      <c r="BK9" s="96">
        <f t="shared" si="3"/>
        <v>12116095</v>
      </c>
      <c r="BL9" s="44">
        <f>+ENERO!BK9+FEBRERO!BK9+MARZO!BK9</f>
        <v>14210545</v>
      </c>
      <c r="BM9" s="164" t="s">
        <v>65</v>
      </c>
      <c r="BN9" s="98">
        <f>SUM(BN10:BN12)</f>
        <v>1595742067</v>
      </c>
      <c r="BO9" s="96">
        <f>SUM(BO10:BO12)</f>
        <v>357223512</v>
      </c>
      <c r="BP9" s="96">
        <f>SUM(BP10:BP12)</f>
        <v>357223512</v>
      </c>
      <c r="BQ9" s="97">
        <f>SUM(BQ10:BQ12)</f>
        <v>120033715</v>
      </c>
    </row>
    <row r="10" spans="1:69" s="10" customFormat="1" ht="20.25" customHeight="1" x14ac:dyDescent="0.25">
      <c r="A10" s="433">
        <f>+IF(FEBRERO!A10=0,"",FEBRERO!A10)</f>
        <v>10</v>
      </c>
      <c r="B10" s="434" t="str">
        <f>+IF(FEBRERO!B10=0,"",FEBRERO!B10)</f>
        <v>DISPONIBILIDAD INICIAL</v>
      </c>
      <c r="C10" s="215">
        <f t="shared" ref="C10:N10" si="4">SUM(C12:C15)</f>
        <v>100000000</v>
      </c>
      <c r="D10" s="435">
        <f t="shared" si="4"/>
        <v>0</v>
      </c>
      <c r="E10" s="435">
        <f t="shared" si="4"/>
        <v>33074115</v>
      </c>
      <c r="F10" s="216">
        <f t="shared" si="4"/>
        <v>133074115</v>
      </c>
      <c r="G10" s="436">
        <f t="shared" si="4"/>
        <v>133074115</v>
      </c>
      <c r="H10" s="435">
        <f t="shared" si="4"/>
        <v>0</v>
      </c>
      <c r="I10" s="437">
        <f t="shared" si="4"/>
        <v>133074115</v>
      </c>
      <c r="J10" s="215">
        <f t="shared" si="4"/>
        <v>133074115</v>
      </c>
      <c r="K10" s="435">
        <f t="shared" si="4"/>
        <v>0</v>
      </c>
      <c r="L10" s="216">
        <f t="shared" si="4"/>
        <v>133074115</v>
      </c>
      <c r="M10" s="215">
        <f t="shared" si="4"/>
        <v>0</v>
      </c>
      <c r="N10" s="216">
        <f t="shared" si="4"/>
        <v>0</v>
      </c>
      <c r="O10" s="15"/>
      <c r="P10" s="215">
        <f>SUM(P12:P15)</f>
        <v>0</v>
      </c>
      <c r="Q10" s="216">
        <f>SUM(Q12:Q15)</f>
        <v>0</v>
      </c>
      <c r="S10" s="438" t="str">
        <f>+IF(FEBRERO!S10=0,"",FEBRERO!S10)</f>
        <v>A</v>
      </c>
      <c r="T10" s="434" t="str">
        <f>+IF(FEBRERO!T10=0,"",FEBRERO!T10)</f>
        <v>GASTOS DE FUNCIONAMIENTO</v>
      </c>
      <c r="U10" s="443">
        <f t="shared" ref="U10:AJ10" si="5">U12+U110+U170+U193</f>
        <v>3509937912</v>
      </c>
      <c r="V10" s="441">
        <f t="shared" si="5"/>
        <v>1563100</v>
      </c>
      <c r="W10" s="441">
        <f t="shared" si="5"/>
        <v>58523183</v>
      </c>
      <c r="X10" s="444">
        <f t="shared" si="5"/>
        <v>3570024195</v>
      </c>
      <c r="Y10" s="443">
        <f t="shared" si="5"/>
        <v>669210403</v>
      </c>
      <c r="Z10" s="441">
        <f t="shared" si="5"/>
        <v>241098140</v>
      </c>
      <c r="AA10" s="442">
        <f t="shared" si="5"/>
        <v>910308543</v>
      </c>
      <c r="AB10" s="443">
        <f t="shared" si="5"/>
        <v>669208802</v>
      </c>
      <c r="AC10" s="441">
        <f t="shared" si="5"/>
        <v>241071140</v>
      </c>
      <c r="AD10" s="442">
        <f t="shared" si="5"/>
        <v>910279942</v>
      </c>
      <c r="AE10" s="443">
        <f t="shared" si="5"/>
        <v>500008807</v>
      </c>
      <c r="AF10" s="441">
        <f t="shared" si="5"/>
        <v>239556755</v>
      </c>
      <c r="AG10" s="442">
        <f t="shared" si="5"/>
        <v>739565562</v>
      </c>
      <c r="AH10" s="443">
        <f t="shared" si="5"/>
        <v>2659715652</v>
      </c>
      <c r="AI10" s="441">
        <f t="shared" si="5"/>
        <v>2659744253</v>
      </c>
      <c r="AJ10" s="442">
        <f t="shared" si="5"/>
        <v>2830458633</v>
      </c>
      <c r="AL10" s="445">
        <f>AL12+AL110+AL170+AL193</f>
        <v>0</v>
      </c>
      <c r="AM10" s="446">
        <f>AM12+AM110+AM170+AM193</f>
        <v>25449068</v>
      </c>
      <c r="AO10" s="428"/>
      <c r="AP10" s="13" t="s">
        <v>67</v>
      </c>
      <c r="AQ10" s="14">
        <f>F42</f>
        <v>125397398</v>
      </c>
      <c r="AR10" s="14">
        <f>I42</f>
        <v>10017527</v>
      </c>
      <c r="AS10" s="14">
        <f>L42</f>
        <v>10017527</v>
      </c>
      <c r="AT10" s="15"/>
      <c r="AU10" s="429">
        <f>IF(AQ10=0," ",AR10/AQ10)</f>
        <v>7.9886242934642068E-2</v>
      </c>
      <c r="AV10" s="429">
        <f>IF(AQ10=0," ",AS10/AQ10)</f>
        <v>7.9886242934642068E-2</v>
      </c>
      <c r="AW10" s="430">
        <f>I43/AO$2*12+I44</f>
        <v>40070108</v>
      </c>
      <c r="AX10" s="430">
        <f>L43/AO$2*12+L44</f>
        <v>40070108</v>
      </c>
      <c r="AY10" s="430">
        <f t="shared" si="0"/>
        <v>-85327290</v>
      </c>
      <c r="AZ10" s="431">
        <f>AX10-AQ10</f>
        <v>-85327290</v>
      </c>
      <c r="BB10" s="447" t="s">
        <v>457</v>
      </c>
      <c r="BC10" s="91">
        <f>BC11+BC12+BC13+BC14+BC16+BC17+BC15</f>
        <v>3023223118</v>
      </c>
      <c r="BD10" s="92">
        <f>BD11+BD12+BD13+BD14+BD16+BD17+BD15</f>
        <v>730558415</v>
      </c>
      <c r="BE10" s="93">
        <f>BE11+BE12+BE13+BE14+BE16+BE17+BE15</f>
        <v>194743427</v>
      </c>
      <c r="BF10" s="71">
        <f>+ENERO!BE10+FEBRERO!BE10+MARZO!BE10</f>
        <v>552459191</v>
      </c>
      <c r="BG10" s="86" t="s">
        <v>68</v>
      </c>
      <c r="BH10" s="99">
        <f t="shared" si="3"/>
        <v>558744299</v>
      </c>
      <c r="BI10" s="99">
        <f t="shared" si="3"/>
        <v>108235729</v>
      </c>
      <c r="BJ10" s="99">
        <f t="shared" si="3"/>
        <v>108235728</v>
      </c>
      <c r="BK10" s="99">
        <f t="shared" si="3"/>
        <v>36425940</v>
      </c>
      <c r="BL10" s="44">
        <f>+ENERO!BK10+FEBRERO!BK10+MARZO!BK10</f>
        <v>69094246</v>
      </c>
      <c r="BM10" s="161" t="s">
        <v>470</v>
      </c>
      <c r="BN10" s="101">
        <f>X17+X66</f>
        <v>1269481968</v>
      </c>
      <c r="BO10" s="99">
        <f>AA17+AA66</f>
        <v>318627372</v>
      </c>
      <c r="BP10" s="99">
        <f>AD17+AD66</f>
        <v>318627372</v>
      </c>
      <c r="BQ10" s="100">
        <f>AF17+AF66</f>
        <v>109026001</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450"/>
      <c r="V11" s="193"/>
      <c r="W11" s="193"/>
      <c r="X11" s="193"/>
      <c r="Y11" s="450"/>
      <c r="Z11" s="193"/>
      <c r="AA11" s="207"/>
      <c r="AB11" s="450"/>
      <c r="AC11" s="193"/>
      <c r="AD11" s="207"/>
      <c r="AE11" s="450"/>
      <c r="AF11" s="193"/>
      <c r="AG11" s="207"/>
      <c r="AH11" s="450"/>
      <c r="AI11" s="193"/>
      <c r="AJ11" s="207"/>
      <c r="AL11" s="451"/>
      <c r="AM11" s="452"/>
      <c r="AO11" s="453" t="s">
        <v>13</v>
      </c>
      <c r="AP11" s="717" t="s">
        <v>592</v>
      </c>
      <c r="AQ11" s="14">
        <f>F88</f>
        <v>0</v>
      </c>
      <c r="AR11" s="14">
        <f>I88</f>
        <v>0</v>
      </c>
      <c r="AS11" s="14">
        <f>L88</f>
        <v>0</v>
      </c>
      <c r="AT11" s="454">
        <f>AO2/12</f>
        <v>0.25</v>
      </c>
      <c r="AU11" s="429" t="str">
        <f>IF(AQ11=0," ",AR11/AQ11)</f>
        <v xml:space="preserve"> </v>
      </c>
      <c r="AV11" s="429" t="str">
        <f>IF(AQ11=0," ",AS11/AQ11)</f>
        <v xml:space="preserve"> </v>
      </c>
      <c r="AW11" s="430">
        <f>I88</f>
        <v>0</v>
      </c>
      <c r="AX11" s="430">
        <f>L88</f>
        <v>0</v>
      </c>
      <c r="AY11" s="430">
        <f t="shared" si="0"/>
        <v>0</v>
      </c>
      <c r="AZ11" s="431">
        <f>AX11-AQ11</f>
        <v>0</v>
      </c>
      <c r="BB11" s="447" t="s">
        <v>458</v>
      </c>
      <c r="BC11" s="91">
        <f>F26</f>
        <v>2490198704</v>
      </c>
      <c r="BD11" s="92">
        <f>I26</f>
        <v>609770097</v>
      </c>
      <c r="BE11" s="93">
        <f>K26</f>
        <v>170745948</v>
      </c>
      <c r="BF11" s="71">
        <f>+ENERO!BE11+FEBRERO!BE11+MARZO!BE11</f>
        <v>511428648</v>
      </c>
      <c r="BG11" s="86" t="s">
        <v>69</v>
      </c>
      <c r="BH11" s="102">
        <f>BN22</f>
        <v>197767489</v>
      </c>
      <c r="BI11" s="102">
        <f>BO22</f>
        <v>30452827</v>
      </c>
      <c r="BJ11" s="102">
        <f>BP22</f>
        <v>30452827</v>
      </c>
      <c r="BK11" s="102">
        <f>BQ22</f>
        <v>7333977</v>
      </c>
      <c r="BL11" s="44">
        <f>+ENERO!BK11+FEBRERO!BK11+MARZO!BK11</f>
        <v>26076307</v>
      </c>
      <c r="BM11" s="162" t="s">
        <v>471</v>
      </c>
      <c r="BN11" s="104">
        <f>X18+X67</f>
        <v>136976782</v>
      </c>
      <c r="BO11" s="102">
        <f>AA18+AA67</f>
        <v>24444006</v>
      </c>
      <c r="BP11" s="102">
        <f>AD18+AD67</f>
        <v>24444006</v>
      </c>
      <c r="BQ11" s="103">
        <f>AF18+AF67</f>
        <v>6882688</v>
      </c>
    </row>
    <row r="12" spans="1:69" s="10" customFormat="1" ht="25.5" x14ac:dyDescent="0.25">
      <c r="A12" s="203">
        <f>+IF(FEBRERO!A12=0,"",FEBRERO!A12)</f>
        <v>1001</v>
      </c>
      <c r="B12" s="251" t="str">
        <f>+IF(FEBRERO!B12=0,"",FEBRERO!B12)</f>
        <v>Bienestar Social (Caja, Bancos, Inversiones Tempor.) a Dic-31-2013</v>
      </c>
      <c r="C12" s="283">
        <f>+ENERO!C12</f>
        <v>0</v>
      </c>
      <c r="D12" s="456">
        <f>FEBRERO!D12+MARZO!P12</f>
        <v>0</v>
      </c>
      <c r="E12" s="456">
        <f>FEBRERO!E12+MARZO!Q12</f>
        <v>0</v>
      </c>
      <c r="F12" s="170">
        <f>SUM(C12:E12)</f>
        <v>0</v>
      </c>
      <c r="G12" s="283">
        <f>FEBRERO!I12</f>
        <v>0</v>
      </c>
      <c r="H12" s="457">
        <v>0</v>
      </c>
      <c r="I12" s="170">
        <f>SUM(G12:H12)</f>
        <v>0</v>
      </c>
      <c r="J12" s="283">
        <f>FEBRERO!L12</f>
        <v>0</v>
      </c>
      <c r="K12" s="154">
        <f>+H12</f>
        <v>0</v>
      </c>
      <c r="L12" s="170">
        <f>SUM(J12:K12)</f>
        <v>0</v>
      </c>
      <c r="M12" s="283">
        <f>F12-I12</f>
        <v>0</v>
      </c>
      <c r="N12" s="170">
        <f>F12-L12</f>
        <v>0</v>
      </c>
      <c r="O12" s="365"/>
      <c r="P12" s="455">
        <v>0</v>
      </c>
      <c r="Q12" s="458">
        <v>0</v>
      </c>
      <c r="S12" s="459">
        <f>+IF(FEBRERO!S12=0,"",FEBRERO!S12)</f>
        <v>1000000</v>
      </c>
      <c r="T12" s="675" t="str">
        <f>+IF(FEBRERO!T12=0,"",FEBRERO!T12)</f>
        <v>GASTOS DE PERSONAL</v>
      </c>
      <c r="U12" s="445">
        <f t="shared" ref="U12:AJ12" si="6">U14+U63</f>
        <v>2360005696</v>
      </c>
      <c r="V12" s="462">
        <f t="shared" si="6"/>
        <v>0</v>
      </c>
      <c r="W12" s="462">
        <f t="shared" si="6"/>
        <v>19989110</v>
      </c>
      <c r="X12" s="463">
        <f t="shared" si="6"/>
        <v>2379994806</v>
      </c>
      <c r="Y12" s="445">
        <f t="shared" si="6"/>
        <v>438561790</v>
      </c>
      <c r="Z12" s="462">
        <f t="shared" si="6"/>
        <v>167654013</v>
      </c>
      <c r="AA12" s="446">
        <f t="shared" si="6"/>
        <v>606215803</v>
      </c>
      <c r="AB12" s="445">
        <f t="shared" si="6"/>
        <v>438560190</v>
      </c>
      <c r="AC12" s="462">
        <f t="shared" si="6"/>
        <v>167654013</v>
      </c>
      <c r="AD12" s="446">
        <f t="shared" si="6"/>
        <v>606214203</v>
      </c>
      <c r="AE12" s="445">
        <f t="shared" si="6"/>
        <v>380991171</v>
      </c>
      <c r="AF12" s="462">
        <f t="shared" si="6"/>
        <v>167917796</v>
      </c>
      <c r="AG12" s="446">
        <f t="shared" si="6"/>
        <v>548908967</v>
      </c>
      <c r="AH12" s="445">
        <f t="shared" si="6"/>
        <v>1773779003</v>
      </c>
      <c r="AI12" s="462">
        <f t="shared" si="6"/>
        <v>1773780603</v>
      </c>
      <c r="AJ12" s="446">
        <f t="shared" si="6"/>
        <v>1831085839</v>
      </c>
      <c r="AK12" s="12"/>
      <c r="AL12" s="464">
        <f>AL14+AL63</f>
        <v>0</v>
      </c>
      <c r="AM12" s="465">
        <f>AM14+AM63</f>
        <v>1665000</v>
      </c>
      <c r="AO12" s="453"/>
      <c r="AP12" s="717" t="s">
        <v>593</v>
      </c>
      <c r="AQ12" s="14">
        <f>F89</f>
        <v>0</v>
      </c>
      <c r="AR12" s="14">
        <f>I89</f>
        <v>0</v>
      </c>
      <c r="AS12" s="14">
        <f>L89</f>
        <v>0</v>
      </c>
      <c r="AT12" s="15"/>
      <c r="AU12" s="429"/>
      <c r="AV12" s="429"/>
      <c r="AW12" s="430">
        <f>I89</f>
        <v>0</v>
      </c>
      <c r="AX12" s="430">
        <f>L89</f>
        <v>0</v>
      </c>
      <c r="AY12" s="430">
        <f t="shared" si="0"/>
        <v>0</v>
      </c>
      <c r="AZ12" s="431"/>
      <c r="BB12" s="447" t="s">
        <v>459</v>
      </c>
      <c r="BC12" s="91">
        <f>F23</f>
        <v>190033939</v>
      </c>
      <c r="BD12" s="92">
        <f>I23</f>
        <v>61290918</v>
      </c>
      <c r="BE12" s="93">
        <f>K23</f>
        <v>1187932</v>
      </c>
      <c r="BF12" s="71">
        <f>+ENERO!BE12+FEBRERO!BE12+MARZO!BE12</f>
        <v>1218822</v>
      </c>
      <c r="BG12" s="466" t="s">
        <v>412</v>
      </c>
      <c r="BH12" s="102">
        <f>BN25</f>
        <v>328675926</v>
      </c>
      <c r="BI12" s="102">
        <f>BO25</f>
        <v>60563509</v>
      </c>
      <c r="BJ12" s="102">
        <f>BP25</f>
        <v>60536509</v>
      </c>
      <c r="BK12" s="102">
        <f>BQ25</f>
        <v>4528098</v>
      </c>
      <c r="BL12" s="44">
        <f>+ENERO!BK12+FEBRERO!BK12+MARZO!BK12</f>
        <v>5609098</v>
      </c>
      <c r="BM12" s="163" t="s">
        <v>472</v>
      </c>
      <c r="BN12" s="104">
        <f>X16+X65-X81-X33-BN10-BN11</f>
        <v>189283317</v>
      </c>
      <c r="BO12" s="102">
        <f>AA16+AA65-AA81-AA33-BO10-BO11</f>
        <v>14152134</v>
      </c>
      <c r="BP12" s="102">
        <f>AD16+AD65-AD81-AD33-BP10-BP11</f>
        <v>14152134</v>
      </c>
      <c r="BQ12" s="103">
        <f>AF16+AF65-AF81-AF33-BQ10-BQ11</f>
        <v>4125026</v>
      </c>
    </row>
    <row r="13" spans="1:69" s="10" customFormat="1" ht="25.5" x14ac:dyDescent="0.25">
      <c r="A13" s="203">
        <f>+IF(FEBRERO!A13=0,"",FEBRERO!A13)</f>
        <v>1002</v>
      </c>
      <c r="B13" s="251" t="str">
        <f>+IF(FEBRERO!B13=0,"",FEBRERO!B13)</f>
        <v>Fondo Vivienda (Caja, Bancos, Inversiones Tempor.) a Dic-31-2013</v>
      </c>
      <c r="C13" s="283">
        <f>+ENERO!C13</f>
        <v>0</v>
      </c>
      <c r="D13" s="456">
        <f>FEBRERO!D13+MARZO!P13</f>
        <v>0</v>
      </c>
      <c r="E13" s="456">
        <f>FEBRERO!E13+MARZO!Q13</f>
        <v>0</v>
      </c>
      <c r="F13" s="170">
        <f>SUM(C13:E13)</f>
        <v>0</v>
      </c>
      <c r="G13" s="283">
        <f>FEBRERO!I13</f>
        <v>0</v>
      </c>
      <c r="H13" s="457">
        <v>0</v>
      </c>
      <c r="I13" s="170">
        <f>SUM(G13:H13)</f>
        <v>0</v>
      </c>
      <c r="J13" s="283">
        <f>FEBRERO!L13</f>
        <v>0</v>
      </c>
      <c r="K13" s="154">
        <f>+H13</f>
        <v>0</v>
      </c>
      <c r="L13" s="170">
        <f>SUM(J13:K13)</f>
        <v>0</v>
      </c>
      <c r="M13" s="283">
        <f>F13-I13</f>
        <v>0</v>
      </c>
      <c r="N13" s="170">
        <f>F13-L13</f>
        <v>0</v>
      </c>
      <c r="O13" s="467"/>
      <c r="P13" s="455">
        <v>0</v>
      </c>
      <c r="Q13" s="458">
        <v>0</v>
      </c>
      <c r="S13" s="448"/>
      <c r="T13" s="649"/>
      <c r="U13" s="450"/>
      <c r="V13" s="193"/>
      <c r="W13" s="193"/>
      <c r="X13" s="193"/>
      <c r="Y13" s="450"/>
      <c r="Z13" s="193"/>
      <c r="AA13" s="207"/>
      <c r="AB13" s="450"/>
      <c r="AC13" s="193"/>
      <c r="AD13" s="207"/>
      <c r="AE13" s="450"/>
      <c r="AF13" s="193"/>
      <c r="AG13" s="207"/>
      <c r="AH13" s="450"/>
      <c r="AI13" s="193"/>
      <c r="AJ13" s="207"/>
      <c r="AK13" s="12"/>
      <c r="AL13" s="451"/>
      <c r="AM13" s="452"/>
      <c r="AO13" s="22"/>
      <c r="AP13" s="717" t="s">
        <v>594</v>
      </c>
      <c r="AQ13" s="14">
        <f>F90</f>
        <v>0</v>
      </c>
      <c r="AR13" s="14">
        <f>I90</f>
        <v>0</v>
      </c>
      <c r="AS13" s="14">
        <f>L90</f>
        <v>0</v>
      </c>
      <c r="AT13" s="15"/>
      <c r="AU13" s="429"/>
      <c r="AV13" s="429"/>
      <c r="AW13" s="430">
        <f>I90</f>
        <v>0</v>
      </c>
      <c r="AX13" s="430">
        <f>L90</f>
        <v>0</v>
      </c>
      <c r="AY13" s="430">
        <f t="shared" si="0"/>
        <v>0</v>
      </c>
      <c r="AZ13" s="431"/>
      <c r="BA13" s="467"/>
      <c r="BB13" s="468" t="s">
        <v>460</v>
      </c>
      <c r="BC13" s="105">
        <f>+F30+F33+F36+F38+F39+F40</f>
        <v>0</v>
      </c>
      <c r="BD13" s="106">
        <f>+I30+I33+I36+I38+I39+I40</f>
        <v>0</v>
      </c>
      <c r="BE13" s="107">
        <f>+K30+K33+K36+K38+K39+K40</f>
        <v>0</v>
      </c>
      <c r="BF13" s="71">
        <f>+ENERO!BE13+FEBRERO!BE13+MARZO!BE13</f>
        <v>0</v>
      </c>
      <c r="BG13" s="109" t="s">
        <v>72</v>
      </c>
      <c r="BH13" s="102">
        <f t="shared" ref="BH13:BK15" si="7">BN29</f>
        <v>120000000</v>
      </c>
      <c r="BI13" s="102">
        <f t="shared" si="7"/>
        <v>38144984</v>
      </c>
      <c r="BJ13" s="102">
        <f t="shared" si="7"/>
        <v>38144984</v>
      </c>
      <c r="BK13" s="102">
        <f t="shared" si="7"/>
        <v>19019492</v>
      </c>
      <c r="BL13" s="44">
        <f>+ENERO!BK13+FEBRERO!BK13+MARZO!BK13</f>
        <v>19019492</v>
      </c>
      <c r="BM13" s="166" t="s">
        <v>473</v>
      </c>
      <c r="BN13" s="101">
        <f>X43-X55+X57-X61+X90-X102+X104-X108</f>
        <v>566739968</v>
      </c>
      <c r="BO13" s="99">
        <f>AA43-AA55+AA57-AA61+AA90-AA102+AA104-AA108</f>
        <v>184582329</v>
      </c>
      <c r="BP13" s="99">
        <f>AD43-AD55+AD57-AD61+AD90-AD102+AD104-AD108</f>
        <v>184582329</v>
      </c>
      <c r="BQ13" s="100">
        <f>AF43-AF55+AF57-AF61+AF90-AF102+AF104-AF108</f>
        <v>35767986</v>
      </c>
    </row>
    <row r="14" spans="1:69" s="10" customFormat="1" ht="18" customHeight="1" x14ac:dyDescent="0.25">
      <c r="A14" s="203">
        <f>+IF(FEBRERO!A14=0,"",FEBRERO!A14)</f>
        <v>1003</v>
      </c>
      <c r="B14" s="251" t="str">
        <f>+IF(FEBRERO!B14=0,"",FEBRERO!B14)</f>
        <v>Fondos Comunes y Especiales (Caja, Bancos, Invers. Tempor.) a Dic-31-2013</v>
      </c>
      <c r="C14" s="283">
        <f>+ENERO!C14</f>
        <v>80000000</v>
      </c>
      <c r="D14" s="456">
        <f>FEBRERO!D14+MARZO!P14</f>
        <v>0</v>
      </c>
      <c r="E14" s="456">
        <f>FEBRERO!E14+MARZO!Q14</f>
        <v>33074115</v>
      </c>
      <c r="F14" s="170">
        <f>SUM(C14:E14)</f>
        <v>113074115</v>
      </c>
      <c r="G14" s="283">
        <f>FEBRERO!I14</f>
        <v>113074115</v>
      </c>
      <c r="H14" s="457">
        <v>0</v>
      </c>
      <c r="I14" s="170">
        <f>SUM(G14:H14)</f>
        <v>113074115</v>
      </c>
      <c r="J14" s="283">
        <f>FEBRERO!L14</f>
        <v>113074115</v>
      </c>
      <c r="K14" s="154">
        <f>+H14</f>
        <v>0</v>
      </c>
      <c r="L14" s="170">
        <f>SUM(J14:K14)</f>
        <v>113074115</v>
      </c>
      <c r="M14" s="283">
        <f>F14-I14</f>
        <v>0</v>
      </c>
      <c r="N14" s="170">
        <f>F14-L14</f>
        <v>0</v>
      </c>
      <c r="O14" s="467"/>
      <c r="P14" s="455">
        <v>0</v>
      </c>
      <c r="Q14" s="458">
        <v>0</v>
      </c>
      <c r="S14" s="469">
        <f>+IF(FEBRERO!S14=0,"",FEBRERO!S14)</f>
        <v>1010000</v>
      </c>
      <c r="T14" s="676" t="str">
        <f>+IF(FEBRERO!T14=0,"",FEBRERO!T14)</f>
        <v>Gastos de Administración</v>
      </c>
      <c r="U14" s="151">
        <f t="shared" ref="U14:AJ14" si="8">U16+U35+U43+U57</f>
        <v>703883287</v>
      </c>
      <c r="V14" s="144">
        <f t="shared" si="8"/>
        <v>-5657703</v>
      </c>
      <c r="W14" s="144">
        <f t="shared" si="8"/>
        <v>1200000</v>
      </c>
      <c r="X14" s="152">
        <f t="shared" si="8"/>
        <v>699425584</v>
      </c>
      <c r="Y14" s="151">
        <f t="shared" si="8"/>
        <v>120201577</v>
      </c>
      <c r="Z14" s="144">
        <f t="shared" si="8"/>
        <v>48391403</v>
      </c>
      <c r="AA14" s="153">
        <f t="shared" si="8"/>
        <v>168592980</v>
      </c>
      <c r="AB14" s="151">
        <f t="shared" si="8"/>
        <v>120200777</v>
      </c>
      <c r="AC14" s="144">
        <f t="shared" si="8"/>
        <v>48391403</v>
      </c>
      <c r="AD14" s="153">
        <f t="shared" si="8"/>
        <v>168592180</v>
      </c>
      <c r="AE14" s="151">
        <f t="shared" si="8"/>
        <v>101015012</v>
      </c>
      <c r="AF14" s="144">
        <f t="shared" si="8"/>
        <v>44754459</v>
      </c>
      <c r="AG14" s="153">
        <f t="shared" si="8"/>
        <v>145769471</v>
      </c>
      <c r="AH14" s="151">
        <f t="shared" si="8"/>
        <v>530832604</v>
      </c>
      <c r="AI14" s="144">
        <f t="shared" si="8"/>
        <v>530833404</v>
      </c>
      <c r="AJ14" s="153">
        <f t="shared" si="8"/>
        <v>553656113</v>
      </c>
      <c r="AK14" s="12"/>
      <c r="AL14" s="151">
        <f>AL16+AL35+AL43+AL57</f>
        <v>0</v>
      </c>
      <c r="AM14" s="153">
        <f>AM16+AM35+AM43+AM57</f>
        <v>1200000</v>
      </c>
      <c r="AO14" s="23"/>
      <c r="AP14" s="13" t="s">
        <v>75</v>
      </c>
      <c r="AQ14" s="14">
        <f>F19-AQ7-AQ8-AQ9-AQ10-AQ11-AQ12-AQ13</f>
        <v>387837872</v>
      </c>
      <c r="AR14" s="14">
        <f>I19-AR7-AR8-AR9-AR10-AR11-AR12-AR13</f>
        <v>128055931</v>
      </c>
      <c r="AS14" s="14">
        <f>L19-AS7-AS8-AS9-AS10-AS11-AS12-AS13</f>
        <v>108370252</v>
      </c>
      <c r="AT14" s="467"/>
      <c r="AU14" s="429">
        <f>IF(AQ14=0," ",AR14/AQ14)</f>
        <v>0.33017902645670455</v>
      </c>
      <c r="AV14" s="429">
        <f>IF(AQ14=0," ",AS14/AQ14)</f>
        <v>0.27942153106698153</v>
      </c>
      <c r="AW14" s="430">
        <f>(I41+I46+I49+I52+I55+I58+I61+I64+I67+I70+I73+I78+I81+I82+I83+I86+I87+I93)/AO$2*12+I47+I50+I53+I56+I59+I62+I65+I68+I71+I74</f>
        <v>410346757</v>
      </c>
      <c r="AX14" s="430">
        <f>(L41+L46+L49+L52+L55+L58+L61+L64+L67+L70+L73+L78+L81+L82+L83+L86+L87+L93)/AO$2*12+L47+L50+L53+L56+L59+L62+L65+L68+L71+L74</f>
        <v>331604041</v>
      </c>
      <c r="AY14" s="430">
        <f t="shared" si="0"/>
        <v>22508885</v>
      </c>
      <c r="AZ14" s="431">
        <f>AX14-AQ14</f>
        <v>-56233831</v>
      </c>
      <c r="BB14" s="468" t="s">
        <v>461</v>
      </c>
      <c r="BC14" s="110">
        <f>+F64</f>
        <v>40103182</v>
      </c>
      <c r="BD14" s="111">
        <f>+I64</f>
        <v>10945257</v>
      </c>
      <c r="BE14" s="112">
        <f>K64</f>
        <v>1821753</v>
      </c>
      <c r="BF14" s="71">
        <f>+ENERO!BE14+FEBRERO!BE14+MARZO!BE14</f>
        <v>1624653</v>
      </c>
      <c r="BG14" s="109" t="s">
        <v>76</v>
      </c>
      <c r="BH14" s="99">
        <f t="shared" si="7"/>
        <v>0</v>
      </c>
      <c r="BI14" s="99">
        <f t="shared" si="7"/>
        <v>0</v>
      </c>
      <c r="BJ14" s="99">
        <f t="shared" si="7"/>
        <v>0</v>
      </c>
      <c r="BK14" s="99">
        <f t="shared" si="7"/>
        <v>0</v>
      </c>
      <c r="BL14" s="44">
        <f>+ENERO!BK14+FEBRERO!BK14+MARZO!BK14</f>
        <v>0</v>
      </c>
      <c r="BM14" s="165" t="s">
        <v>469</v>
      </c>
      <c r="BN14" s="104">
        <f>X35-X41+X83-X88</f>
        <v>176434955</v>
      </c>
      <c r="BO14" s="102">
        <f>AA35-AA41+AA83-AA88</f>
        <v>23797146</v>
      </c>
      <c r="BP14" s="102">
        <f>AD35-AD41+AD83-AD88</f>
        <v>23795546</v>
      </c>
      <c r="BQ14" s="103">
        <f>AF35-AF41+AF83-AF88</f>
        <v>12116095</v>
      </c>
    </row>
    <row r="15" spans="1:69" s="10" customFormat="1" ht="18" customHeight="1" thickBot="1" x14ac:dyDescent="0.3">
      <c r="A15" s="204">
        <f>+IF(FEBRERO!A15=0,"",FEBRERO!A15)</f>
        <v>1004</v>
      </c>
      <c r="B15" s="677" t="str">
        <f>+IF(FEBRERO!B15=0,"",FEBRERO!B15)</f>
        <v>Cesantias Ley 50/1990 a Dic-31-2013</v>
      </c>
      <c r="C15" s="474">
        <f>+ENERO!C15</f>
        <v>20000000</v>
      </c>
      <c r="D15" s="472">
        <f>FEBRERO!D15+MARZO!P15</f>
        <v>0</v>
      </c>
      <c r="E15" s="472">
        <f>FEBRERO!E15+MARZO!Q15</f>
        <v>0</v>
      </c>
      <c r="F15" s="473">
        <f>SUM(C15:E15)</f>
        <v>20000000</v>
      </c>
      <c r="G15" s="474">
        <f>FEBRERO!I15</f>
        <v>20000000</v>
      </c>
      <c r="H15" s="475">
        <v>0</v>
      </c>
      <c r="I15" s="473">
        <f>SUM(G15:H15)</f>
        <v>20000000</v>
      </c>
      <c r="J15" s="474">
        <f>FEBRERO!L15</f>
        <v>20000000</v>
      </c>
      <c r="K15" s="197">
        <f>+H15</f>
        <v>0</v>
      </c>
      <c r="L15" s="473">
        <f>SUM(J15:K15)</f>
        <v>20000000</v>
      </c>
      <c r="M15" s="474">
        <f>F15-I15</f>
        <v>0</v>
      </c>
      <c r="N15" s="473">
        <f>F15-L15</f>
        <v>0</v>
      </c>
      <c r="O15" s="467"/>
      <c r="P15" s="471">
        <v>0</v>
      </c>
      <c r="Q15" s="476">
        <v>0</v>
      </c>
      <c r="S15" s="448" t="str">
        <f>+IF(FEBRERO!S15=0,"",FEBRERO!S15)</f>
        <v/>
      </c>
      <c r="T15" s="649" t="str">
        <f>+IF(FEBRERO!T15=0,"",FEBRERO!T15)</f>
        <v xml:space="preserve"> </v>
      </c>
      <c r="U15" s="450"/>
      <c r="V15" s="193"/>
      <c r="W15" s="193"/>
      <c r="X15" s="193"/>
      <c r="Y15" s="450"/>
      <c r="Z15" s="193"/>
      <c r="AA15" s="207"/>
      <c r="AB15" s="450"/>
      <c r="AC15" s="193"/>
      <c r="AD15" s="207"/>
      <c r="AE15" s="450"/>
      <c r="AF15" s="193"/>
      <c r="AG15" s="207"/>
      <c r="AH15" s="450"/>
      <c r="AI15" s="193"/>
      <c r="AJ15" s="207"/>
      <c r="AK15" s="12"/>
      <c r="AL15" s="211"/>
      <c r="AM15" s="212"/>
      <c r="AO15" s="22"/>
      <c r="AP15" s="13" t="s">
        <v>78</v>
      </c>
      <c r="AQ15" s="14">
        <f>F108</f>
        <v>1452387</v>
      </c>
      <c r="AR15" s="14">
        <f>I108</f>
        <v>1140635</v>
      </c>
      <c r="AS15" s="14">
        <f>L108</f>
        <v>1140635</v>
      </c>
      <c r="AT15" s="15"/>
      <c r="AU15" s="419">
        <f>IF(AQ15=0," ",AR15/AQ15)</f>
        <v>0.78535197574751081</v>
      </c>
      <c r="AV15" s="419">
        <f>IF(AQ15=0," ",AS15/AQ15)</f>
        <v>0.78535197574751081</v>
      </c>
      <c r="AW15" s="14">
        <f>AQ15</f>
        <v>1452387</v>
      </c>
      <c r="AX15" s="14">
        <f>AR15</f>
        <v>1140635</v>
      </c>
      <c r="AY15" s="14">
        <f t="shared" si="0"/>
        <v>0</v>
      </c>
      <c r="AZ15" s="420">
        <f>AX15-AQ15</f>
        <v>-311752</v>
      </c>
      <c r="BA15" s="467"/>
      <c r="BB15" s="468" t="s">
        <v>79</v>
      </c>
      <c r="BC15" s="110">
        <f>F46+F49</f>
        <v>0</v>
      </c>
      <c r="BD15" s="111">
        <f>I46+I49</f>
        <v>0</v>
      </c>
      <c r="BE15" s="112">
        <f>K46+K49</f>
        <v>0</v>
      </c>
      <c r="BF15" s="71">
        <f>+ENERO!BE15+FEBRERO!BE15+MARZO!BE15</f>
        <v>0</v>
      </c>
      <c r="BG15" s="109" t="s">
        <v>80</v>
      </c>
      <c r="BH15" s="99">
        <f t="shared" si="7"/>
        <v>145919491</v>
      </c>
      <c r="BI15" s="99">
        <f t="shared" si="7"/>
        <v>145453491</v>
      </c>
      <c r="BJ15" s="99">
        <f t="shared" si="7"/>
        <v>145453491</v>
      </c>
      <c r="BK15" s="99">
        <f t="shared" si="7"/>
        <v>23350944</v>
      </c>
      <c r="BL15" s="44">
        <f>+ENERO!BK15+FEBRERO!BK15+MARZO!BK15</f>
        <v>128974970</v>
      </c>
      <c r="BM15" s="89" t="s">
        <v>68</v>
      </c>
      <c r="BN15" s="101">
        <f>SUM(BN16:BN21)</f>
        <v>558744299</v>
      </c>
      <c r="BO15" s="99">
        <f>SUM(BO16:BO21)</f>
        <v>108235729</v>
      </c>
      <c r="BP15" s="99">
        <f>SUM(BP16:BP21)</f>
        <v>108235728</v>
      </c>
      <c r="BQ15" s="100">
        <f>SUM(BQ16:BQ21)</f>
        <v>36425940</v>
      </c>
    </row>
    <row r="16" spans="1:69" s="10" customFormat="1" ht="15.75" thickBot="1" x14ac:dyDescent="0.3">
      <c r="A16" s="198" t="str">
        <f>+IF(FEBRERO!A16=0,"",FEBRERO!A16)</f>
        <v/>
      </c>
      <c r="B16" s="477" t="str">
        <f>+IF(FEBRERO!B16=0,"",FEBRERO!B16)</f>
        <v/>
      </c>
      <c r="C16" s="478"/>
      <c r="D16" s="478"/>
      <c r="E16" s="478"/>
      <c r="F16" s="478"/>
      <c r="G16" s="478"/>
      <c r="H16" s="478"/>
      <c r="I16" s="478"/>
      <c r="J16" s="478"/>
      <c r="K16" s="478"/>
      <c r="L16" s="478"/>
      <c r="M16" s="478"/>
      <c r="N16" s="479"/>
      <c r="O16" s="467"/>
      <c r="P16" s="480"/>
      <c r="Q16" s="481"/>
      <c r="S16" s="34">
        <f>+IF(FEBRERO!S16=0,"",FEBRERO!S16)</f>
        <v>1010100</v>
      </c>
      <c r="T16" s="237" t="str">
        <f>+IF(FEBRERO!T16=0,"",FEBRERO!T16)</f>
        <v>Servicios Personales Asociados a Nómina</v>
      </c>
      <c r="U16" s="151">
        <f t="shared" ref="U16:AJ16" si="9">SUM(U17:U20)+U33</f>
        <v>451022301</v>
      </c>
      <c r="V16" s="144">
        <f t="shared" si="9"/>
        <v>-3476851</v>
      </c>
      <c r="W16" s="144">
        <f t="shared" si="9"/>
        <v>0</v>
      </c>
      <c r="X16" s="152">
        <f t="shared" si="9"/>
        <v>447545450</v>
      </c>
      <c r="Y16" s="151">
        <f t="shared" si="9"/>
        <v>64477167</v>
      </c>
      <c r="Z16" s="144">
        <f t="shared" si="9"/>
        <v>34637853</v>
      </c>
      <c r="AA16" s="153">
        <f t="shared" si="9"/>
        <v>99115020</v>
      </c>
      <c r="AB16" s="151">
        <f t="shared" si="9"/>
        <v>64477167</v>
      </c>
      <c r="AC16" s="144">
        <f t="shared" si="9"/>
        <v>34637853</v>
      </c>
      <c r="AD16" s="153">
        <f t="shared" si="9"/>
        <v>99115020</v>
      </c>
      <c r="AE16" s="151">
        <f t="shared" si="9"/>
        <v>59823139</v>
      </c>
      <c r="AF16" s="144">
        <f t="shared" si="9"/>
        <v>27913170</v>
      </c>
      <c r="AG16" s="153">
        <f t="shared" si="9"/>
        <v>87736309</v>
      </c>
      <c r="AH16" s="151">
        <f t="shared" si="9"/>
        <v>348430430</v>
      </c>
      <c r="AI16" s="144">
        <f t="shared" si="9"/>
        <v>348430430</v>
      </c>
      <c r="AJ16" s="153">
        <f t="shared" si="9"/>
        <v>359809141</v>
      </c>
      <c r="AK16" s="12"/>
      <c r="AL16" s="151">
        <f>SUM(AL17:AL20)+AL33</f>
        <v>0</v>
      </c>
      <c r="AM16" s="153">
        <f>SUM(AM17:AM20)+AM33</f>
        <v>0</v>
      </c>
      <c r="AO16" s="23"/>
      <c r="AP16" s="482" t="s">
        <v>83</v>
      </c>
      <c r="AQ16" s="483">
        <f>F10</f>
        <v>133074115</v>
      </c>
      <c r="AR16" s="483">
        <f>I10</f>
        <v>133074115</v>
      </c>
      <c r="AS16" s="483">
        <f>L10</f>
        <v>133074115</v>
      </c>
      <c r="AT16" s="467"/>
      <c r="AU16" s="484">
        <f>IF(AQ16=0," ",AR16/AQ16)</f>
        <v>1</v>
      </c>
      <c r="AV16" s="484">
        <f>IF(AQ16=0," ",AS16/AQ16)</f>
        <v>1</v>
      </c>
      <c r="AW16" s="483">
        <f>AQ16</f>
        <v>133074115</v>
      </c>
      <c r="AX16" s="483">
        <f>AR16</f>
        <v>133074115</v>
      </c>
      <c r="AY16" s="14">
        <f t="shared" si="0"/>
        <v>0</v>
      </c>
      <c r="AZ16" s="485">
        <f>AX16-AQ16</f>
        <v>0</v>
      </c>
      <c r="BA16" s="467"/>
      <c r="BB16" s="447" t="s">
        <v>462</v>
      </c>
      <c r="BC16" s="91">
        <f>F43</f>
        <v>125397398</v>
      </c>
      <c r="BD16" s="92">
        <f>I43</f>
        <v>10017527</v>
      </c>
      <c r="BE16" s="93">
        <f>K43</f>
        <v>10017527</v>
      </c>
      <c r="BF16" s="71">
        <f>+ENERO!BE16+FEBRERO!BE16+MARZO!BE16</f>
        <v>10017527</v>
      </c>
      <c r="BG16" s="109" t="s">
        <v>84</v>
      </c>
      <c r="BH16" s="114">
        <f>BH7+BH12+BH13+BH14+BH15</f>
        <v>3690024195</v>
      </c>
      <c r="BI16" s="114">
        <f>BI7+BI12+BI13+BI14+BI15</f>
        <v>948453527</v>
      </c>
      <c r="BJ16" s="114">
        <f>BJ7+BJ12+BJ13+BJ14+BJ15</f>
        <v>948424926</v>
      </c>
      <c r="BK16" s="114">
        <f>BK7+BK12+BK13+BK14+BK15</f>
        <v>258576247</v>
      </c>
      <c r="BL16" s="44">
        <f>+ENERO!BK16+FEBRERO!BK16+MARZO!BK16</f>
        <v>758585054</v>
      </c>
      <c r="BM16" s="164" t="s">
        <v>85</v>
      </c>
      <c r="BN16" s="101">
        <f>X114-X121+X147-X148-X153</f>
        <v>154192049</v>
      </c>
      <c r="BO16" s="99">
        <f>AA114-AA121+AA147-AA148-AA153</f>
        <v>28343585</v>
      </c>
      <c r="BP16" s="99">
        <f>AD114-AD121+AD147-AD148-AD153</f>
        <v>28343584</v>
      </c>
      <c r="BQ16" s="100">
        <f>AF114-AF121+AF147-AF148-AF153</f>
        <v>8690101</v>
      </c>
    </row>
    <row r="17" spans="1:70" s="467" customFormat="1" ht="17.25" thickBot="1" x14ac:dyDescent="0.3">
      <c r="A17" s="433">
        <f>+IF(FEBRERO!A17=0,"",FEBRERO!A17)</f>
        <v>11</v>
      </c>
      <c r="B17" s="439" t="str">
        <f>+IF(FEBRERO!B17=0,"",FEBRERO!B17)</f>
        <v>INGRESOS  CORRIENTES</v>
      </c>
      <c r="C17" s="435">
        <f>C19+C99</f>
        <v>3530048625</v>
      </c>
      <c r="D17" s="435">
        <f t="shared" ref="D17:N17" si="10">D19+D99</f>
        <v>0</v>
      </c>
      <c r="E17" s="435">
        <f t="shared" si="10"/>
        <v>25449068</v>
      </c>
      <c r="F17" s="435">
        <f t="shared" si="10"/>
        <v>3555497693</v>
      </c>
      <c r="G17" s="435">
        <f t="shared" si="10"/>
        <v>637492722</v>
      </c>
      <c r="H17" s="435">
        <f t="shared" si="10"/>
        <v>402659904</v>
      </c>
      <c r="I17" s="435">
        <f t="shared" si="10"/>
        <v>1040152626</v>
      </c>
      <c r="J17" s="435">
        <f t="shared" si="10"/>
        <v>521708697</v>
      </c>
      <c r="K17" s="435">
        <f t="shared" si="10"/>
        <v>340344705</v>
      </c>
      <c r="L17" s="435">
        <f t="shared" si="10"/>
        <v>862053402</v>
      </c>
      <c r="M17" s="435">
        <f t="shared" si="10"/>
        <v>2515345067</v>
      </c>
      <c r="N17" s="216">
        <f t="shared" si="10"/>
        <v>2693444291</v>
      </c>
      <c r="P17" s="215">
        <f>P19+P99</f>
        <v>0</v>
      </c>
      <c r="Q17" s="216">
        <f>Q19+Q99</f>
        <v>25449068</v>
      </c>
      <c r="R17" s="10"/>
      <c r="S17" s="155">
        <f>+IF(FEBRERO!S17=0,"",FEBRERO!S17)</f>
        <v>1010101</v>
      </c>
      <c r="T17" s="238" t="str">
        <f>+IF(FEBRERO!T17=0,"",FEBRERO!T17)</f>
        <v>Sueldos del Personal de nómina</v>
      </c>
      <c r="U17" s="31">
        <f>+ENERO!U17</f>
        <v>368370792</v>
      </c>
      <c r="V17" s="17">
        <f>FEBRERO!V17+MARZO!AL17</f>
        <v>0</v>
      </c>
      <c r="W17" s="17">
        <f>FEBRERO!W17+MARZO!AM17</f>
        <v>0</v>
      </c>
      <c r="X17" s="20">
        <f>SUM(U17:W17)</f>
        <v>368370792</v>
      </c>
      <c r="Y17" s="21">
        <f>FEBRERO!AA17</f>
        <v>58615999</v>
      </c>
      <c r="Z17" s="457">
        <v>30694699</v>
      </c>
      <c r="AA17" s="18">
        <f>SUM(Y17:Z17)</f>
        <v>89310698</v>
      </c>
      <c r="AB17" s="21">
        <f>FEBRERO!AD17</f>
        <v>58615999</v>
      </c>
      <c r="AC17" s="457">
        <v>30694699</v>
      </c>
      <c r="AD17" s="18">
        <f>SUM(AB17:AC17)</f>
        <v>89310698</v>
      </c>
      <c r="AE17" s="21">
        <f>FEBRERO!AG17</f>
        <v>53961971</v>
      </c>
      <c r="AF17" s="457">
        <v>24009107</v>
      </c>
      <c r="AG17" s="18">
        <f>SUM(AE17:AF17)</f>
        <v>77971078</v>
      </c>
      <c r="AH17" s="21">
        <f>X17-AA17</f>
        <v>279060094</v>
      </c>
      <c r="AI17" s="17">
        <f>X17-AD17</f>
        <v>279060094</v>
      </c>
      <c r="AJ17" s="18">
        <f>X17-AG17</f>
        <v>290399714</v>
      </c>
      <c r="AK17" s="10"/>
      <c r="AL17" s="455">
        <v>0</v>
      </c>
      <c r="AM17" s="458">
        <v>0</v>
      </c>
      <c r="AN17" s="10"/>
      <c r="AO17" s="428"/>
      <c r="AP17" s="488" t="s">
        <v>87</v>
      </c>
      <c r="AQ17" s="489">
        <f>SUM(AQ7:AQ16)</f>
        <v>3437498754</v>
      </c>
      <c r="AR17" s="490">
        <f>SUM(AR7:AR16)</f>
        <v>1111236016</v>
      </c>
      <c r="AS17" s="491">
        <f>SUM(AS7:AS16)</f>
        <v>933136792</v>
      </c>
      <c r="AT17" s="492"/>
      <c r="AU17" s="490">
        <f>IF(AQ17=0," ",AR17/AQ17)</f>
        <v>0.32326877637611501</v>
      </c>
      <c r="AV17" s="490">
        <f>IF(AQ17=0," ",AS17/AQ17)</f>
        <v>0.27145807425069396</v>
      </c>
      <c r="AW17" s="493">
        <f>SUM(AX7:AX16)</f>
        <v>2792609749</v>
      </c>
      <c r="AX17" s="493">
        <f>SUM(AX7:AX16)</f>
        <v>2792609749</v>
      </c>
      <c r="AY17" s="493">
        <f>SUM(AY7:AY16)</f>
        <v>67819643</v>
      </c>
      <c r="AZ17" s="494">
        <f>SUM(AZ7:AZ16)</f>
        <v>-644889005</v>
      </c>
      <c r="BA17" s="10"/>
      <c r="BB17" s="468" t="s">
        <v>463</v>
      </c>
      <c r="BC17" s="91">
        <f>F41+F52+F55+F58+F61+F67+F70+F73+F76+F79+F82+F88+F89+F90+F91</f>
        <v>177489895</v>
      </c>
      <c r="BD17" s="92">
        <f>I41+I52+I55+I58+I61+I67+I70+I73+I76+I79+I82+I88+I89+I90+I91</f>
        <v>38534616</v>
      </c>
      <c r="BE17" s="93">
        <f>K41+K52+K55+K58+K61+K67+K70+K73+K76+K79+K82+K88+K89+K90+K91</f>
        <v>10970267</v>
      </c>
      <c r="BF17" s="71">
        <f>+ENERO!BE17+FEBRERO!BE17+MARZO!BE17</f>
        <v>28169541</v>
      </c>
      <c r="BG17" s="116" t="s">
        <v>88</v>
      </c>
      <c r="BH17" s="117">
        <f>BC23-BH16</f>
        <v>0</v>
      </c>
      <c r="BI17" s="117"/>
      <c r="BJ17" s="117"/>
      <c r="BK17" s="117"/>
      <c r="BL17" s="44">
        <f>+ENERO!BK17+FEBRERO!BK17+MARZO!BK17</f>
        <v>0</v>
      </c>
      <c r="BM17" s="164" t="s">
        <v>479</v>
      </c>
      <c r="BN17" s="101">
        <f>X123-X126-X139+X155-X156-X167-X168</f>
        <v>191636548</v>
      </c>
      <c r="BO17" s="99">
        <f>AA123-AA126-AA139+AA155-AA156-AA167-AA168</f>
        <v>43713401</v>
      </c>
      <c r="BP17" s="99">
        <f>AD123-AD126-AD139+AD155-AD156-AD167-AD168</f>
        <v>43713401</v>
      </c>
      <c r="BQ17" s="100">
        <f>AF123-AF126-AF139+AF155-AF156-AF167-AF168</f>
        <v>12397059</v>
      </c>
      <c r="BR17" s="10"/>
    </row>
    <row r="18" spans="1:70" s="10" customFormat="1" ht="15.75" thickBot="1" x14ac:dyDescent="0.3">
      <c r="A18" s="202" t="str">
        <f>+IF(FEBRERO!A18=0,"",FEBRERO!A18)</f>
        <v/>
      </c>
      <c r="B18" s="201" t="str">
        <f>+IF(FEBRERO!B18=0,"",FEBRERO!B18)</f>
        <v/>
      </c>
      <c r="C18" s="495"/>
      <c r="D18" s="495"/>
      <c r="E18" s="495"/>
      <c r="F18" s="495"/>
      <c r="G18" s="495"/>
      <c r="H18" s="495"/>
      <c r="I18" s="495"/>
      <c r="J18" s="495"/>
      <c r="K18" s="495"/>
      <c r="L18" s="495"/>
      <c r="M18" s="495"/>
      <c r="N18" s="496"/>
      <c r="P18" s="497"/>
      <c r="Q18" s="496"/>
      <c r="S18" s="155">
        <f>+IF(FEBRERO!S18=0,"",FEBRERO!S18)</f>
        <v>1010102</v>
      </c>
      <c r="T18" s="238" t="str">
        <f>+IF(FEBRERO!T18=0,"",FEBRERO!T18)</f>
        <v>Horas Extras,Dominic.,Festivos y Rec. Nocturnos</v>
      </c>
      <c r="U18" s="31">
        <f>+ENERO!U18</f>
        <v>20119405</v>
      </c>
      <c r="V18" s="17">
        <f>FEBRERO!V18+MARZO!AL18</f>
        <v>0</v>
      </c>
      <c r="W18" s="17">
        <f>FEBRERO!W18+MARZO!AM18</f>
        <v>0</v>
      </c>
      <c r="X18" s="20">
        <f>SUM(U18:W18)</f>
        <v>20119405</v>
      </c>
      <c r="Y18" s="21">
        <f>FEBRERO!AA18</f>
        <v>1771000</v>
      </c>
      <c r="Z18" s="457">
        <v>800496</v>
      </c>
      <c r="AA18" s="18">
        <f>SUM(Y18:Z18)</f>
        <v>2571496</v>
      </c>
      <c r="AB18" s="21">
        <f>FEBRERO!AD18</f>
        <v>1771000</v>
      </c>
      <c r="AC18" s="457">
        <v>800496</v>
      </c>
      <c r="AD18" s="18">
        <f>SUM(AB18:AC18)</f>
        <v>2571496</v>
      </c>
      <c r="AE18" s="21">
        <f>FEBRERO!AG18</f>
        <v>1771000</v>
      </c>
      <c r="AF18" s="457">
        <v>800496</v>
      </c>
      <c r="AG18" s="18">
        <f>SUM(AE18:AF18)</f>
        <v>2571496</v>
      </c>
      <c r="AH18" s="21">
        <f>X18-AA18</f>
        <v>17547909</v>
      </c>
      <c r="AI18" s="17">
        <f>X18-AD18</f>
        <v>17547909</v>
      </c>
      <c r="AJ18" s="18">
        <f>X18-AG18</f>
        <v>17547909</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63131360</v>
      </c>
      <c r="BE18" s="93">
        <f>K100+K101+K102+K105</f>
        <v>63131360</v>
      </c>
      <c r="BF18" s="71">
        <f>+ENERO!BE18+FEBRERO!BE18+MARZO!BE18</f>
        <v>63131360</v>
      </c>
      <c r="BM18" s="164" t="s">
        <v>89</v>
      </c>
      <c r="BN18" s="101">
        <f>X148+X156</f>
        <v>162635242</v>
      </c>
      <c r="BO18" s="99">
        <f>AA148+AA156</f>
        <v>23374211</v>
      </c>
      <c r="BP18" s="99">
        <f>AD148+AD156</f>
        <v>23374211</v>
      </c>
      <c r="BQ18" s="100">
        <f>AF148+AF156</f>
        <v>11030103</v>
      </c>
      <c r="BR18" s="467"/>
    </row>
    <row r="19" spans="1:70" s="10" customFormat="1" ht="15.75" x14ac:dyDescent="0.25">
      <c r="A19" s="498">
        <f>+IF(FEBRERO!A19=0,"",FEBRERO!A19)</f>
        <v>113</v>
      </c>
      <c r="B19" s="499" t="str">
        <f>+IF(FEBRERO!B19=0,"",FEBRERO!B19)</f>
        <v>VENTA DE SERVICIOS</v>
      </c>
      <c r="C19" s="53">
        <f t="shared" ref="C19:N19" si="11">C21+C85</f>
        <v>3530048625</v>
      </c>
      <c r="D19" s="53">
        <f t="shared" si="11"/>
        <v>-227076373</v>
      </c>
      <c r="E19" s="53">
        <f t="shared" si="11"/>
        <v>0</v>
      </c>
      <c r="F19" s="54">
        <f t="shared" si="11"/>
        <v>3302972252</v>
      </c>
      <c r="G19" s="52">
        <f t="shared" si="11"/>
        <v>637492722</v>
      </c>
      <c r="H19" s="53">
        <f t="shared" si="11"/>
        <v>339528544</v>
      </c>
      <c r="I19" s="54">
        <f t="shared" si="11"/>
        <v>977021266</v>
      </c>
      <c r="J19" s="52">
        <f t="shared" si="11"/>
        <v>521708697</v>
      </c>
      <c r="K19" s="53">
        <f t="shared" si="11"/>
        <v>277213345</v>
      </c>
      <c r="L19" s="54">
        <f t="shared" si="11"/>
        <v>798922042</v>
      </c>
      <c r="M19" s="52">
        <f t="shared" si="11"/>
        <v>2325950986</v>
      </c>
      <c r="N19" s="54">
        <f t="shared" si="11"/>
        <v>2504050210</v>
      </c>
      <c r="O19" s="467"/>
      <c r="P19" s="52">
        <f>P21+P85</f>
        <v>-227076373</v>
      </c>
      <c r="Q19" s="54">
        <f>Q21+Q85</f>
        <v>0</v>
      </c>
      <c r="S19" s="155">
        <f>+IF(FEBRERO!S19=0,"",FEBRERO!S19)</f>
        <v>1010103</v>
      </c>
      <c r="T19" s="238" t="str">
        <f>+IF(FEBRERO!T19=0,"",FEBRERO!T19)</f>
        <v>Prima Técnica</v>
      </c>
      <c r="U19" s="31">
        <f>+ENERO!U19</f>
        <v>0</v>
      </c>
      <c r="V19" s="17">
        <f>FEBRERO!V19+MARZO!AL19</f>
        <v>0</v>
      </c>
      <c r="W19" s="17">
        <f>FEBRERO!W19+MARZO!AM19</f>
        <v>0</v>
      </c>
      <c r="X19" s="20">
        <f>SUM(U19:W19)</f>
        <v>0</v>
      </c>
      <c r="Y19" s="21">
        <f>FEBRERO!AA19</f>
        <v>0</v>
      </c>
      <c r="Z19" s="457">
        <v>0</v>
      </c>
      <c r="AA19" s="18">
        <f>SUM(Y19:Z19)</f>
        <v>0</v>
      </c>
      <c r="AB19" s="21">
        <f>FEBRERO!AD19</f>
        <v>0</v>
      </c>
      <c r="AC19" s="457">
        <v>0</v>
      </c>
      <c r="AD19" s="18">
        <f>SUM(AB19:AC19)</f>
        <v>0</v>
      </c>
      <c r="AE19" s="21">
        <f>FEBRERO!AG19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67365128</v>
      </c>
      <c r="BE19" s="112">
        <f>K86+K87+K93+K103+K104</f>
        <v>3468999</v>
      </c>
      <c r="BF19" s="71">
        <f>+ENERO!BE19+FEBRERO!BE19+MARZO!BE19</f>
        <v>67365128</v>
      </c>
      <c r="BG19" s="467"/>
      <c r="BH19" s="467"/>
      <c r="BI19" s="467"/>
      <c r="BJ19" s="467"/>
      <c r="BK19" s="467"/>
      <c r="BM19" s="164" t="s">
        <v>96</v>
      </c>
      <c r="BN19" s="101">
        <f>X126+X167</f>
        <v>49280460</v>
      </c>
      <c r="BO19" s="99">
        <f>AA126+AA167</f>
        <v>12804532</v>
      </c>
      <c r="BP19" s="99">
        <f>AD126+AD167</f>
        <v>12804532</v>
      </c>
      <c r="BQ19" s="100">
        <f>AF126+AF167</f>
        <v>4308677</v>
      </c>
    </row>
    <row r="20" spans="1:70" s="514" customFormat="1" ht="15" x14ac:dyDescent="0.25">
      <c r="A20" s="202" t="str">
        <f>+IF(FEBRERO!A20=0,"",FEBRERO!A20)</f>
        <v/>
      </c>
      <c r="B20" s="201" t="str">
        <f>+IF(FEBRERO!B20=0,"",FEBRERO!B20)</f>
        <v/>
      </c>
      <c r="C20" s="495"/>
      <c r="D20" s="495"/>
      <c r="E20" s="495"/>
      <c r="F20" s="495"/>
      <c r="G20" s="495"/>
      <c r="H20" s="495"/>
      <c r="I20" s="495"/>
      <c r="J20" s="495"/>
      <c r="K20" s="495"/>
      <c r="L20" s="495"/>
      <c r="M20" s="495"/>
      <c r="N20" s="496"/>
      <c r="O20" s="10"/>
      <c r="P20" s="497"/>
      <c r="Q20" s="496"/>
      <c r="R20" s="10"/>
      <c r="S20" s="155">
        <f>+IF(FEBRERO!S20=0,"",FEBRERO!S20)</f>
        <v>1010104</v>
      </c>
      <c r="T20" s="238" t="str">
        <f>+IF(FEBRERO!T20=0,"",FEBRERO!T20)</f>
        <v>Otros</v>
      </c>
      <c r="U20" s="31">
        <f t="shared" ref="U20:AJ20" si="12">SUM(U21:U32)</f>
        <v>58502253</v>
      </c>
      <c r="V20" s="17">
        <f t="shared" si="12"/>
        <v>0</v>
      </c>
      <c r="W20" s="17">
        <f t="shared" si="12"/>
        <v>0</v>
      </c>
      <c r="X20" s="20">
        <f t="shared" si="12"/>
        <v>58502253</v>
      </c>
      <c r="Y20" s="21">
        <f t="shared" si="12"/>
        <v>3537168</v>
      </c>
      <c r="Z20" s="169">
        <f t="shared" si="12"/>
        <v>3142658</v>
      </c>
      <c r="AA20" s="18">
        <f t="shared" si="12"/>
        <v>6679826</v>
      </c>
      <c r="AB20" s="21">
        <f t="shared" si="12"/>
        <v>3537168</v>
      </c>
      <c r="AC20" s="169">
        <f t="shared" si="12"/>
        <v>3142658</v>
      </c>
      <c r="AD20" s="18">
        <f t="shared" si="12"/>
        <v>6679826</v>
      </c>
      <c r="AE20" s="21">
        <f t="shared" si="12"/>
        <v>3537168</v>
      </c>
      <c r="AF20" s="169">
        <f t="shared" si="12"/>
        <v>3103567</v>
      </c>
      <c r="AG20" s="18">
        <f t="shared" si="12"/>
        <v>6640735</v>
      </c>
      <c r="AH20" s="21">
        <f t="shared" si="12"/>
        <v>51822427</v>
      </c>
      <c r="AI20" s="17">
        <f t="shared" si="12"/>
        <v>51822427</v>
      </c>
      <c r="AJ20" s="18">
        <f t="shared" si="12"/>
        <v>51861518</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142667</v>
      </c>
      <c r="BE20" s="85">
        <f>+K109+K111+K113+K114+K115</f>
        <v>31847</v>
      </c>
      <c r="BF20" s="71">
        <f>+ENERO!BE20+FEBRERO!BE20+MARZO!BE20</f>
        <v>142667</v>
      </c>
      <c r="BG20" s="467"/>
      <c r="BH20" s="467"/>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+IF(FEBRERO!A21=0,"",FEBRERO!A21)</f>
        <v>11301</v>
      </c>
      <c r="B21" s="516" t="str">
        <f>+IF(FEBRERO!B21=0,"",FEBRERO!B21)</f>
        <v>Venta de Servicios de Salud</v>
      </c>
      <c r="C21" s="518">
        <f t="shared" ref="C21:N21" si="13">C22+C25+C28+C41+C42+C45+C48+C51+C54+C57+C60+C63+C66+C69+C72+C75+C78+C81</f>
        <v>3414869596</v>
      </c>
      <c r="D21" s="518">
        <f t="shared" si="13"/>
        <v>-227076373</v>
      </c>
      <c r="E21" s="518">
        <f t="shared" si="13"/>
        <v>0</v>
      </c>
      <c r="F21" s="519">
        <f t="shared" si="13"/>
        <v>3187793223</v>
      </c>
      <c r="G21" s="517">
        <f t="shared" si="13"/>
        <v>573596593</v>
      </c>
      <c r="H21" s="518">
        <f t="shared" si="13"/>
        <v>336059545</v>
      </c>
      <c r="I21" s="519">
        <f t="shared" si="13"/>
        <v>909656138</v>
      </c>
      <c r="J21" s="517">
        <f t="shared" si="13"/>
        <v>457812568</v>
      </c>
      <c r="K21" s="518">
        <f t="shared" si="13"/>
        <v>273744346</v>
      </c>
      <c r="L21" s="519">
        <f t="shared" si="13"/>
        <v>731556914</v>
      </c>
      <c r="M21" s="517">
        <f t="shared" si="13"/>
        <v>2278137085</v>
      </c>
      <c r="N21" s="519">
        <f t="shared" si="13"/>
        <v>2456236309</v>
      </c>
      <c r="O21" s="467"/>
      <c r="P21" s="52">
        <f>P22+P25+P28+P41+P42+P45+P48+P51+P54+P57+P60+P63+P66+P69+P72+P75+P78+P81</f>
        <v>-227076373</v>
      </c>
      <c r="Q21" s="54">
        <f>Q22+Q25+Q28+Q41+Q42+Q45+Q48+Q51+Q54+Q57+Q60+Q63+Q66+Q69+Q72+Q75+Q78+Q81</f>
        <v>0</v>
      </c>
      <c r="R21" s="10"/>
      <c r="S21" s="156" t="str">
        <f>+IF(FEBRERO!S21=0,"",FEBRERO!S21)</f>
        <v>1010104-1</v>
      </c>
      <c r="T21" s="251" t="str">
        <f>+IF(FEBRERO!T21=0,"",FEBRERO!T21)</f>
        <v xml:space="preserve">Prima de Navidad </v>
      </c>
      <c r="U21" s="31">
        <f>+ENERO!U21</f>
        <v>31976631</v>
      </c>
      <c r="V21" s="17">
        <f>FEBRERO!V21+MARZO!AL21</f>
        <v>0</v>
      </c>
      <c r="W21" s="17">
        <f>FEBRERO!W21+MARZO!AM21</f>
        <v>0</v>
      </c>
      <c r="X21" s="20">
        <f t="shared" ref="X21:X33" si="14">SUM(U21:W21)</f>
        <v>31976631</v>
      </c>
      <c r="Y21" s="21">
        <f>FEBRERO!AA21</f>
        <v>0</v>
      </c>
      <c r="Z21" s="457">
        <v>0</v>
      </c>
      <c r="AA21" s="18">
        <f t="shared" ref="AA21:AA33" si="15">SUM(Y21:Z21)</f>
        <v>0</v>
      </c>
      <c r="AB21" s="21">
        <f>FEBRERO!AD21</f>
        <v>0</v>
      </c>
      <c r="AC21" s="457">
        <v>0</v>
      </c>
      <c r="AD21" s="18">
        <f t="shared" ref="AD21:AD33" si="16">SUM(AB21:AC21)</f>
        <v>0</v>
      </c>
      <c r="AE21" s="21">
        <f>FEBRERO!AG21</f>
        <v>0</v>
      </c>
      <c r="AF21" s="457">
        <v>0</v>
      </c>
      <c r="AG21" s="18">
        <f t="shared" ref="AG21:AG33" si="17">SUM(AE21:AF21)</f>
        <v>0</v>
      </c>
      <c r="AH21" s="21">
        <f t="shared" ref="AH21:AH33" si="18">X21-AA21</f>
        <v>31976631</v>
      </c>
      <c r="AI21" s="17">
        <f t="shared" ref="AI21:AI33" si="19">X21-AD21</f>
        <v>31976631</v>
      </c>
      <c r="AJ21" s="18">
        <f t="shared" ref="AJ21:AJ33" si="20">X21-AG21</f>
        <v>31976631</v>
      </c>
      <c r="AK21" s="10"/>
      <c r="AL21" s="455">
        <v>0</v>
      </c>
      <c r="AM21" s="458">
        <v>0</v>
      </c>
      <c r="AN21" s="10"/>
      <c r="AO21" s="428"/>
      <c r="AP21" s="520"/>
      <c r="AQ21" s="521"/>
      <c r="AR21" s="522" t="str">
        <f>AR6</f>
        <v>MARZO</v>
      </c>
      <c r="AS21" s="523" t="str">
        <f>AR6</f>
        <v>MARZO</v>
      </c>
      <c r="AT21" s="522" t="str">
        <f>AR6</f>
        <v>MARZO</v>
      </c>
      <c r="AU21" s="522" t="s">
        <v>46</v>
      </c>
      <c r="AV21" s="522" t="s">
        <v>24</v>
      </c>
      <c r="AW21" s="524"/>
      <c r="AX21" s="524"/>
      <c r="AY21" s="522" t="s">
        <v>46</v>
      </c>
      <c r="AZ21" s="525" t="s">
        <v>24</v>
      </c>
      <c r="BA21" s="10"/>
      <c r="BB21" s="119" t="s">
        <v>466</v>
      </c>
      <c r="BC21" s="83">
        <f>+F117</f>
        <v>0</v>
      </c>
      <c r="BD21" s="84">
        <f>I117</f>
        <v>0</v>
      </c>
      <c r="BE21" s="85">
        <f>K117</f>
        <v>0</v>
      </c>
      <c r="BF21" s="71">
        <f>+ENERO!BE21+FEBRERO!BE21+MARZO!BE21</f>
        <v>0</v>
      </c>
      <c r="BG21" s="467"/>
      <c r="BH21" s="467"/>
      <c r="BI21" s="467"/>
      <c r="BJ21" s="467"/>
      <c r="BK21" s="467"/>
      <c r="BL21" s="467"/>
      <c r="BM21" s="164" t="s">
        <v>101</v>
      </c>
      <c r="BN21" s="101">
        <v>0</v>
      </c>
      <c r="BO21" s="99">
        <v>0</v>
      </c>
      <c r="BP21" s="99">
        <v>0</v>
      </c>
      <c r="BQ21" s="100">
        <v>0</v>
      </c>
      <c r="BR21" s="467"/>
    </row>
    <row r="22" spans="1:70" s="10" customFormat="1" ht="15" x14ac:dyDescent="0.25">
      <c r="A22" s="57">
        <f>+IF(FEBRERO!A22=0,"",FEBRERO!A22)</f>
        <v>1130101</v>
      </c>
      <c r="B22" s="45" t="str">
        <f>+IF(FEBRERO!B22=0,"",FEBRERO!B22)</f>
        <v>EPS - REGIMEN CONTRIBUTIVO</v>
      </c>
      <c r="C22" s="53">
        <f t="shared" ref="C22:N22" si="21">SUM(C23:C24)</f>
        <v>235438278</v>
      </c>
      <c r="D22" s="53">
        <f t="shared" si="21"/>
        <v>0</v>
      </c>
      <c r="E22" s="53">
        <f t="shared" si="21"/>
        <v>0</v>
      </c>
      <c r="F22" s="54">
        <f t="shared" si="21"/>
        <v>235438278</v>
      </c>
      <c r="G22" s="52">
        <f t="shared" si="21"/>
        <v>47594445</v>
      </c>
      <c r="H22" s="53">
        <f t="shared" si="21"/>
        <v>31428194</v>
      </c>
      <c r="I22" s="54">
        <f t="shared" si="21"/>
        <v>79022639</v>
      </c>
      <c r="J22" s="52">
        <f t="shared" si="21"/>
        <v>10572449</v>
      </c>
      <c r="K22" s="53">
        <f t="shared" si="21"/>
        <v>8378094</v>
      </c>
      <c r="L22" s="54">
        <f t="shared" si="21"/>
        <v>18950543</v>
      </c>
      <c r="M22" s="52">
        <f t="shared" si="21"/>
        <v>156415639</v>
      </c>
      <c r="N22" s="54">
        <f t="shared" si="21"/>
        <v>216487735</v>
      </c>
      <c r="P22" s="52">
        <f>SUM(P23:P24)</f>
        <v>0</v>
      </c>
      <c r="Q22" s="54">
        <f>SUM(Q23:Q24)</f>
        <v>0</v>
      </c>
      <c r="S22" s="156" t="str">
        <f>+IF(FEBRERO!S22=0,"",FEBRERO!S22)</f>
        <v>1010104-2</v>
      </c>
      <c r="T22" s="251" t="str">
        <f>+IF(FEBRERO!T22=0,"",FEBRERO!T22)</f>
        <v>Prima Vida Cara</v>
      </c>
      <c r="U22" s="31">
        <f>+ENERO!U22</f>
        <v>0</v>
      </c>
      <c r="V22" s="17">
        <f>FEBRERO!V22+MARZO!AL22</f>
        <v>0</v>
      </c>
      <c r="W22" s="17">
        <f>FEBRERO!W22+MARZO!AM22</f>
        <v>0</v>
      </c>
      <c r="X22" s="20">
        <f t="shared" si="14"/>
        <v>0</v>
      </c>
      <c r="Y22" s="21">
        <f>FEBRERO!AA22</f>
        <v>0</v>
      </c>
      <c r="Z22" s="457">
        <v>0</v>
      </c>
      <c r="AA22" s="18">
        <f t="shared" si="15"/>
        <v>0</v>
      </c>
      <c r="AB22" s="21">
        <f>FEBRERO!AD22</f>
        <v>0</v>
      </c>
      <c r="AC22" s="457">
        <v>0</v>
      </c>
      <c r="AD22" s="18">
        <f t="shared" si="16"/>
        <v>0</v>
      </c>
      <c r="AE22" s="21">
        <f>FEBRERO!AG22</f>
        <v>0</v>
      </c>
      <c r="AF22" s="457">
        <v>0</v>
      </c>
      <c r="AG22" s="18">
        <f t="shared" si="17"/>
        <v>0</v>
      </c>
      <c r="AH22" s="21">
        <f t="shared" si="18"/>
        <v>0</v>
      </c>
      <c r="AI22" s="17">
        <f t="shared" si="19"/>
        <v>0</v>
      </c>
      <c r="AJ22" s="18">
        <f t="shared" si="20"/>
        <v>0</v>
      </c>
      <c r="AL22" s="455">
        <v>0</v>
      </c>
      <c r="AM22" s="458">
        <v>0</v>
      </c>
      <c r="AO22" s="23"/>
      <c r="AP22" s="526" t="s">
        <v>106</v>
      </c>
      <c r="AQ22" s="527">
        <f>X17+X66</f>
        <v>1269481968</v>
      </c>
      <c r="AR22" s="527">
        <f>AD17+AD66</f>
        <v>318627372</v>
      </c>
      <c r="AS22" s="527">
        <f>AG17+AG66</f>
        <v>295467133</v>
      </c>
      <c r="AT22" s="528"/>
      <c r="AU22" s="529">
        <f t="shared" ref="AU22:AU32" si="22">IF(AQ22=0," ",AR22/AQ22)</f>
        <v>0.25099007314139338</v>
      </c>
      <c r="AV22" s="529">
        <f t="shared" ref="AV22:AV32" si="23">IF(AQ22=0," ",AS22/AQ22)</f>
        <v>0.23274622282779836</v>
      </c>
      <c r="AW22" s="530">
        <f>AR22/$AO$2*12</f>
        <v>1274509488</v>
      </c>
      <c r="AX22" s="530">
        <f>AS22/$AO$2*12</f>
        <v>1181868532</v>
      </c>
      <c r="AY22" s="530">
        <f t="shared" ref="AY22:AY31" si="24">AQ22-AW22</f>
        <v>-5027520</v>
      </c>
      <c r="AZ22" s="531">
        <f t="shared" ref="AZ22:AZ31" si="25">AQ22-AX22</f>
        <v>87613436</v>
      </c>
      <c r="BA22" s="467"/>
      <c r="BB22" s="119" t="s">
        <v>467</v>
      </c>
      <c r="BC22" s="83">
        <f>SUMIF($B8:B117,$B24,F8:F117)+F116</f>
        <v>165717175</v>
      </c>
      <c r="BD22" s="84">
        <f>SUMIF($B8:B117,$B24,I8:I117)+I116</f>
        <v>180095691</v>
      </c>
      <c r="BE22" s="85">
        <f>SUMIF($B8:B117,$B24,K8:K117)+K116</f>
        <v>79373019</v>
      </c>
      <c r="BF22" s="71">
        <f>+ENERO!BE22+FEBRERO!BE22+MARZO!BE22</f>
        <v>180095691</v>
      </c>
      <c r="BG22" s="467"/>
      <c r="BH22" s="467"/>
      <c r="BI22" s="467"/>
      <c r="BJ22" s="467"/>
      <c r="BK22" s="467"/>
      <c r="BM22" s="89" t="s">
        <v>69</v>
      </c>
      <c r="BN22" s="101">
        <f>BN23+BN24</f>
        <v>197767489</v>
      </c>
      <c r="BO22" s="99">
        <f>BO23+BO24</f>
        <v>30452827</v>
      </c>
      <c r="BP22" s="99">
        <f>BP23+BP24</f>
        <v>30452827</v>
      </c>
      <c r="BQ22" s="100">
        <f>BQ23+BQ24</f>
        <v>7333977</v>
      </c>
      <c r="BR22" s="467"/>
    </row>
    <row r="23" spans="1:70" s="514" customFormat="1" ht="15.75" thickBot="1" x14ac:dyDescent="0.25">
      <c r="A23" s="188" t="str">
        <f>+IF(FEBRERO!A23=0,"",FEBRERO!A23)</f>
        <v>1130101-1</v>
      </c>
      <c r="B23" s="189" t="str">
        <f>+CONCATENATE("Vigencia ",INSTRUCCIONES!$F$3)</f>
        <v>Vigencia 2014</v>
      </c>
      <c r="C23" s="456">
        <f>+ENERO!C23</f>
        <v>190033939</v>
      </c>
      <c r="D23" s="456">
        <f>FEBRERO!D23+MARZO!P23</f>
        <v>0</v>
      </c>
      <c r="E23" s="456">
        <f>FEBRERO!E23+MARZO!Q23</f>
        <v>0</v>
      </c>
      <c r="F23" s="170">
        <f>SUM(C23:E23)</f>
        <v>190033939</v>
      </c>
      <c r="G23" s="283">
        <f>FEBRERO!I23</f>
        <v>37052886</v>
      </c>
      <c r="H23" s="457">
        <v>24238032</v>
      </c>
      <c r="I23" s="170">
        <f>SUM(G23:H23)</f>
        <v>61290918</v>
      </c>
      <c r="J23" s="283">
        <f>FEBRERO!L23</f>
        <v>30890</v>
      </c>
      <c r="K23" s="457">
        <v>1187932</v>
      </c>
      <c r="L23" s="170">
        <f>SUM(J23:K23)</f>
        <v>1218822</v>
      </c>
      <c r="M23" s="283">
        <f>F23-I23</f>
        <v>128743021</v>
      </c>
      <c r="N23" s="170">
        <f>F23-L23</f>
        <v>188815117</v>
      </c>
      <c r="O23" s="10"/>
      <c r="P23" s="455">
        <v>0</v>
      </c>
      <c r="Q23" s="458">
        <v>0</v>
      </c>
      <c r="R23" s="10"/>
      <c r="S23" s="156" t="str">
        <f>+IF(FEBRERO!S23=0,"",FEBRERO!S23)</f>
        <v>1010104-3</v>
      </c>
      <c r="T23" s="251" t="str">
        <f>+IF(FEBRERO!T23=0,"",FEBRERO!T23)</f>
        <v>Prima de Vacaciones</v>
      </c>
      <c r="U23" s="31">
        <f>+ENERO!U23</f>
        <v>15348783</v>
      </c>
      <c r="V23" s="17">
        <f>FEBRERO!V23+MARZO!AL23</f>
        <v>0</v>
      </c>
      <c r="W23" s="17">
        <f>FEBRERO!W23+MARZO!AM23</f>
        <v>0</v>
      </c>
      <c r="X23" s="20">
        <f t="shared" si="14"/>
        <v>15348783</v>
      </c>
      <c r="Y23" s="21">
        <f>FEBRERO!AA23</f>
        <v>1873896</v>
      </c>
      <c r="Z23" s="457">
        <v>1933327</v>
      </c>
      <c r="AA23" s="18">
        <f t="shared" si="15"/>
        <v>3807223</v>
      </c>
      <c r="AB23" s="21">
        <f>FEBRERO!AD23</f>
        <v>1873896</v>
      </c>
      <c r="AC23" s="457">
        <v>1933327</v>
      </c>
      <c r="AD23" s="18">
        <f t="shared" si="16"/>
        <v>3807223</v>
      </c>
      <c r="AE23" s="21">
        <f>FEBRERO!AG23</f>
        <v>1873896</v>
      </c>
      <c r="AF23" s="457">
        <v>1898835</v>
      </c>
      <c r="AG23" s="18">
        <f t="shared" si="17"/>
        <v>3772731</v>
      </c>
      <c r="AH23" s="21">
        <f t="shared" si="18"/>
        <v>11541560</v>
      </c>
      <c r="AI23" s="17">
        <f t="shared" si="19"/>
        <v>11541560</v>
      </c>
      <c r="AJ23" s="18">
        <f t="shared" si="20"/>
        <v>11576052</v>
      </c>
      <c r="AK23" s="10"/>
      <c r="AL23" s="455">
        <v>0</v>
      </c>
      <c r="AM23" s="458">
        <v>0</v>
      </c>
      <c r="AN23" s="10"/>
      <c r="AO23" s="453"/>
      <c r="AP23" s="532" t="s">
        <v>110</v>
      </c>
      <c r="AQ23" s="533">
        <f>X16+X65-AQ22</f>
        <v>349958128</v>
      </c>
      <c r="AR23" s="533">
        <f>AD16+AD65-AR22</f>
        <v>61829169</v>
      </c>
      <c r="AS23" s="533">
        <f>AG16+AG65-AS22</f>
        <v>58786673</v>
      </c>
      <c r="AT23" s="401"/>
      <c r="AU23" s="419">
        <f t="shared" si="22"/>
        <v>0.17667590506713421</v>
      </c>
      <c r="AV23" s="419">
        <f t="shared" si="23"/>
        <v>0.1679820192660306</v>
      </c>
      <c r="AW23" s="533">
        <f>(AR23-AD21-AD22-AD23-AD25-AD30-AD33-AD70-AD71-AD72-AD74-AD78-AD81)/$AO$2*12+AX22/12*2.5+AD30+AD33+AD78+AD81</f>
        <v>384954723.83333331</v>
      </c>
      <c r="AX23" s="533">
        <f>(AS23-AG21-AG22-AG23-AG25-AG30-AG33-AG70-AG71-AG72-AG74-AG78-AG81)/$AO$2*12+AX22/12*2.5+AG30+AG33+AG78+AG81</f>
        <v>382897177.83333331</v>
      </c>
      <c r="AY23" s="533">
        <f t="shared" si="24"/>
        <v>-34996595.833333313</v>
      </c>
      <c r="AZ23" s="62">
        <f t="shared" si="25"/>
        <v>-32939049.833333313</v>
      </c>
      <c r="BA23" s="467"/>
      <c r="BB23" s="678" t="s">
        <v>111</v>
      </c>
      <c r="BC23" s="679">
        <f>BC7+BC8+BC20+BC21+BC22</f>
        <v>3690024195</v>
      </c>
      <c r="BD23" s="138">
        <f>BD7+BD8+BD20+BD21+BD22+BD92</f>
        <v>1174367376</v>
      </c>
      <c r="BE23" s="139">
        <f>BE7+BE8+BE20+BE21+BE22+BE92</f>
        <v>340748652</v>
      </c>
      <c r="BF23" s="467"/>
      <c r="BG23" s="467"/>
      <c r="BH23" s="467"/>
      <c r="BI23" s="467"/>
      <c r="BJ23" s="467"/>
      <c r="BK23" s="467"/>
      <c r="BL23" s="467"/>
      <c r="BM23" s="164" t="s">
        <v>107</v>
      </c>
      <c r="BN23" s="101">
        <f>X177</f>
        <v>104106866</v>
      </c>
      <c r="BO23" s="99">
        <f>AA177</f>
        <v>21938627</v>
      </c>
      <c r="BP23" s="99">
        <f>AD177</f>
        <v>21938627</v>
      </c>
      <c r="BQ23" s="100">
        <f>AF177</f>
        <v>7333977</v>
      </c>
      <c r="BR23" s="10"/>
    </row>
    <row r="24" spans="1:70" s="514" customFormat="1" ht="15" x14ac:dyDescent="0.2">
      <c r="A24" s="188" t="str">
        <f>+IF(FEBRERO!A24=0,"",FEBRERO!A24)</f>
        <v>1130101-2</v>
      </c>
      <c r="B24" s="189" t="str">
        <f>+IF(FEBRERO!B24=0,"",FEBRERO!B24)</f>
        <v>Vigencias Anteriores</v>
      </c>
      <c r="C24" s="456">
        <f>+ENERO!C24</f>
        <v>45404339</v>
      </c>
      <c r="D24" s="456">
        <f>FEBRERO!D24+MARZO!P24</f>
        <v>0</v>
      </c>
      <c r="E24" s="456">
        <f>FEBRERO!E24+MARZO!Q24</f>
        <v>0</v>
      </c>
      <c r="F24" s="170">
        <f>SUM(C24:E24)</f>
        <v>45404339</v>
      </c>
      <c r="G24" s="283">
        <f>FEBRERO!I24</f>
        <v>10541559</v>
      </c>
      <c r="H24" s="457">
        <v>7190162</v>
      </c>
      <c r="I24" s="170">
        <f>SUM(G24:H24)</f>
        <v>17731721</v>
      </c>
      <c r="J24" s="283">
        <f>FEBRERO!L24</f>
        <v>10541559</v>
      </c>
      <c r="K24" s="457">
        <v>7190162</v>
      </c>
      <c r="L24" s="170">
        <f>SUM(J24:K24)</f>
        <v>17731721</v>
      </c>
      <c r="M24" s="283">
        <f>F24-I24</f>
        <v>27672618</v>
      </c>
      <c r="N24" s="170">
        <f>F24-L24</f>
        <v>27672618</v>
      </c>
      <c r="O24" s="467"/>
      <c r="P24" s="455">
        <v>0</v>
      </c>
      <c r="Q24" s="458">
        <v>0</v>
      </c>
      <c r="R24" s="10"/>
      <c r="S24" s="156" t="str">
        <f>+IF(FEBRERO!S24=0,"",FEBRERO!S24)</f>
        <v>1010104-4</v>
      </c>
      <c r="T24" s="251" t="str">
        <f>+IF(FEBRERO!T24=0,"",FEBRERO!T24)</f>
        <v>Prima Clima</v>
      </c>
      <c r="U24" s="31">
        <f>+ENERO!U24</f>
        <v>0</v>
      </c>
      <c r="V24" s="17">
        <f>FEBRERO!V24+MARZO!AL24</f>
        <v>0</v>
      </c>
      <c r="W24" s="17">
        <f>FEBRERO!W24+MARZO!AM24</f>
        <v>0</v>
      </c>
      <c r="X24" s="20">
        <f t="shared" si="14"/>
        <v>0</v>
      </c>
      <c r="Y24" s="21">
        <f>FEBRERO!AA24</f>
        <v>0</v>
      </c>
      <c r="Z24" s="457">
        <v>0</v>
      </c>
      <c r="AA24" s="18">
        <f t="shared" si="15"/>
        <v>0</v>
      </c>
      <c r="AB24" s="21">
        <f>FEBRERO!AD24</f>
        <v>0</v>
      </c>
      <c r="AC24" s="457">
        <v>0</v>
      </c>
      <c r="AD24" s="18">
        <f t="shared" si="16"/>
        <v>0</v>
      </c>
      <c r="AE24" s="21">
        <f>FEBRERO!AG24</f>
        <v>0</v>
      </c>
      <c r="AF24" s="457">
        <v>0</v>
      </c>
      <c r="AG24" s="18">
        <f t="shared" si="17"/>
        <v>0</v>
      </c>
      <c r="AH24" s="21">
        <f t="shared" si="18"/>
        <v>0</v>
      </c>
      <c r="AI24" s="17">
        <f t="shared" si="19"/>
        <v>0</v>
      </c>
      <c r="AJ24" s="18">
        <f t="shared" si="20"/>
        <v>0</v>
      </c>
      <c r="AK24" s="10"/>
      <c r="AL24" s="455">
        <v>0</v>
      </c>
      <c r="AM24" s="458">
        <v>0</v>
      </c>
      <c r="AN24" s="10"/>
      <c r="AO24" s="453"/>
      <c r="AP24" s="507" t="s">
        <v>115</v>
      </c>
      <c r="AQ24" s="528">
        <f>X35+X83</f>
        <v>187975007</v>
      </c>
      <c r="AR24" s="528">
        <f>AD35+AD83</f>
        <v>35335598</v>
      </c>
      <c r="AS24" s="528">
        <f>AG35+AG83</f>
        <v>25703297</v>
      </c>
      <c r="AT24" s="528"/>
      <c r="AU24" s="456">
        <f t="shared" si="22"/>
        <v>0.18798029889154361</v>
      </c>
      <c r="AV24" s="456">
        <f t="shared" si="23"/>
        <v>0.13673784302612102</v>
      </c>
      <c r="AW24" s="456">
        <f>(AR24-AD41-AD88)/$AO$2*12+AD41+AD88</f>
        <v>106722236</v>
      </c>
      <c r="AX24" s="456">
        <f>(AS24-AG41-AG88)/$AO$2*12+AG41+AG88</f>
        <v>68334932</v>
      </c>
      <c r="AY24" s="456">
        <f t="shared" si="24"/>
        <v>81252771</v>
      </c>
      <c r="AZ24" s="170">
        <f t="shared" si="25"/>
        <v>119640075</v>
      </c>
      <c r="BA24" s="10"/>
      <c r="BB24" s="534"/>
      <c r="BC24" s="467"/>
      <c r="BD24" s="467"/>
      <c r="BE24" s="467"/>
      <c r="BF24" s="467"/>
      <c r="BG24" s="467"/>
      <c r="BH24" s="467"/>
      <c r="BI24" s="467"/>
      <c r="BJ24" s="467"/>
      <c r="BK24" s="467"/>
      <c r="BL24" s="467"/>
      <c r="BM24" s="164" t="s">
        <v>112</v>
      </c>
      <c r="BN24" s="101">
        <f>X170-X177-X174-X183-X191</f>
        <v>93660623</v>
      </c>
      <c r="BO24" s="99">
        <f>AA170-AA177-AA174-AA183-AA191</f>
        <v>8514200</v>
      </c>
      <c r="BP24" s="99">
        <f>AD170-AD177-AD174-AD183-AD191</f>
        <v>8514200</v>
      </c>
      <c r="BQ24" s="100">
        <f>AF170-AF177-AF174-AF183-AF191</f>
        <v>0</v>
      </c>
      <c r="BR24" s="467"/>
    </row>
    <row r="25" spans="1:70" s="467" customFormat="1" ht="15" x14ac:dyDescent="0.25">
      <c r="A25" s="57">
        <f>+IF(FEBRERO!A25=0,"",FEBRERO!A25)</f>
        <v>1130102</v>
      </c>
      <c r="B25" s="45" t="str">
        <f>+IF(FEBRERO!B25=0,"",FEBRERO!B25)</f>
        <v>ARS - REGIMEN SUBSIDIADO</v>
      </c>
      <c r="C25" s="53">
        <f t="shared" ref="C25:N25" si="26">SUM(C26:C27)</f>
        <v>2553198704</v>
      </c>
      <c r="D25" s="53">
        <f t="shared" si="26"/>
        <v>0</v>
      </c>
      <c r="E25" s="53">
        <f t="shared" si="26"/>
        <v>0</v>
      </c>
      <c r="F25" s="54">
        <f t="shared" si="26"/>
        <v>2553198704</v>
      </c>
      <c r="G25" s="52">
        <f t="shared" si="26"/>
        <v>484264957</v>
      </c>
      <c r="H25" s="53">
        <f t="shared" si="26"/>
        <v>252912153</v>
      </c>
      <c r="I25" s="54">
        <f t="shared" si="26"/>
        <v>737177110</v>
      </c>
      <c r="J25" s="52">
        <f t="shared" si="26"/>
        <v>419063954</v>
      </c>
      <c r="K25" s="53">
        <f t="shared" si="26"/>
        <v>219771707</v>
      </c>
      <c r="L25" s="54">
        <f t="shared" si="26"/>
        <v>638835661</v>
      </c>
      <c r="M25" s="52">
        <f t="shared" si="26"/>
        <v>1816021594</v>
      </c>
      <c r="N25" s="54">
        <f t="shared" si="26"/>
        <v>1914363043</v>
      </c>
      <c r="P25" s="52">
        <f>SUM(P26:P27)</f>
        <v>0</v>
      </c>
      <c r="Q25" s="54">
        <f>SUM(Q26:Q27)</f>
        <v>0</v>
      </c>
      <c r="R25" s="10"/>
      <c r="S25" s="156" t="str">
        <f>+IF(FEBRERO!S25=0,"",FEBRERO!S25)</f>
        <v>1010104-5</v>
      </c>
      <c r="T25" s="251" t="str">
        <f>+IF(FEBRERO!T25=0,"",FEBRERO!T25)</f>
        <v>Prima de Servicios</v>
      </c>
      <c r="U25" s="31">
        <f>+ENERO!U25</f>
        <v>0</v>
      </c>
      <c r="V25" s="17">
        <f>FEBRERO!V25+MARZO!AL25</f>
        <v>0</v>
      </c>
      <c r="W25" s="17">
        <f>FEBRERO!W25+MARZO!AM25</f>
        <v>0</v>
      </c>
      <c r="X25" s="20">
        <f t="shared" si="14"/>
        <v>0</v>
      </c>
      <c r="Y25" s="21">
        <f>FEBRERO!AA25</f>
        <v>0</v>
      </c>
      <c r="Z25" s="457">
        <v>0</v>
      </c>
      <c r="AA25" s="18">
        <f t="shared" si="15"/>
        <v>0</v>
      </c>
      <c r="AB25" s="21">
        <f>FEBRERO!AD25</f>
        <v>0</v>
      </c>
      <c r="AC25" s="457">
        <v>0</v>
      </c>
      <c r="AD25" s="18">
        <f t="shared" si="16"/>
        <v>0</v>
      </c>
      <c r="AE25" s="21">
        <f>FEBRERO!AG25</f>
        <v>0</v>
      </c>
      <c r="AF25" s="457">
        <v>0</v>
      </c>
      <c r="AG25" s="18">
        <f t="shared" si="17"/>
        <v>0</v>
      </c>
      <c r="AH25" s="21">
        <f t="shared" si="18"/>
        <v>0</v>
      </c>
      <c r="AI25" s="17">
        <f t="shared" si="19"/>
        <v>0</v>
      </c>
      <c r="AJ25" s="18">
        <f t="shared" si="20"/>
        <v>0</v>
      </c>
      <c r="AK25" s="10"/>
      <c r="AL25" s="455">
        <v>0</v>
      </c>
      <c r="AM25" s="458">
        <v>0</v>
      </c>
      <c r="AN25" s="10"/>
      <c r="AO25" s="23"/>
      <c r="AP25" s="535" t="s">
        <v>118</v>
      </c>
      <c r="AQ25" s="456">
        <f>X43+X57+X90+X104</f>
        <v>572579703</v>
      </c>
      <c r="AR25" s="456">
        <f>AD43+AD57+AD90+AD104</f>
        <v>190422064</v>
      </c>
      <c r="AS25" s="456">
        <f>AG43+AG57+AG90+AG104</f>
        <v>168951864</v>
      </c>
      <c r="AT25" s="528"/>
      <c r="AU25" s="456">
        <f t="shared" si="22"/>
        <v>0.33256865900466609</v>
      </c>
      <c r="AV25" s="456">
        <f t="shared" si="23"/>
        <v>0.2950713465999335</v>
      </c>
      <c r="AW25" s="456">
        <f>(AR25-AD55-AD61-AD102-AD108)/$AO$2*12+AD55+AD61+AD102+AD108</f>
        <v>744169051</v>
      </c>
      <c r="AX25" s="456">
        <f>(AS25-AG55-AG61-AG102-AG108)/$AO$2*12+AG55+AG61+AG102+AG108</f>
        <v>659749695</v>
      </c>
      <c r="AY25" s="456">
        <f t="shared" si="24"/>
        <v>-171589348</v>
      </c>
      <c r="AZ25" s="170">
        <f t="shared" si="25"/>
        <v>-87169992</v>
      </c>
      <c r="BM25" s="167" t="s">
        <v>475</v>
      </c>
      <c r="BN25" s="124">
        <f>+SUM(BN26:BN28)</f>
        <v>328675926</v>
      </c>
      <c r="BO25" s="125">
        <f>+SUM(BO26:BO28)</f>
        <v>60563509</v>
      </c>
      <c r="BP25" s="125">
        <f>+SUM(BP26:BP28)</f>
        <v>60536509</v>
      </c>
      <c r="BQ25" s="126">
        <f>+SUM(BQ26:BQ28)</f>
        <v>4528098</v>
      </c>
    </row>
    <row r="26" spans="1:70" s="10" customFormat="1" ht="15" x14ac:dyDescent="0.2">
      <c r="A26" s="188" t="str">
        <f>+IF(FEBRERO!A26=0,"",FEBRERO!A26)</f>
        <v>1130102-1</v>
      </c>
      <c r="B26" s="189" t="str">
        <f>+CONCATENATE("Vigencia ",INSTRUCCIONES!$F$3)</f>
        <v>Vigencia 2014</v>
      </c>
      <c r="C26" s="456">
        <f>+ENERO!C26</f>
        <v>2490198704</v>
      </c>
      <c r="D26" s="456">
        <f>FEBRERO!D26+MARZO!P26</f>
        <v>0</v>
      </c>
      <c r="E26" s="456">
        <f>FEBRERO!E26+MARZO!Q26</f>
        <v>0</v>
      </c>
      <c r="F26" s="170">
        <f>SUM(C26:E26)</f>
        <v>2490198704</v>
      </c>
      <c r="G26" s="283">
        <f>FEBRERO!I26</f>
        <v>405883703</v>
      </c>
      <c r="H26" s="457">
        <v>203886394</v>
      </c>
      <c r="I26" s="170">
        <f>SUM(G26:H26)</f>
        <v>609770097</v>
      </c>
      <c r="J26" s="283">
        <f>FEBRERO!L26</f>
        <v>340682700</v>
      </c>
      <c r="K26" s="457">
        <v>170745948</v>
      </c>
      <c r="L26" s="170">
        <f>SUM(J26:K26)</f>
        <v>511428648</v>
      </c>
      <c r="M26" s="283">
        <f>F26-I26</f>
        <v>1880428607</v>
      </c>
      <c r="N26" s="170">
        <f>F26-L26</f>
        <v>1978770056</v>
      </c>
      <c r="P26" s="455">
        <v>0</v>
      </c>
      <c r="Q26" s="458">
        <v>0</v>
      </c>
      <c r="S26" s="156" t="str">
        <f>+IF(FEBRERO!S26=0,"",FEBRERO!S26)</f>
        <v>1010104-8</v>
      </c>
      <c r="T26" s="251" t="str">
        <f>+IF(FEBRERO!T26=0,"",FEBRERO!T26)</f>
        <v>Bonific. por Servicios Prestados (Convencional)</v>
      </c>
      <c r="U26" s="31">
        <f>+ENERO!U26</f>
        <v>0</v>
      </c>
      <c r="V26" s="17">
        <f>FEBRERO!V26+MARZO!AL26</f>
        <v>0</v>
      </c>
      <c r="W26" s="17">
        <f>FEBRERO!W26+MARZO!AM26</f>
        <v>0</v>
      </c>
      <c r="X26" s="20">
        <f t="shared" si="14"/>
        <v>0</v>
      </c>
      <c r="Y26" s="21">
        <f>FEBRERO!AA26</f>
        <v>0</v>
      </c>
      <c r="Z26" s="457">
        <v>0</v>
      </c>
      <c r="AA26" s="18">
        <f t="shared" si="15"/>
        <v>0</v>
      </c>
      <c r="AB26" s="21">
        <f>FEBRERO!AD26</f>
        <v>0</v>
      </c>
      <c r="AC26" s="457">
        <v>0</v>
      </c>
      <c r="AD26" s="18">
        <f t="shared" si="16"/>
        <v>0</v>
      </c>
      <c r="AE26" s="21">
        <f>FEBRERO!AG26</f>
        <v>0</v>
      </c>
      <c r="AF26" s="457">
        <v>0</v>
      </c>
      <c r="AG26" s="18">
        <f t="shared" si="17"/>
        <v>0</v>
      </c>
      <c r="AH26" s="21">
        <f t="shared" si="18"/>
        <v>0</v>
      </c>
      <c r="AI26" s="17">
        <f t="shared" si="19"/>
        <v>0</v>
      </c>
      <c r="AJ26" s="18">
        <f t="shared" si="20"/>
        <v>0</v>
      </c>
      <c r="AL26" s="455">
        <v>0</v>
      </c>
      <c r="AM26" s="458">
        <v>0</v>
      </c>
      <c r="AO26" s="23"/>
      <c r="AP26" s="536" t="s">
        <v>122</v>
      </c>
      <c r="AQ26" s="401">
        <f>X110</f>
        <v>596554629</v>
      </c>
      <c r="AR26" s="401">
        <f>AD110</f>
        <v>146045058</v>
      </c>
      <c r="AS26" s="401">
        <f>AG110</f>
        <v>100850408</v>
      </c>
      <c r="AT26" s="454">
        <f>AO2/12</f>
        <v>0.25</v>
      </c>
      <c r="AU26" s="419">
        <f t="shared" si="22"/>
        <v>0.24481422304075356</v>
      </c>
      <c r="AV26" s="419">
        <f t="shared" si="23"/>
        <v>0.16905477402640354</v>
      </c>
      <c r="AW26" s="533">
        <f>(AR26-AD121-AD139-AD143-AD153-AD168)/$AO$2*12+AD121+AD139+AD143+AD153+AD168</f>
        <v>470752242</v>
      </c>
      <c r="AX26" s="533">
        <f>(AS26-AG121-AG139-AG143-AG153-AG168)/$AO$2*12+AG121+AG139+AG143+AG153+AG168</f>
        <v>308133146</v>
      </c>
      <c r="AY26" s="533">
        <f t="shared" si="24"/>
        <v>125802387</v>
      </c>
      <c r="AZ26" s="62">
        <f t="shared" si="25"/>
        <v>288421483</v>
      </c>
      <c r="BA26" s="467"/>
      <c r="BB26" s="467"/>
      <c r="BC26" s="467"/>
      <c r="BD26" s="467"/>
      <c r="BE26" s="467"/>
      <c r="BF26" s="467"/>
      <c r="BG26" s="467"/>
      <c r="BH26" s="467"/>
      <c r="BI26" s="467"/>
      <c r="BJ26" s="467"/>
      <c r="BK26" s="467"/>
      <c r="BM26" s="127" t="s">
        <v>476</v>
      </c>
      <c r="BN26" s="104">
        <f>+X196+X212</f>
        <v>203038050</v>
      </c>
      <c r="BO26" s="102">
        <f>+AA196+AA212</f>
        <v>36279728</v>
      </c>
      <c r="BP26" s="102">
        <f>+AD196+AD212</f>
        <v>36252728</v>
      </c>
      <c r="BQ26" s="103">
        <f>+AF196+AF212</f>
        <v>190050</v>
      </c>
      <c r="BR26" s="467"/>
    </row>
    <row r="27" spans="1:70" s="514" customFormat="1" ht="15" x14ac:dyDescent="0.2">
      <c r="A27" s="188" t="str">
        <f>+IF(FEBRERO!A27=0,"",FEBRERO!A27)</f>
        <v>1130102-2</v>
      </c>
      <c r="B27" s="189" t="str">
        <f>+IF(FEBRERO!B27=0,"",FEBRERO!B27)</f>
        <v>Vigencias Anteriores</v>
      </c>
      <c r="C27" s="456">
        <f>+ENERO!C27</f>
        <v>63000000</v>
      </c>
      <c r="D27" s="456">
        <f>FEBRERO!D27+MARZO!P27</f>
        <v>0</v>
      </c>
      <c r="E27" s="456">
        <f>FEBRERO!E27+MARZO!Q27</f>
        <v>0</v>
      </c>
      <c r="F27" s="170">
        <f>SUM(C27:E27)</f>
        <v>63000000</v>
      </c>
      <c r="G27" s="283">
        <f>FEBRERO!I27</f>
        <v>78381254</v>
      </c>
      <c r="H27" s="457">
        <v>49025759</v>
      </c>
      <c r="I27" s="170">
        <f>SUM(G27:H27)</f>
        <v>127407013</v>
      </c>
      <c r="J27" s="283">
        <f>FEBRERO!L27</f>
        <v>78381254</v>
      </c>
      <c r="K27" s="457">
        <v>49025759</v>
      </c>
      <c r="L27" s="170">
        <f>SUM(J27:K27)</f>
        <v>127407013</v>
      </c>
      <c r="M27" s="283">
        <f>F27-I27</f>
        <v>-64407013</v>
      </c>
      <c r="N27" s="170">
        <f>F27-L27</f>
        <v>-64407013</v>
      </c>
      <c r="O27" s="467"/>
      <c r="P27" s="455">
        <v>0</v>
      </c>
      <c r="Q27" s="458">
        <v>0</v>
      </c>
      <c r="R27" s="10"/>
      <c r="S27" s="156" t="str">
        <f>+IF(FEBRERO!S27=0,"",FEBRERO!S27)</f>
        <v>1010104-9</v>
      </c>
      <c r="T27" s="251" t="str">
        <f>+IF(FEBRERO!T27=0,"",FEBRERO!T27)</f>
        <v>Auxilio de Transporte</v>
      </c>
      <c r="U27" s="31">
        <f>+ENERO!U27</f>
        <v>0</v>
      </c>
      <c r="V27" s="17">
        <f>FEBRERO!V27+MARZO!AL27</f>
        <v>0</v>
      </c>
      <c r="W27" s="17">
        <f>FEBRERO!W27+MARZO!AM27</f>
        <v>0</v>
      </c>
      <c r="X27" s="20">
        <f t="shared" si="14"/>
        <v>0</v>
      </c>
      <c r="Y27" s="21">
        <f>FEBRERO!AA27</f>
        <v>0</v>
      </c>
      <c r="Z27" s="457">
        <v>0</v>
      </c>
      <c r="AA27" s="18">
        <f t="shared" si="15"/>
        <v>0</v>
      </c>
      <c r="AB27" s="21">
        <f>FEBRERO!AD27</f>
        <v>0</v>
      </c>
      <c r="AC27" s="457">
        <v>0</v>
      </c>
      <c r="AD27" s="18">
        <f t="shared" si="16"/>
        <v>0</v>
      </c>
      <c r="AE27" s="21">
        <f>FEBRERO!AG27</f>
        <v>0</v>
      </c>
      <c r="AF27" s="457">
        <v>0</v>
      </c>
      <c r="AG27" s="18">
        <f t="shared" si="17"/>
        <v>0</v>
      </c>
      <c r="AH27" s="21">
        <f t="shared" si="18"/>
        <v>0</v>
      </c>
      <c r="AI27" s="17">
        <f t="shared" si="19"/>
        <v>0</v>
      </c>
      <c r="AJ27" s="18">
        <f t="shared" si="20"/>
        <v>0</v>
      </c>
      <c r="AK27" s="10"/>
      <c r="AL27" s="455">
        <v>0</v>
      </c>
      <c r="AM27" s="458">
        <v>0</v>
      </c>
      <c r="AN27" s="10"/>
      <c r="AO27" s="428"/>
      <c r="AP27" s="535" t="s">
        <v>126</v>
      </c>
      <c r="AQ27" s="456">
        <f>X170</f>
        <v>204581543</v>
      </c>
      <c r="AR27" s="456">
        <f>AD170</f>
        <v>37266881</v>
      </c>
      <c r="AS27" s="456">
        <f>AG170</f>
        <v>31940420</v>
      </c>
      <c r="AT27" s="528"/>
      <c r="AU27" s="456">
        <f t="shared" si="22"/>
        <v>0.18216150124549604</v>
      </c>
      <c r="AV27" s="456">
        <f t="shared" si="23"/>
        <v>0.15612561881987566</v>
      </c>
      <c r="AW27" s="456">
        <f>(AR27-AD174-AD183-AD191)/$AO$2*12+AD174+AD183+AD191</f>
        <v>128625362</v>
      </c>
      <c r="AX27" s="456">
        <f>(AS27-AG174-AG183-AG191)/$AO$2*12+AG174+AG183+AG191</f>
        <v>110169341</v>
      </c>
      <c r="AY27" s="456">
        <f t="shared" si="24"/>
        <v>75956181</v>
      </c>
      <c r="AZ27" s="170">
        <f t="shared" si="25"/>
        <v>94412202</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+IF(FEBRERO!A28=0,"",FEBRERO!A28)</f>
        <v>1130103</v>
      </c>
      <c r="B28" s="60" t="str">
        <f>+IF(FEBRERO!B28=0,"",FEBRERO!B28)</f>
        <v>SUBSIDIO A LA OFERTA- ATENCION PERSONAS POBRES NO CUBIERTOS CON SUBSIDIO A LA DEMANDA</v>
      </c>
      <c r="C28" s="53">
        <f t="shared" ref="C28:N28" si="27">C29+C32+C35</f>
        <v>227076373</v>
      </c>
      <c r="D28" s="53">
        <f t="shared" si="27"/>
        <v>-227076373</v>
      </c>
      <c r="E28" s="53">
        <f t="shared" si="27"/>
        <v>0</v>
      </c>
      <c r="F28" s="54">
        <f t="shared" si="27"/>
        <v>0</v>
      </c>
      <c r="G28" s="52">
        <f t="shared" si="27"/>
        <v>0</v>
      </c>
      <c r="H28" s="53">
        <f t="shared" si="27"/>
        <v>0</v>
      </c>
      <c r="I28" s="54">
        <f t="shared" si="27"/>
        <v>0</v>
      </c>
      <c r="J28" s="52">
        <f t="shared" si="27"/>
        <v>0</v>
      </c>
      <c r="K28" s="53">
        <f t="shared" si="27"/>
        <v>0</v>
      </c>
      <c r="L28" s="54">
        <f t="shared" si="27"/>
        <v>0</v>
      </c>
      <c r="M28" s="52">
        <f t="shared" si="27"/>
        <v>0</v>
      </c>
      <c r="N28" s="54">
        <f t="shared" si="27"/>
        <v>0</v>
      </c>
      <c r="O28" s="467"/>
      <c r="P28" s="52">
        <f>P29+P32+P35</f>
        <v>-227076373</v>
      </c>
      <c r="Q28" s="54">
        <f>Q29+Q32+Q35</f>
        <v>0</v>
      </c>
      <c r="R28" s="10"/>
      <c r="S28" s="156" t="str">
        <f>+IF(FEBRERO!S28=0,"",FEBRERO!S28)</f>
        <v>1010104-10</v>
      </c>
      <c r="T28" s="251" t="str">
        <f>+IF(FEBRERO!T28=0,"",FEBRERO!T28)</f>
        <v>Subsidio de Alimentación</v>
      </c>
      <c r="U28" s="31">
        <f>+ENERO!U28</f>
        <v>9130335</v>
      </c>
      <c r="V28" s="17">
        <f>FEBRERO!V28+MARZO!AL28</f>
        <v>0</v>
      </c>
      <c r="W28" s="17">
        <f>FEBRERO!W28+MARZO!AM28</f>
        <v>0</v>
      </c>
      <c r="X28" s="20">
        <f t="shared" si="14"/>
        <v>9130335</v>
      </c>
      <c r="Y28" s="21">
        <f>FEBRERO!AA28</f>
        <v>1415015</v>
      </c>
      <c r="Z28" s="457">
        <v>951554</v>
      </c>
      <c r="AA28" s="18">
        <f t="shared" si="15"/>
        <v>2366569</v>
      </c>
      <c r="AB28" s="21">
        <f>FEBRERO!AD28</f>
        <v>1415015</v>
      </c>
      <c r="AC28" s="457">
        <v>951554</v>
      </c>
      <c r="AD28" s="18">
        <f t="shared" si="16"/>
        <v>2366569</v>
      </c>
      <c r="AE28" s="21">
        <f>FEBRERO!AG28</f>
        <v>1415015</v>
      </c>
      <c r="AF28" s="457">
        <v>951554</v>
      </c>
      <c r="AG28" s="18">
        <f t="shared" si="17"/>
        <v>2366569</v>
      </c>
      <c r="AH28" s="21">
        <f t="shared" si="18"/>
        <v>6763766</v>
      </c>
      <c r="AI28" s="17">
        <f t="shared" si="19"/>
        <v>6763766</v>
      </c>
      <c r="AJ28" s="18">
        <f t="shared" si="20"/>
        <v>6763766</v>
      </c>
      <c r="AK28" s="10"/>
      <c r="AL28" s="455">
        <v>0</v>
      </c>
      <c r="AM28" s="458">
        <v>0</v>
      </c>
      <c r="AN28" s="10"/>
      <c r="AO28" s="428"/>
      <c r="AP28" s="535" t="s">
        <v>129</v>
      </c>
      <c r="AQ28" s="528">
        <f>X193</f>
        <v>388893217</v>
      </c>
      <c r="AR28" s="528">
        <f>AD193</f>
        <v>120753800</v>
      </c>
      <c r="AS28" s="528">
        <f>AG193</f>
        <v>57865767</v>
      </c>
      <c r="AT28" s="528"/>
      <c r="AU28" s="456">
        <f t="shared" si="22"/>
        <v>0.31050631567071019</v>
      </c>
      <c r="AV28" s="456">
        <f t="shared" si="23"/>
        <v>0.14879603055663479</v>
      </c>
      <c r="AW28" s="456">
        <f>(AR28-AD205)/$AO$2*12+AD205</f>
        <v>302363327</v>
      </c>
      <c r="AX28" s="456">
        <f>(AS28-AG205)/$AO$2*12+AG205</f>
        <v>74693061</v>
      </c>
      <c r="AY28" s="456">
        <f t="shared" si="24"/>
        <v>86529890</v>
      </c>
      <c r="AZ28" s="170">
        <f t="shared" si="25"/>
        <v>314200156</v>
      </c>
      <c r="BA28" s="467"/>
      <c r="BB28" s="467"/>
      <c r="BC28" s="467"/>
      <c r="BD28" s="467"/>
      <c r="BE28" s="467"/>
      <c r="BF28" s="467"/>
      <c r="BG28" s="467"/>
      <c r="BH28" s="467"/>
      <c r="BI28" s="467"/>
      <c r="BJ28" s="467"/>
      <c r="BK28" s="467"/>
      <c r="BL28" s="467"/>
      <c r="BM28" s="89" t="s">
        <v>478</v>
      </c>
      <c r="BN28" s="101">
        <f>+X194-X196-X205</f>
        <v>125637876</v>
      </c>
      <c r="BO28" s="99">
        <f>+AA194-AA196-AA205</f>
        <v>24283781</v>
      </c>
      <c r="BP28" s="99">
        <f>+AD194-AD196-AD205</f>
        <v>24283781</v>
      </c>
      <c r="BQ28" s="100">
        <f>+AF194-AF196-AF205</f>
        <v>4338048</v>
      </c>
      <c r="BR28" s="10"/>
    </row>
    <row r="29" spans="1:70" s="10" customFormat="1" ht="15" x14ac:dyDescent="0.25">
      <c r="A29" s="61" t="str">
        <f>+IF(FEBRERO!A29=0,"",FEBRERO!A29)</f>
        <v>1130103-1</v>
      </c>
      <c r="B29" s="62" t="str">
        <f>+IF(FEBRERO!B29=0,"",FEBRERO!B29)</f>
        <v>Prestación de Servicios de salud  1er Nivel</v>
      </c>
      <c r="C29" s="17">
        <f t="shared" ref="C29:N29" si="28">SUM(C30:C31)</f>
        <v>227076373</v>
      </c>
      <c r="D29" s="17">
        <f t="shared" si="28"/>
        <v>-227076373</v>
      </c>
      <c r="E29" s="17">
        <f t="shared" si="28"/>
        <v>0</v>
      </c>
      <c r="F29" s="18">
        <f t="shared" si="28"/>
        <v>0</v>
      </c>
      <c r="G29" s="21">
        <f t="shared" si="28"/>
        <v>0</v>
      </c>
      <c r="H29" s="17">
        <f t="shared" si="28"/>
        <v>0</v>
      </c>
      <c r="I29" s="18">
        <f t="shared" si="28"/>
        <v>0</v>
      </c>
      <c r="J29" s="21">
        <f t="shared" si="28"/>
        <v>0</v>
      </c>
      <c r="K29" s="17">
        <f t="shared" si="28"/>
        <v>0</v>
      </c>
      <c r="L29" s="18">
        <f t="shared" si="28"/>
        <v>0</v>
      </c>
      <c r="M29" s="21">
        <f t="shared" si="28"/>
        <v>0</v>
      </c>
      <c r="N29" s="18">
        <f t="shared" si="28"/>
        <v>0</v>
      </c>
      <c r="O29" s="467"/>
      <c r="P29" s="171">
        <f>SUM(P30:P31)</f>
        <v>-227076373</v>
      </c>
      <c r="Q29" s="173">
        <f>SUM(Q30:Q31)</f>
        <v>0</v>
      </c>
      <c r="S29" s="156" t="str">
        <f>+IF(FEBRERO!S29=0,"",FEBRERO!S29)</f>
        <v>1010104-11</v>
      </c>
      <c r="T29" s="251" t="str">
        <f>+IF(FEBRERO!T29=0,"",FEBRERO!T29)</f>
        <v>Gastos de Representación</v>
      </c>
      <c r="U29" s="31">
        <f>+ENERO!U29</f>
        <v>0</v>
      </c>
      <c r="V29" s="17">
        <f>FEBRERO!V29+MARZO!AL29</f>
        <v>0</v>
      </c>
      <c r="W29" s="17">
        <f>FEBRERO!W29+MARZO!AM29</f>
        <v>0</v>
      </c>
      <c r="X29" s="20">
        <f t="shared" si="14"/>
        <v>0</v>
      </c>
      <c r="Y29" s="21">
        <f>FEBRERO!AA29</f>
        <v>0</v>
      </c>
      <c r="Z29" s="457">
        <v>0</v>
      </c>
      <c r="AA29" s="18">
        <f t="shared" si="15"/>
        <v>0</v>
      </c>
      <c r="AB29" s="21">
        <f>FEBRERO!AD29</f>
        <v>0</v>
      </c>
      <c r="AC29" s="457">
        <v>0</v>
      </c>
      <c r="AD29" s="18">
        <f t="shared" si="16"/>
        <v>0</v>
      </c>
      <c r="AE29" s="21">
        <f>FEBRERO!AG29</f>
        <v>0</v>
      </c>
      <c r="AF29" s="457">
        <v>0</v>
      </c>
      <c r="AG29" s="18">
        <f t="shared" si="17"/>
        <v>0</v>
      </c>
      <c r="AH29" s="21">
        <f t="shared" si="18"/>
        <v>0</v>
      </c>
      <c r="AI29" s="17">
        <f t="shared" si="19"/>
        <v>0</v>
      </c>
      <c r="AJ29" s="18">
        <f t="shared" si="20"/>
        <v>0</v>
      </c>
      <c r="AL29" s="455">
        <v>0</v>
      </c>
      <c r="AM29" s="458">
        <v>0</v>
      </c>
      <c r="AO29" s="23"/>
      <c r="AP29" s="536" t="s">
        <v>133</v>
      </c>
      <c r="AQ29" s="14">
        <f>X207</f>
        <v>0</v>
      </c>
      <c r="AR29" s="14">
        <f>AD207</f>
        <v>0</v>
      </c>
      <c r="AS29" s="14">
        <f>AG207</f>
        <v>0</v>
      </c>
      <c r="AT29" s="401"/>
      <c r="AU29" s="419" t="str">
        <f t="shared" si="22"/>
        <v xml:space="preserve"> </v>
      </c>
      <c r="AV29" s="419" t="str">
        <f t="shared" si="23"/>
        <v xml:space="preserve"> </v>
      </c>
      <c r="AW29" s="533">
        <f>(AR29-AD218)/$AO$2*12+AD218</f>
        <v>0</v>
      </c>
      <c r="AX29" s="533">
        <f>(AS29-AG218)/$AO$2*12+AG218</f>
        <v>0</v>
      </c>
      <c r="AY29" s="533">
        <f t="shared" si="24"/>
        <v>0</v>
      </c>
      <c r="AZ29" s="62">
        <f t="shared" si="25"/>
        <v>0</v>
      </c>
      <c r="BA29" s="467"/>
      <c r="BB29" s="514"/>
      <c r="BC29" s="514"/>
      <c r="BD29" s="514"/>
      <c r="BE29" s="514"/>
      <c r="BF29" s="514"/>
      <c r="BG29" s="467"/>
      <c r="BH29" s="467"/>
      <c r="BI29" s="467"/>
      <c r="BJ29" s="467"/>
      <c r="BK29" s="467"/>
      <c r="BM29" s="128" t="s">
        <v>72</v>
      </c>
      <c r="BN29" s="124">
        <f>X232-X256-X241</f>
        <v>120000000</v>
      </c>
      <c r="BO29" s="125">
        <f>AA232-AA256-AA241</f>
        <v>38144984</v>
      </c>
      <c r="BP29" s="125">
        <f>AD232-AD256-AD241</f>
        <v>38144984</v>
      </c>
      <c r="BQ29" s="126">
        <f>AF232-AF256-AF241</f>
        <v>19019492</v>
      </c>
      <c r="BR29" s="467"/>
    </row>
    <row r="30" spans="1:70" s="514" customFormat="1" ht="15" x14ac:dyDescent="0.25">
      <c r="A30" s="188" t="str">
        <f>+IF(FEBRERO!A30=0,"",FEBRERO!A30)</f>
        <v>1130103-1-1</v>
      </c>
      <c r="B30" s="189" t="str">
        <f>+CONCATENATE("Vigencia ",INSTRUCCIONES!$F$3)</f>
        <v>Vigencia 2014</v>
      </c>
      <c r="C30" s="456">
        <f>+ENERO!C30</f>
        <v>227076373</v>
      </c>
      <c r="D30" s="456">
        <f>FEBRERO!D30+MARZO!P30</f>
        <v>-227076373</v>
      </c>
      <c r="E30" s="456">
        <f>FEBRERO!E30+MARZO!Q30</f>
        <v>0</v>
      </c>
      <c r="F30" s="170">
        <f>SUM(C30:E30)</f>
        <v>0</v>
      </c>
      <c r="G30" s="283">
        <f>FEBRERO!I30</f>
        <v>0</v>
      </c>
      <c r="H30" s="457">
        <v>0</v>
      </c>
      <c r="I30" s="170">
        <f>SUM(G30:H30)</f>
        <v>0</v>
      </c>
      <c r="J30" s="283">
        <f>FEBRERO!L30</f>
        <v>0</v>
      </c>
      <c r="K30" s="457">
        <v>0</v>
      </c>
      <c r="L30" s="170">
        <f>SUM(J30:K30)</f>
        <v>0</v>
      </c>
      <c r="M30" s="283">
        <f>F30-I30</f>
        <v>0</v>
      </c>
      <c r="N30" s="170">
        <f>F30-L30</f>
        <v>0</v>
      </c>
      <c r="O30" s="10"/>
      <c r="P30" s="455">
        <v>-227076373</v>
      </c>
      <c r="Q30" s="458">
        <v>0</v>
      </c>
      <c r="R30" s="10"/>
      <c r="S30" s="156" t="str">
        <f>+IF(FEBRERO!S30=0,"",FEBRERO!S30)</f>
        <v>1010104-12</v>
      </c>
      <c r="T30" s="251" t="str">
        <f>+IF(FEBRERO!T30=0,"",FEBRERO!T30)</f>
        <v xml:space="preserve"> Indemnizaciones por Vacaciones o Supresión de Cargos por Reestructuración</v>
      </c>
      <c r="U30" s="31">
        <f>+ENERO!U30</f>
        <v>0</v>
      </c>
      <c r="V30" s="17">
        <f>FEBRERO!V30+MARZO!AL30</f>
        <v>0</v>
      </c>
      <c r="W30" s="17">
        <f>FEBRERO!W30+MARZO!AM30</f>
        <v>0</v>
      </c>
      <c r="X30" s="20">
        <f t="shared" si="14"/>
        <v>0</v>
      </c>
      <c r="Y30" s="21">
        <f>FEBRERO!AA30</f>
        <v>0</v>
      </c>
      <c r="Z30" s="457">
        <v>0</v>
      </c>
      <c r="AA30" s="18">
        <f t="shared" si="15"/>
        <v>0</v>
      </c>
      <c r="AB30" s="21">
        <f>FEBRERO!AD30</f>
        <v>0</v>
      </c>
      <c r="AC30" s="457">
        <v>0</v>
      </c>
      <c r="AD30" s="18">
        <f t="shared" si="16"/>
        <v>0</v>
      </c>
      <c r="AE30" s="21">
        <f>FEBRERO!AG30</f>
        <v>0</v>
      </c>
      <c r="AF30" s="457">
        <v>0</v>
      </c>
      <c r="AG30" s="18">
        <f t="shared" si="17"/>
        <v>0</v>
      </c>
      <c r="AH30" s="21">
        <f t="shared" si="18"/>
        <v>0</v>
      </c>
      <c r="AI30" s="17">
        <f t="shared" si="19"/>
        <v>0</v>
      </c>
      <c r="AJ30" s="18">
        <f t="shared" si="20"/>
        <v>0</v>
      </c>
      <c r="AK30" s="10"/>
      <c r="AL30" s="455">
        <v>0</v>
      </c>
      <c r="AM30" s="458">
        <v>0</v>
      </c>
      <c r="AN30" s="10"/>
      <c r="AO30" s="453" t="s">
        <v>53</v>
      </c>
      <c r="AP30" s="535" t="s">
        <v>136</v>
      </c>
      <c r="AQ30" s="456">
        <f>X220+X232</f>
        <v>120000000</v>
      </c>
      <c r="AR30" s="456">
        <f>AD220+AD232</f>
        <v>38144984</v>
      </c>
      <c r="AS30" s="456">
        <f>AG220+AG232</f>
        <v>19019492</v>
      </c>
      <c r="AT30" s="528"/>
      <c r="AU30" s="456">
        <f t="shared" si="22"/>
        <v>0.31787486666666664</v>
      </c>
      <c r="AV30" s="456">
        <f t="shared" si="23"/>
        <v>0.15849576666666668</v>
      </c>
      <c r="AW30" s="456">
        <f>(AR30-AD225-AD230-AD241-AD256)/$AO$2*12+AD225+AD230+AD241+AD256</f>
        <v>152579936</v>
      </c>
      <c r="AX30" s="456">
        <f>(AS30-AG225-AG230-AG241-AG256)/$AO$2*12+AG225+AG230+AG241+AG256</f>
        <v>76077968</v>
      </c>
      <c r="AY30" s="456">
        <f t="shared" si="24"/>
        <v>-32579936</v>
      </c>
      <c r="AZ30" s="170">
        <f t="shared" si="25"/>
        <v>43922032</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+IF(FEBRERO!A31=0,"",FEBRERO!A31)</f>
        <v>1130103-1-2</v>
      </c>
      <c r="B31" s="189" t="str">
        <f>+IF(FEBRERO!B31=0,"",FEBRERO!B31)</f>
        <v>Vigencias Anteriores</v>
      </c>
      <c r="C31" s="456">
        <f>+ENERO!C31</f>
        <v>0</v>
      </c>
      <c r="D31" s="456">
        <f>FEBRERO!D31+MARZO!P31</f>
        <v>0</v>
      </c>
      <c r="E31" s="456">
        <f>FEBRERO!E31+MARZO!Q31</f>
        <v>0</v>
      </c>
      <c r="F31" s="170">
        <f>SUM(C31:E31)</f>
        <v>0</v>
      </c>
      <c r="G31" s="283">
        <f>FEBRERO!I31</f>
        <v>0</v>
      </c>
      <c r="H31" s="457">
        <v>0</v>
      </c>
      <c r="I31" s="170">
        <f>SUM(G31:H31)</f>
        <v>0</v>
      </c>
      <c r="J31" s="283">
        <f>FEBRERO!L31</f>
        <v>0</v>
      </c>
      <c r="K31" s="457">
        <v>0</v>
      </c>
      <c r="L31" s="170">
        <f>SUM(J31:K31)</f>
        <v>0</v>
      </c>
      <c r="M31" s="283">
        <f>F31-I31</f>
        <v>0</v>
      </c>
      <c r="N31" s="170">
        <f>F31-L31</f>
        <v>0</v>
      </c>
      <c r="O31" s="467"/>
      <c r="P31" s="455">
        <v>0</v>
      </c>
      <c r="Q31" s="458">
        <v>0</v>
      </c>
      <c r="R31" s="10"/>
      <c r="S31" s="156" t="str">
        <f>+IF(FEBRERO!S31=0,"",FEBRERO!S31)</f>
        <v>1010104-13</v>
      </c>
      <c r="T31" s="251" t="str">
        <f>+IF(FEBRERO!T31=0,"",FEBRERO!T31)</f>
        <v>Bonificación Especial por Recreación</v>
      </c>
      <c r="U31" s="31">
        <f>+ENERO!U31</f>
        <v>2046504</v>
      </c>
      <c r="V31" s="17">
        <f>FEBRERO!V31+MARZO!AL31</f>
        <v>0</v>
      </c>
      <c r="W31" s="17">
        <f>FEBRERO!W31+MARZO!AM31</f>
        <v>0</v>
      </c>
      <c r="X31" s="20">
        <f t="shared" si="14"/>
        <v>2046504</v>
      </c>
      <c r="Y31" s="21">
        <f>FEBRERO!AA31</f>
        <v>248257</v>
      </c>
      <c r="Z31" s="457">
        <v>257777</v>
      </c>
      <c r="AA31" s="18">
        <f t="shared" si="15"/>
        <v>506034</v>
      </c>
      <c r="AB31" s="21">
        <f>FEBRERO!AD31</f>
        <v>248257</v>
      </c>
      <c r="AC31" s="457">
        <v>257777</v>
      </c>
      <c r="AD31" s="18">
        <f t="shared" si="16"/>
        <v>506034</v>
      </c>
      <c r="AE31" s="21">
        <f>FEBRERO!AG31</f>
        <v>248257</v>
      </c>
      <c r="AF31" s="457">
        <v>253178</v>
      </c>
      <c r="AG31" s="18">
        <f t="shared" si="17"/>
        <v>501435</v>
      </c>
      <c r="AH31" s="21">
        <f t="shared" si="18"/>
        <v>1540470</v>
      </c>
      <c r="AI31" s="17">
        <f t="shared" si="19"/>
        <v>1540470</v>
      </c>
      <c r="AJ31" s="18">
        <f t="shared" si="20"/>
        <v>1545069</v>
      </c>
      <c r="AK31" s="10"/>
      <c r="AL31" s="455">
        <v>0</v>
      </c>
      <c r="AM31" s="458">
        <v>0</v>
      </c>
      <c r="AN31" s="10"/>
      <c r="AO31" s="428"/>
      <c r="AP31" s="507" t="s">
        <v>139</v>
      </c>
      <c r="AQ31" s="528">
        <f>X258</f>
        <v>0</v>
      </c>
      <c r="AR31" s="528">
        <f>AD258</f>
        <v>47843226</v>
      </c>
      <c r="AS31" s="528">
        <f>AG258</f>
        <v>-758585054</v>
      </c>
      <c r="AT31" s="528"/>
      <c r="AU31" s="456" t="str">
        <f t="shared" si="22"/>
        <v xml:space="preserve"> </v>
      </c>
      <c r="AV31" s="456" t="str">
        <f t="shared" si="23"/>
        <v xml:space="preserve"> </v>
      </c>
      <c r="AW31" s="456">
        <f>AQ31</f>
        <v>0</v>
      </c>
      <c r="AX31" s="456">
        <f>AQ31</f>
        <v>0</v>
      </c>
      <c r="AY31" s="456">
        <f t="shared" si="24"/>
        <v>0</v>
      </c>
      <c r="AZ31" s="170">
        <f t="shared" si="25"/>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23350944</v>
      </c>
      <c r="BR31" s="10"/>
    </row>
    <row r="32" spans="1:70" s="10" customFormat="1" ht="15.75" thickBot="1" x14ac:dyDescent="0.3">
      <c r="A32" s="61" t="str">
        <f>+IF(FEBRERO!A32=0,"",FEBRERO!A32)</f>
        <v>1130103-2</v>
      </c>
      <c r="B32" s="62" t="str">
        <f>+IF(FEBRERO!B32=0,"",FEBRERO!B32)</f>
        <v>Prestación de Servicios de salud  2o. Nivel</v>
      </c>
      <c r="C32" s="17">
        <f t="shared" ref="C32:N32" si="29">SUM(C33:C34)</f>
        <v>0</v>
      </c>
      <c r="D32" s="17">
        <f t="shared" si="29"/>
        <v>0</v>
      </c>
      <c r="E32" s="17">
        <f t="shared" si="29"/>
        <v>0</v>
      </c>
      <c r="F32" s="18">
        <f t="shared" si="29"/>
        <v>0</v>
      </c>
      <c r="G32" s="21">
        <f t="shared" si="29"/>
        <v>0</v>
      </c>
      <c r="H32" s="17">
        <f t="shared" si="29"/>
        <v>0</v>
      </c>
      <c r="I32" s="18">
        <f t="shared" si="29"/>
        <v>0</v>
      </c>
      <c r="J32" s="21">
        <f t="shared" si="29"/>
        <v>0</v>
      </c>
      <c r="K32" s="17">
        <f t="shared" si="29"/>
        <v>0</v>
      </c>
      <c r="L32" s="18">
        <f t="shared" si="29"/>
        <v>0</v>
      </c>
      <c r="M32" s="21">
        <f t="shared" si="29"/>
        <v>0</v>
      </c>
      <c r="N32" s="18">
        <f t="shared" si="29"/>
        <v>0</v>
      </c>
      <c r="O32" s="467"/>
      <c r="P32" s="171">
        <f>SUM(P33:P34)</f>
        <v>0</v>
      </c>
      <c r="Q32" s="173">
        <f>SUM(Q33:Q34)</f>
        <v>0</v>
      </c>
      <c r="S32" s="156" t="str">
        <f>+IF(FEBRERO!S32=0,"",FEBRERO!S32)</f>
        <v>1010104-14</v>
      </c>
      <c r="T32" s="251" t="str">
        <f>+IF(FEBRERO!T32=0,"",FEBRERO!T32)</f>
        <v/>
      </c>
      <c r="U32" s="31">
        <f>+ENERO!U32</f>
        <v>0</v>
      </c>
      <c r="V32" s="17">
        <f>FEBRERO!V32+MARZO!AL32</f>
        <v>0</v>
      </c>
      <c r="W32" s="17">
        <f>FEBRERO!W32+MARZO!AM32</f>
        <v>0</v>
      </c>
      <c r="X32" s="20">
        <f t="shared" si="14"/>
        <v>0</v>
      </c>
      <c r="Y32" s="21">
        <f>FEBRERO!AA32</f>
        <v>0</v>
      </c>
      <c r="Z32" s="457">
        <v>0</v>
      </c>
      <c r="AA32" s="18">
        <f t="shared" si="15"/>
        <v>0</v>
      </c>
      <c r="AB32" s="21">
        <f>FEBRERO!AD32</f>
        <v>0</v>
      </c>
      <c r="AC32" s="457">
        <v>0</v>
      </c>
      <c r="AD32" s="18">
        <f t="shared" si="16"/>
        <v>0</v>
      </c>
      <c r="AE32" s="21">
        <f>FEBRERO!AG32</f>
        <v>0</v>
      </c>
      <c r="AF32" s="457">
        <v>0</v>
      </c>
      <c r="AG32" s="18">
        <f t="shared" si="17"/>
        <v>0</v>
      </c>
      <c r="AH32" s="21">
        <f t="shared" si="18"/>
        <v>0</v>
      </c>
      <c r="AI32" s="17">
        <f t="shared" si="19"/>
        <v>0</v>
      </c>
      <c r="AJ32" s="18">
        <f t="shared" si="20"/>
        <v>0</v>
      </c>
      <c r="AL32" s="455">
        <v>0</v>
      </c>
      <c r="AM32" s="458">
        <v>0</v>
      </c>
      <c r="AO32" s="23"/>
      <c r="AP32" s="537" t="s">
        <v>144</v>
      </c>
      <c r="AQ32" s="483">
        <f>SUM(AQ22:AQ31)</f>
        <v>3690024195</v>
      </c>
      <c r="AR32" s="483">
        <f>SUM(AR22:AR31)</f>
        <v>996268152</v>
      </c>
      <c r="AS32" s="483">
        <f>SUM(AS22:AS31)</f>
        <v>0</v>
      </c>
      <c r="AT32" s="538"/>
      <c r="AU32" s="539">
        <f t="shared" si="22"/>
        <v>0.26998959880803708</v>
      </c>
      <c r="AV32" s="539">
        <f t="shared" si="23"/>
        <v>0</v>
      </c>
      <c r="AW32" s="430">
        <f>SUM(AW22:AW31)</f>
        <v>3564676365.833333</v>
      </c>
      <c r="AX32" s="430">
        <f>SUM(AX22:AX31)</f>
        <v>2861923852.833333</v>
      </c>
      <c r="AY32" s="430">
        <f>SUM(AY22:AY31)</f>
        <v>125347829.16666669</v>
      </c>
      <c r="AZ32" s="431">
        <f>SUM(AZ22:AZ31)</f>
        <v>828100342.16666675</v>
      </c>
      <c r="BA32" s="467"/>
      <c r="BB32" s="514"/>
      <c r="BC32" s="514"/>
      <c r="BD32" s="514"/>
      <c r="BE32" s="514"/>
      <c r="BF32" s="514"/>
      <c r="BG32" s="467"/>
      <c r="BH32" s="467"/>
      <c r="BI32" s="467"/>
      <c r="BJ32" s="467"/>
      <c r="BK32" s="467"/>
      <c r="BM32" s="128" t="s">
        <v>140</v>
      </c>
      <c r="BN32" s="124">
        <f>+BN7+BN25+BN29+BN30+BN31</f>
        <v>3690024195</v>
      </c>
      <c r="BO32" s="125">
        <f t="shared" ref="BO32:BQ32" si="30">+BO7+BO25+BO29+BO30+BO31</f>
        <v>948453527</v>
      </c>
      <c r="BP32" s="125">
        <f t="shared" si="30"/>
        <v>948424926</v>
      </c>
      <c r="BQ32" s="126">
        <f t="shared" si="30"/>
        <v>258576247</v>
      </c>
      <c r="BR32" s="467"/>
    </row>
    <row r="33" spans="1:70" s="514" customFormat="1" ht="15.75" thickBot="1" x14ac:dyDescent="0.3">
      <c r="A33" s="188" t="str">
        <f>+IF(FEBRERO!A33=0,"",FEBRERO!A33)</f>
        <v>1130103-2-1</v>
      </c>
      <c r="B33" s="189" t="str">
        <f>+CONCATENATE("Vigencia ",INSTRUCCIONES!$F$3)</f>
        <v>Vigencia 2014</v>
      </c>
      <c r="C33" s="456">
        <f>+ENERO!C33</f>
        <v>0</v>
      </c>
      <c r="D33" s="456">
        <f>FEBRERO!D33+MARZO!P33</f>
        <v>0</v>
      </c>
      <c r="E33" s="456">
        <f>FEBRERO!E33+MARZO!Q33</f>
        <v>0</v>
      </c>
      <c r="F33" s="170">
        <f>SUM(C33:E33)</f>
        <v>0</v>
      </c>
      <c r="G33" s="283">
        <f>FEBRERO!I33</f>
        <v>0</v>
      </c>
      <c r="H33" s="457">
        <v>0</v>
      </c>
      <c r="I33" s="170">
        <f>SUM(G33:H33)</f>
        <v>0</v>
      </c>
      <c r="J33" s="283">
        <f>FEBRERO!L33</f>
        <v>0</v>
      </c>
      <c r="K33" s="457">
        <v>0</v>
      </c>
      <c r="L33" s="170">
        <f>SUM(J33:K33)</f>
        <v>0</v>
      </c>
      <c r="M33" s="283">
        <f>F33-I33</f>
        <v>0</v>
      </c>
      <c r="N33" s="170">
        <f>F33-L33</f>
        <v>0</v>
      </c>
      <c r="O33" s="10"/>
      <c r="P33" s="455">
        <v>0</v>
      </c>
      <c r="Q33" s="458">
        <v>0</v>
      </c>
      <c r="R33" s="10"/>
      <c r="S33" s="155">
        <f>+IF(FEBRERO!S33=0,"",FEBRERO!S33)</f>
        <v>1010199</v>
      </c>
      <c r="T33" s="238" t="str">
        <f>+IF(FEBRERO!T33=0,"",FEBRERO!T33)</f>
        <v>Vigencias Anteriores</v>
      </c>
      <c r="U33" s="31">
        <f>+ENERO!U33</f>
        <v>4029851</v>
      </c>
      <c r="V33" s="17">
        <f>FEBRERO!V33+MARZO!AL33</f>
        <v>-3476851</v>
      </c>
      <c r="W33" s="17">
        <f>FEBRERO!W33+MARZO!AM33</f>
        <v>0</v>
      </c>
      <c r="X33" s="20">
        <f t="shared" si="14"/>
        <v>553000</v>
      </c>
      <c r="Y33" s="21">
        <f>FEBRERO!AA33</f>
        <v>553000</v>
      </c>
      <c r="Z33" s="457">
        <v>0</v>
      </c>
      <c r="AA33" s="18">
        <f t="shared" si="15"/>
        <v>553000</v>
      </c>
      <c r="AB33" s="21">
        <f>FEBRERO!AD33</f>
        <v>553000</v>
      </c>
      <c r="AC33" s="457">
        <v>0</v>
      </c>
      <c r="AD33" s="18">
        <f t="shared" si="16"/>
        <v>553000</v>
      </c>
      <c r="AE33" s="21">
        <f>FEBRERO!AG33</f>
        <v>553000</v>
      </c>
      <c r="AF33" s="457">
        <v>0</v>
      </c>
      <c r="AG33" s="18">
        <f t="shared" si="17"/>
        <v>553000</v>
      </c>
      <c r="AH33" s="21">
        <f t="shared" si="18"/>
        <v>0</v>
      </c>
      <c r="AI33" s="17">
        <f t="shared" si="19"/>
        <v>0</v>
      </c>
      <c r="AJ33" s="18">
        <f t="shared" si="20"/>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225913849</v>
      </c>
      <c r="BP33" s="131">
        <f>AD258</f>
        <v>47843226</v>
      </c>
      <c r="BQ33" s="132">
        <f>AF258</f>
        <v>2435179796</v>
      </c>
      <c r="BR33" s="467"/>
    </row>
    <row r="34" spans="1:70" s="514" customFormat="1" ht="16.5" thickBot="1" x14ac:dyDescent="0.25">
      <c r="A34" s="188" t="str">
        <f>+IF(FEBRERO!A34=0,"",FEBRERO!A34)</f>
        <v>1130103-2-2</v>
      </c>
      <c r="B34" s="189" t="str">
        <f>+IF(FEBRERO!B34=0,"",FEBRERO!B34)</f>
        <v>Vigencias Anteriores</v>
      </c>
      <c r="C34" s="456">
        <f>+ENERO!C34</f>
        <v>0</v>
      </c>
      <c r="D34" s="456">
        <f>FEBRERO!D34+MARZO!P34</f>
        <v>0</v>
      </c>
      <c r="E34" s="456">
        <f>FEBRERO!E34+MARZO!Q34</f>
        <v>0</v>
      </c>
      <c r="F34" s="170">
        <f>SUM(C34:E34)</f>
        <v>0</v>
      </c>
      <c r="G34" s="283">
        <f>FEBRERO!I34</f>
        <v>0</v>
      </c>
      <c r="H34" s="457">
        <v>0</v>
      </c>
      <c r="I34" s="170">
        <f>SUM(G34:H34)</f>
        <v>0</v>
      </c>
      <c r="J34" s="283">
        <f>FEBRERO!L34</f>
        <v>0</v>
      </c>
      <c r="K34" s="457">
        <v>0</v>
      </c>
      <c r="L34" s="170">
        <f>SUM(J34:K34)</f>
        <v>0</v>
      </c>
      <c r="M34" s="283">
        <f>F34-I34</f>
        <v>0</v>
      </c>
      <c r="N34" s="170">
        <f>F34-L34</f>
        <v>0</v>
      </c>
      <c r="O34" s="467"/>
      <c r="P34" s="455">
        <v>0</v>
      </c>
      <c r="Q34" s="458">
        <v>0</v>
      </c>
      <c r="R34" s="10"/>
      <c r="S34" s="448" t="str">
        <f>+IF(FEBRERO!S34=0,"",FEBRERO!S34)</f>
        <v/>
      </c>
      <c r="T34" s="649" t="str">
        <f>+IF(FEBRERO!T34=0,"",FEBRERO!T34)</f>
        <v/>
      </c>
      <c r="U34" s="450"/>
      <c r="V34" s="193"/>
      <c r="W34" s="193"/>
      <c r="X34" s="193"/>
      <c r="Y34" s="450"/>
      <c r="Z34" s="193"/>
      <c r="AA34" s="207"/>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+IF(FEBRERO!A35=0,"",FEBRERO!A35)</f>
        <v>1130103-3</v>
      </c>
      <c r="B35" s="62" t="str">
        <f>+IF(FEBRERO!B35=0,"",FEBRERO!B35)</f>
        <v>Prestación de Servicios de salud  3o. Nivel</v>
      </c>
      <c r="C35" s="17">
        <f t="shared" ref="C35:N35" si="31">SUM(C36:C37)</f>
        <v>0</v>
      </c>
      <c r="D35" s="17">
        <f t="shared" si="31"/>
        <v>0</v>
      </c>
      <c r="E35" s="17">
        <f t="shared" si="31"/>
        <v>0</v>
      </c>
      <c r="F35" s="18">
        <f t="shared" si="31"/>
        <v>0</v>
      </c>
      <c r="G35" s="21">
        <f t="shared" si="31"/>
        <v>0</v>
      </c>
      <c r="H35" s="17">
        <f t="shared" si="31"/>
        <v>0</v>
      </c>
      <c r="I35" s="18">
        <f t="shared" si="31"/>
        <v>0</v>
      </c>
      <c r="J35" s="21">
        <f t="shared" si="31"/>
        <v>0</v>
      </c>
      <c r="K35" s="17">
        <f t="shared" si="31"/>
        <v>0</v>
      </c>
      <c r="L35" s="18">
        <f t="shared" si="31"/>
        <v>0</v>
      </c>
      <c r="M35" s="21">
        <f t="shared" si="31"/>
        <v>0</v>
      </c>
      <c r="N35" s="18">
        <f t="shared" si="31"/>
        <v>0</v>
      </c>
      <c r="P35" s="171">
        <f>SUM(P36:P37)</f>
        <v>0</v>
      </c>
      <c r="Q35" s="173">
        <f>SUM(Q36:Q37)</f>
        <v>0</v>
      </c>
      <c r="R35" s="10"/>
      <c r="S35" s="34">
        <f>+IF(FEBRERO!S35=0,"",FEBRERO!S35)</f>
        <v>1010200</v>
      </c>
      <c r="T35" s="237" t="str">
        <f>+IF(FEBRERO!T35=0,"",FEBRERO!T35)</f>
        <v>Servicios Personales Indirectos</v>
      </c>
      <c r="U35" s="151">
        <f t="shared" ref="U35:AJ35" si="32">SUM(U36:U41)</f>
        <v>113755696</v>
      </c>
      <c r="V35" s="144">
        <f t="shared" si="32"/>
        <v>-2668000</v>
      </c>
      <c r="W35" s="144">
        <f t="shared" si="32"/>
        <v>1200000</v>
      </c>
      <c r="X35" s="152">
        <f t="shared" si="32"/>
        <v>112287696</v>
      </c>
      <c r="Y35" s="151">
        <f t="shared" si="32"/>
        <v>10882560</v>
      </c>
      <c r="Z35" s="144">
        <f t="shared" si="32"/>
        <v>4921669</v>
      </c>
      <c r="AA35" s="153">
        <f t="shared" si="32"/>
        <v>15804229</v>
      </c>
      <c r="AB35" s="151">
        <f t="shared" si="32"/>
        <v>10881760</v>
      </c>
      <c r="AC35" s="144">
        <f t="shared" si="32"/>
        <v>4921669</v>
      </c>
      <c r="AD35" s="153">
        <f t="shared" si="32"/>
        <v>15803429</v>
      </c>
      <c r="AE35" s="151">
        <f t="shared" si="32"/>
        <v>3383291</v>
      </c>
      <c r="AF35" s="144">
        <f t="shared" si="32"/>
        <v>7498469</v>
      </c>
      <c r="AG35" s="153">
        <f t="shared" si="32"/>
        <v>10881760</v>
      </c>
      <c r="AH35" s="151">
        <f t="shared" si="32"/>
        <v>96483467</v>
      </c>
      <c r="AI35" s="144">
        <f t="shared" si="32"/>
        <v>96484267</v>
      </c>
      <c r="AJ35" s="153">
        <f t="shared" si="32"/>
        <v>101405936</v>
      </c>
      <c r="AK35" s="10"/>
      <c r="AL35" s="151">
        <f>SUM(AL36:AL41)</f>
        <v>0</v>
      </c>
      <c r="AM35" s="153">
        <f>SUM(AM36:AM41)</f>
        <v>1200000</v>
      </c>
      <c r="AN35" s="10"/>
      <c r="AO35" s="428"/>
      <c r="AP35" s="547"/>
      <c r="AQ35" s="363"/>
      <c r="AR35" s="548"/>
      <c r="AS35" s="548"/>
      <c r="AT35" s="548"/>
      <c r="AU35" s="549">
        <f>AR17-AR32</f>
        <v>114967864</v>
      </c>
      <c r="AV35" s="550">
        <f>AS17-AR32</f>
        <v>-63131360</v>
      </c>
      <c r="AW35" s="550" t="s">
        <v>158</v>
      </c>
      <c r="AX35" s="551"/>
      <c r="AY35" s="550">
        <f>AY17+AY32</f>
        <v>193167472.16666669</v>
      </c>
      <c r="AZ35" s="552">
        <f>AZ17+AY32</f>
        <v>-519541175.83333331</v>
      </c>
      <c r="BB35" s="514"/>
      <c r="BC35" s="514"/>
      <c r="BD35" s="514"/>
      <c r="BE35" s="514"/>
      <c r="BF35" s="514"/>
    </row>
    <row r="36" spans="1:70" s="467" customFormat="1" ht="15.75" thickBot="1" x14ac:dyDescent="0.25">
      <c r="A36" s="188" t="str">
        <f>+IF(FEBRERO!A36=0,"",FEBRERO!A36)</f>
        <v>1130103-3-1</v>
      </c>
      <c r="B36" s="189" t="str">
        <f>+CONCATENATE("Vigencia ",INSTRUCCIONES!$F$3)</f>
        <v>Vigencia 2014</v>
      </c>
      <c r="C36" s="456">
        <f>+ENERO!C36</f>
        <v>0</v>
      </c>
      <c r="D36" s="456">
        <f>FEBRERO!D36+MARZO!P36</f>
        <v>0</v>
      </c>
      <c r="E36" s="456">
        <f>FEBRERO!E36+MARZO!Q36</f>
        <v>0</v>
      </c>
      <c r="F36" s="170">
        <f t="shared" ref="F36:F41" si="33">SUM(C36:E36)</f>
        <v>0</v>
      </c>
      <c r="G36" s="283">
        <f>FEBRERO!I36</f>
        <v>0</v>
      </c>
      <c r="H36" s="457">
        <v>0</v>
      </c>
      <c r="I36" s="170">
        <f t="shared" ref="I36:I41" si="34">SUM(G36:H36)</f>
        <v>0</v>
      </c>
      <c r="J36" s="283">
        <f>FEBRERO!L36</f>
        <v>0</v>
      </c>
      <c r="K36" s="457">
        <v>0</v>
      </c>
      <c r="L36" s="170">
        <f t="shared" ref="L36:L41" si="35">SUM(J36:K36)</f>
        <v>0</v>
      </c>
      <c r="M36" s="283">
        <f t="shared" ref="M36:M41" si="36">F36-I36</f>
        <v>0</v>
      </c>
      <c r="N36" s="170">
        <f t="shared" ref="N36:N41" si="37">F36-L36</f>
        <v>0</v>
      </c>
      <c r="O36" s="10"/>
      <c r="P36" s="455">
        <v>0</v>
      </c>
      <c r="Q36" s="458">
        <v>0</v>
      </c>
      <c r="R36" s="10"/>
      <c r="S36" s="155" t="str">
        <f>+IF(FEBRERO!S36=0,"",FEBRERO!S36)</f>
        <v>1010200-1</v>
      </c>
      <c r="T36" s="238" t="str">
        <f>+IF(FEBRERO!T36=0,"",FEBRERO!T36)</f>
        <v>Remuneración y Honorarios por Servicios Técnicos y Profesionales</v>
      </c>
      <c r="U36" s="31">
        <f>+ENERO!U36</f>
        <v>16339906</v>
      </c>
      <c r="V36" s="17">
        <f>FEBRERO!V36+MARZO!AL36</f>
        <v>0</v>
      </c>
      <c r="W36" s="17">
        <f>FEBRERO!W36+MARZO!AM36</f>
        <v>0</v>
      </c>
      <c r="X36" s="20">
        <f t="shared" ref="X36:X41" si="38">SUM(U36:W36)</f>
        <v>16339906</v>
      </c>
      <c r="Y36" s="21">
        <f>FEBRERO!AA36</f>
        <v>1201873</v>
      </c>
      <c r="Z36" s="457">
        <v>1201873</v>
      </c>
      <c r="AA36" s="18">
        <f t="shared" ref="AA36:AA41" si="39">SUM(Y36:Z36)</f>
        <v>2403746</v>
      </c>
      <c r="AB36" s="21">
        <f>FEBRERO!AD36</f>
        <v>1201873</v>
      </c>
      <c r="AC36" s="457">
        <v>1201873</v>
      </c>
      <c r="AD36" s="18">
        <f t="shared" ref="AD36:AD41" si="40">SUM(AB36:AC36)</f>
        <v>2403746</v>
      </c>
      <c r="AE36" s="21">
        <f>FEBRERO!AG36</f>
        <v>0</v>
      </c>
      <c r="AF36" s="457">
        <v>1201873</v>
      </c>
      <c r="AG36" s="18">
        <f t="shared" ref="AG36:AG41" si="41">SUM(AE36:AF36)</f>
        <v>1201873</v>
      </c>
      <c r="AH36" s="21">
        <f t="shared" ref="AH36:AH41" si="42">X36-AA36</f>
        <v>13936160</v>
      </c>
      <c r="AI36" s="17">
        <f t="shared" ref="AI36:AI41" si="43">X36-AD36</f>
        <v>13936160</v>
      </c>
      <c r="AJ36" s="18">
        <f t="shared" ref="AJ36:AJ41" si="44">X36-AG36</f>
        <v>15138033</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+IF(FEBRERO!A37=0,"",FEBRERO!A37)</f>
        <v>1130103-3-2</v>
      </c>
      <c r="B37" s="189" t="str">
        <f>+IF(FEBRERO!B37=0,"",FEBRERO!B37)</f>
        <v>Vigencias Anteriores</v>
      </c>
      <c r="C37" s="456">
        <f>+ENERO!C37</f>
        <v>0</v>
      </c>
      <c r="D37" s="456">
        <f>FEBRERO!D37+MARZO!P37</f>
        <v>0</v>
      </c>
      <c r="E37" s="456">
        <f>FEBRERO!E37+MARZO!Q37</f>
        <v>0</v>
      </c>
      <c r="F37" s="170">
        <f t="shared" si="33"/>
        <v>0</v>
      </c>
      <c r="G37" s="283">
        <f>FEBRERO!I37</f>
        <v>0</v>
      </c>
      <c r="H37" s="457">
        <v>0</v>
      </c>
      <c r="I37" s="170">
        <f t="shared" si="34"/>
        <v>0</v>
      </c>
      <c r="J37" s="283">
        <f>FEBRERO!L37</f>
        <v>0</v>
      </c>
      <c r="K37" s="457">
        <v>0</v>
      </c>
      <c r="L37" s="170">
        <f t="shared" si="35"/>
        <v>0</v>
      </c>
      <c r="M37" s="283">
        <f t="shared" si="36"/>
        <v>0</v>
      </c>
      <c r="N37" s="170">
        <f t="shared" si="37"/>
        <v>0</v>
      </c>
      <c r="P37" s="455">
        <v>0</v>
      </c>
      <c r="Q37" s="458">
        <v>0</v>
      </c>
      <c r="R37" s="10"/>
      <c r="S37" s="155" t="str">
        <f>+IF(FEBRERO!S37=0,"",FEBRERO!S37)</f>
        <v>1010200-2</v>
      </c>
      <c r="T37" s="238" t="str">
        <f>+IF(FEBRERO!T37=0,"",FEBRERO!T37)</f>
        <v>Personal Supernumerario</v>
      </c>
      <c r="U37" s="31">
        <f>+ENERO!U37</f>
        <v>10000000</v>
      </c>
      <c r="V37" s="17">
        <f>FEBRERO!V37+MARZO!AL37</f>
        <v>0</v>
      </c>
      <c r="W37" s="17">
        <f>FEBRERO!W37+MARZO!AM37</f>
        <v>0</v>
      </c>
      <c r="X37" s="20">
        <f t="shared" si="38"/>
        <v>10000000</v>
      </c>
      <c r="Y37" s="21">
        <f>FEBRERO!AA37</f>
        <v>0</v>
      </c>
      <c r="Z37" s="457">
        <v>0</v>
      </c>
      <c r="AA37" s="18">
        <f t="shared" si="39"/>
        <v>0</v>
      </c>
      <c r="AB37" s="21">
        <f>FEBRERO!AD37</f>
        <v>0</v>
      </c>
      <c r="AC37" s="457">
        <v>0</v>
      </c>
      <c r="AD37" s="18">
        <f t="shared" si="40"/>
        <v>0</v>
      </c>
      <c r="AE37" s="21">
        <f>FEBRERO!AG37</f>
        <v>0</v>
      </c>
      <c r="AF37" s="457">
        <v>0</v>
      </c>
      <c r="AG37" s="18">
        <f t="shared" si="41"/>
        <v>0</v>
      </c>
      <c r="AH37" s="21">
        <f t="shared" si="42"/>
        <v>10000000</v>
      </c>
      <c r="AI37" s="17">
        <f t="shared" si="43"/>
        <v>10000000</v>
      </c>
      <c r="AJ37" s="18">
        <f t="shared" si="44"/>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P38" s="724"/>
      <c r="Q38" s="725"/>
      <c r="R38" s="10"/>
      <c r="S38" s="155" t="str">
        <f>+IF(FEBRERO!S38=0,"",FEBRERO!S38)</f>
        <v>1010200-3</v>
      </c>
      <c r="T38" s="238" t="str">
        <f>+IF(FEBRERO!T38=0,"",FEBRERO!T38)</f>
        <v>Honorarios de la Junta Directiva</v>
      </c>
      <c r="U38" s="31">
        <f>+ENERO!U38</f>
        <v>1098240</v>
      </c>
      <c r="V38" s="17">
        <f>FEBRERO!V38+MARZO!AL38</f>
        <v>0</v>
      </c>
      <c r="W38" s="17">
        <f>FEBRERO!W38+MARZO!AM38</f>
        <v>1200000</v>
      </c>
      <c r="X38" s="20">
        <f t="shared" si="38"/>
        <v>2298240</v>
      </c>
      <c r="Y38" s="21">
        <f>FEBRERO!AA38</f>
        <v>530550</v>
      </c>
      <c r="Z38" s="457">
        <v>0</v>
      </c>
      <c r="AA38" s="18">
        <f t="shared" si="39"/>
        <v>530550</v>
      </c>
      <c r="AB38" s="21">
        <f>FEBRERO!AD38</f>
        <v>530550</v>
      </c>
      <c r="AC38" s="457">
        <v>0</v>
      </c>
      <c r="AD38" s="18">
        <f t="shared" si="40"/>
        <v>530550</v>
      </c>
      <c r="AE38" s="21">
        <f>FEBRERO!AG38</f>
        <v>530550</v>
      </c>
      <c r="AF38" s="457">
        <v>0</v>
      </c>
      <c r="AG38" s="18">
        <f t="shared" si="41"/>
        <v>530550</v>
      </c>
      <c r="AH38" s="21">
        <f t="shared" si="42"/>
        <v>1767690</v>
      </c>
      <c r="AI38" s="17">
        <f t="shared" si="43"/>
        <v>1767690</v>
      </c>
      <c r="AJ38" s="18">
        <f t="shared" si="44"/>
        <v>1767690</v>
      </c>
      <c r="AK38" s="10"/>
      <c r="AL38" s="455">
        <v>0</v>
      </c>
      <c r="AM38" s="458">
        <v>1200000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P39" s="724"/>
      <c r="Q39" s="725"/>
      <c r="R39" s="10"/>
      <c r="S39" s="155" t="str">
        <f>+IF(FEBRERO!S39=0,"",FEBRERO!S39)</f>
        <v>1010200-4</v>
      </c>
      <c r="T39" s="238" t="str">
        <f>+IF(FEBRERO!T39=0,"",FEBRERO!T39)</f>
        <v>Otros Honorarios (Servicios de Cooperativa)</v>
      </c>
      <c r="U39" s="31">
        <f>+ENERO!U39</f>
        <v>80796809</v>
      </c>
      <c r="V39" s="17">
        <f>FEBRERO!V39+MARZO!AL39</f>
        <v>0</v>
      </c>
      <c r="W39" s="17">
        <f>FEBRERO!W39+MARZO!AM39</f>
        <v>0</v>
      </c>
      <c r="X39" s="20">
        <f t="shared" si="38"/>
        <v>80796809</v>
      </c>
      <c r="Y39" s="21">
        <f>FEBRERO!AA39</f>
        <v>6297396</v>
      </c>
      <c r="Z39" s="457">
        <v>3719796</v>
      </c>
      <c r="AA39" s="18">
        <f t="shared" si="39"/>
        <v>10017192</v>
      </c>
      <c r="AB39" s="21">
        <f>FEBRERO!AD39</f>
        <v>6296596</v>
      </c>
      <c r="AC39" s="457">
        <v>3719796</v>
      </c>
      <c r="AD39" s="18">
        <f t="shared" si="40"/>
        <v>10016392</v>
      </c>
      <c r="AE39" s="21">
        <f>FEBRERO!AG39</f>
        <v>0</v>
      </c>
      <c r="AF39" s="457">
        <v>6296596</v>
      </c>
      <c r="AG39" s="18">
        <f t="shared" si="41"/>
        <v>6296596</v>
      </c>
      <c r="AH39" s="21">
        <f t="shared" si="42"/>
        <v>70779617</v>
      </c>
      <c r="AI39" s="17">
        <f t="shared" si="43"/>
        <v>70780417</v>
      </c>
      <c r="AJ39" s="18">
        <f t="shared" si="44"/>
        <v>74500213</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467"/>
      <c r="P40" s="724"/>
      <c r="Q40" s="725"/>
      <c r="R40" s="10"/>
      <c r="S40" s="155" t="str">
        <f>+IF(FEBRERO!S40=0,"",FEBRERO!S40)</f>
        <v>1010200-6</v>
      </c>
      <c r="T40" s="238" t="str">
        <f>+IF(FEBRERO!T40=0,"",FEBRERO!T40)</f>
        <v>Certificación, Habilitación y Acreditación</v>
      </c>
      <c r="U40" s="31">
        <f>+ENERO!U40</f>
        <v>0</v>
      </c>
      <c r="V40" s="17">
        <f>FEBRERO!V40+MARZO!AL40</f>
        <v>0</v>
      </c>
      <c r="W40" s="17">
        <f>FEBRERO!W40+MARZO!AM40</f>
        <v>0</v>
      </c>
      <c r="X40" s="20">
        <f t="shared" si="38"/>
        <v>0</v>
      </c>
      <c r="Y40" s="21">
        <f>FEBRERO!AA40</f>
        <v>0</v>
      </c>
      <c r="Z40" s="457">
        <v>0</v>
      </c>
      <c r="AA40" s="18">
        <f t="shared" si="39"/>
        <v>0</v>
      </c>
      <c r="AB40" s="21">
        <f>FEBRERO!AD40</f>
        <v>0</v>
      </c>
      <c r="AC40" s="457">
        <v>0</v>
      </c>
      <c r="AD40" s="18">
        <f t="shared" si="40"/>
        <v>0</v>
      </c>
      <c r="AE40" s="21">
        <f>FEBRERO!AG40</f>
        <v>0</v>
      </c>
      <c r="AF40" s="457">
        <v>0</v>
      </c>
      <c r="AG40" s="18">
        <f t="shared" si="41"/>
        <v>0</v>
      </c>
      <c r="AH40" s="21">
        <f t="shared" si="42"/>
        <v>0</v>
      </c>
      <c r="AI40" s="17">
        <f t="shared" si="43"/>
        <v>0</v>
      </c>
      <c r="AJ40" s="18">
        <f t="shared" si="44"/>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+IF(FEBRERO!A41=0,"",FEBRERO!A41)</f>
        <v>1130104</v>
      </c>
      <c r="B41" s="45" t="str">
        <f>+IF(FEBRERO!B41=0,"",FEBRERO!B41)</f>
        <v>SUBSIDIO A LA OFERTA- ACTIVIDADES NO POS-S</v>
      </c>
      <c r="C41" s="27">
        <f>+ENERO!C41</f>
        <v>0</v>
      </c>
      <c r="D41" s="27">
        <f>FEBRERO!D41+MARZO!P41</f>
        <v>0</v>
      </c>
      <c r="E41" s="27">
        <f>FEBRERO!E41+MARZO!Q41</f>
        <v>0</v>
      </c>
      <c r="F41" s="28">
        <f t="shared" si="33"/>
        <v>0</v>
      </c>
      <c r="G41" s="31">
        <f>FEBRERO!I41</f>
        <v>0</v>
      </c>
      <c r="H41" s="457">
        <v>0</v>
      </c>
      <c r="I41" s="28">
        <f t="shared" si="34"/>
        <v>0</v>
      </c>
      <c r="J41" s="31">
        <f>FEBRERO!L41</f>
        <v>0</v>
      </c>
      <c r="K41" s="457">
        <v>0</v>
      </c>
      <c r="L41" s="28">
        <f t="shared" si="35"/>
        <v>0</v>
      </c>
      <c r="M41" s="31">
        <f t="shared" si="36"/>
        <v>0</v>
      </c>
      <c r="N41" s="28">
        <f t="shared" si="37"/>
        <v>0</v>
      </c>
      <c r="O41" s="467"/>
      <c r="P41" s="455">
        <v>0</v>
      </c>
      <c r="Q41" s="458">
        <v>0</v>
      </c>
      <c r="R41" s="10"/>
      <c r="S41" s="155">
        <f>+IF(FEBRERO!S41=0,"",FEBRERO!S41)</f>
        <v>1010299</v>
      </c>
      <c r="T41" s="238" t="str">
        <f>+IF(FEBRERO!T41=0,"",FEBRERO!T41)</f>
        <v>Vigencias Anteriores</v>
      </c>
      <c r="U41" s="31">
        <f>+ENERO!U41</f>
        <v>5520741</v>
      </c>
      <c r="V41" s="17">
        <f>FEBRERO!V41+MARZO!AL41</f>
        <v>-2668000</v>
      </c>
      <c r="W41" s="17">
        <f>FEBRERO!W41+MARZO!AM41</f>
        <v>0</v>
      </c>
      <c r="X41" s="20">
        <f t="shared" si="38"/>
        <v>2852741</v>
      </c>
      <c r="Y41" s="21">
        <f>FEBRERO!AA41</f>
        <v>2852741</v>
      </c>
      <c r="Z41" s="457">
        <v>0</v>
      </c>
      <c r="AA41" s="18">
        <f t="shared" si="39"/>
        <v>2852741</v>
      </c>
      <c r="AB41" s="21">
        <f>FEBRERO!AD41</f>
        <v>2852741</v>
      </c>
      <c r="AC41" s="457">
        <v>0</v>
      </c>
      <c r="AD41" s="18">
        <f t="shared" si="40"/>
        <v>2852741</v>
      </c>
      <c r="AE41" s="21">
        <f>FEBRERO!AG41</f>
        <v>2852741</v>
      </c>
      <c r="AF41" s="457">
        <v>0</v>
      </c>
      <c r="AG41" s="18">
        <f t="shared" si="41"/>
        <v>2852741</v>
      </c>
      <c r="AH41" s="21">
        <f t="shared" si="42"/>
        <v>0</v>
      </c>
      <c r="AI41" s="17">
        <f t="shared" si="43"/>
        <v>0</v>
      </c>
      <c r="AJ41" s="18">
        <f t="shared" si="44"/>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+IF(FEBRERO!A42=0,"",FEBRERO!A42)</f>
        <v>1130106</v>
      </c>
      <c r="B42" s="45" t="str">
        <f>+IF(FEBRERO!B42=0,"",FEBRERO!B42)</f>
        <v>SALUD PUBLICA - PLAN DE INTERVENCIONES COLECTIVAS</v>
      </c>
      <c r="C42" s="53">
        <f t="shared" ref="C42:N42" si="45">SUM(C43:C44)</f>
        <v>125397398</v>
      </c>
      <c r="D42" s="53">
        <f t="shared" si="45"/>
        <v>0</v>
      </c>
      <c r="E42" s="53">
        <f t="shared" si="45"/>
        <v>0</v>
      </c>
      <c r="F42" s="54">
        <f t="shared" si="45"/>
        <v>125397398</v>
      </c>
      <c r="G42" s="52">
        <f t="shared" si="45"/>
        <v>0</v>
      </c>
      <c r="H42" s="53">
        <f t="shared" si="45"/>
        <v>10017527</v>
      </c>
      <c r="I42" s="54">
        <f t="shared" si="45"/>
        <v>10017527</v>
      </c>
      <c r="J42" s="52">
        <f t="shared" si="45"/>
        <v>0</v>
      </c>
      <c r="K42" s="53">
        <f t="shared" si="45"/>
        <v>10017527</v>
      </c>
      <c r="L42" s="54">
        <f t="shared" si="45"/>
        <v>10017527</v>
      </c>
      <c r="M42" s="52">
        <f t="shared" si="45"/>
        <v>115379871</v>
      </c>
      <c r="N42" s="54">
        <f t="shared" si="45"/>
        <v>115379871</v>
      </c>
      <c r="P42" s="52">
        <f>SUM(P43:P44)</f>
        <v>0</v>
      </c>
      <c r="Q42" s="54">
        <f>SUM(Q43:Q44)</f>
        <v>0</v>
      </c>
      <c r="R42" s="10"/>
      <c r="S42" s="448" t="str">
        <f>+IF(FEBRERO!S42=0,"",FEBRERO!S42)</f>
        <v/>
      </c>
      <c r="T42" s="649" t="str">
        <f>+IF(FEBRERO!T42=0,"",FEBRERO!T42)</f>
        <v/>
      </c>
      <c r="U42" s="450"/>
      <c r="V42" s="193"/>
      <c r="W42" s="193"/>
      <c r="X42" s="193"/>
      <c r="Y42" s="450"/>
      <c r="Z42" s="193"/>
      <c r="AA42" s="207"/>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+IF(FEBRERO!A43=0,"",FEBRERO!A43)</f>
        <v>1130106-1</v>
      </c>
      <c r="B43" s="189" t="str">
        <f>+CONCATENATE("Vigencia ",INSTRUCCIONES!$F$3)</f>
        <v>Vigencia 2014</v>
      </c>
      <c r="C43" s="456">
        <f>+ENERO!C43</f>
        <v>125397398</v>
      </c>
      <c r="D43" s="456">
        <f>FEBRERO!D43+MARZO!P43</f>
        <v>0</v>
      </c>
      <c r="E43" s="456">
        <f>FEBRERO!E43+MARZO!Q43</f>
        <v>0</v>
      </c>
      <c r="F43" s="170">
        <f>SUM(C43:E43)</f>
        <v>125397398</v>
      </c>
      <c r="G43" s="283">
        <f>FEBRERO!I43</f>
        <v>0</v>
      </c>
      <c r="H43" s="457">
        <v>10017527</v>
      </c>
      <c r="I43" s="170">
        <f>SUM(G43:H43)</f>
        <v>10017527</v>
      </c>
      <c r="J43" s="283">
        <f>FEBRERO!L43</f>
        <v>0</v>
      </c>
      <c r="K43" s="457">
        <v>10017527</v>
      </c>
      <c r="L43" s="170">
        <f>SUM(J43:K43)</f>
        <v>10017527</v>
      </c>
      <c r="M43" s="283">
        <f>F43-I43</f>
        <v>115379871</v>
      </c>
      <c r="N43" s="170">
        <f>F43-L43</f>
        <v>115379871</v>
      </c>
      <c r="O43" s="467"/>
      <c r="P43" s="455">
        <v>0</v>
      </c>
      <c r="Q43" s="458">
        <v>0</v>
      </c>
      <c r="R43" s="10"/>
      <c r="S43" s="34">
        <f>+IF(FEBRERO!S43=0,"",FEBRERO!S43)</f>
        <v>1010300</v>
      </c>
      <c r="T43" s="237" t="str">
        <f>+IF(FEBRERO!T43=0,"",FEBRERO!T43)</f>
        <v>Contribuciones Inherentes nómina al Sector Privado</v>
      </c>
      <c r="U43" s="151">
        <f t="shared" ref="U43:AJ43" si="46">U44+U49+U55</f>
        <v>119647956</v>
      </c>
      <c r="V43" s="144">
        <f t="shared" si="46"/>
        <v>487148</v>
      </c>
      <c r="W43" s="144">
        <f t="shared" si="46"/>
        <v>0</v>
      </c>
      <c r="X43" s="152">
        <f t="shared" si="46"/>
        <v>120135104</v>
      </c>
      <c r="Y43" s="151">
        <f t="shared" si="46"/>
        <v>41752450</v>
      </c>
      <c r="Z43" s="144">
        <f t="shared" si="46"/>
        <v>7330981</v>
      </c>
      <c r="AA43" s="153">
        <f t="shared" si="46"/>
        <v>49083431</v>
      </c>
      <c r="AB43" s="151">
        <f t="shared" si="46"/>
        <v>41752450</v>
      </c>
      <c r="AC43" s="144">
        <f t="shared" si="46"/>
        <v>7330981</v>
      </c>
      <c r="AD43" s="153">
        <f t="shared" si="46"/>
        <v>49083431</v>
      </c>
      <c r="AE43" s="151">
        <f t="shared" si="46"/>
        <v>36184482</v>
      </c>
      <c r="AF43" s="144">
        <f t="shared" si="46"/>
        <v>7877520</v>
      </c>
      <c r="AG43" s="153">
        <f t="shared" si="46"/>
        <v>44062002</v>
      </c>
      <c r="AH43" s="151">
        <f t="shared" si="46"/>
        <v>71051673</v>
      </c>
      <c r="AI43" s="144">
        <f t="shared" si="46"/>
        <v>71051673</v>
      </c>
      <c r="AJ43" s="153">
        <f t="shared" si="46"/>
        <v>76073102</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+IF(FEBRERO!A44=0,"",FEBRERO!A44)</f>
        <v>1130106-2</v>
      </c>
      <c r="B44" s="189" t="str">
        <f>+IF(FEBRERO!B44=0,"",FEBRERO!B44)</f>
        <v>Vigencias Anteriores</v>
      </c>
      <c r="C44" s="456">
        <f>+ENERO!C44</f>
        <v>0</v>
      </c>
      <c r="D44" s="456">
        <f>FEBRERO!D44+MARZO!P44</f>
        <v>0</v>
      </c>
      <c r="E44" s="456">
        <f>FEBRERO!E44+MARZO!Q44</f>
        <v>0</v>
      </c>
      <c r="F44" s="170">
        <f>SUM(C44:E44)</f>
        <v>0</v>
      </c>
      <c r="G44" s="283">
        <f>FEBRERO!I44</f>
        <v>0</v>
      </c>
      <c r="H44" s="457">
        <v>0</v>
      </c>
      <c r="I44" s="170">
        <f>SUM(G44:H44)</f>
        <v>0</v>
      </c>
      <c r="J44" s="283">
        <f>FEBRERO!L44</f>
        <v>0</v>
      </c>
      <c r="K44" s="457">
        <v>0</v>
      </c>
      <c r="L44" s="170">
        <f>SUM(J44:K44)</f>
        <v>0</v>
      </c>
      <c r="M44" s="283">
        <f>F44-I44</f>
        <v>0</v>
      </c>
      <c r="N44" s="170">
        <f>F44-L44</f>
        <v>0</v>
      </c>
      <c r="O44" s="467"/>
      <c r="P44" s="455">
        <v>0</v>
      </c>
      <c r="Q44" s="458">
        <v>0</v>
      </c>
      <c r="R44" s="10"/>
      <c r="S44" s="155">
        <f>+IF(FEBRERO!S44=0,"",FEBRERO!S44)</f>
        <v>1010301</v>
      </c>
      <c r="T44" s="238" t="str">
        <f>+IF(FEBRERO!T44=0,"",FEBRERO!T44)</f>
        <v>Contribuciones - Sin Situación de Fondos</v>
      </c>
      <c r="U44" s="31">
        <f t="shared" ref="U44:AJ44" si="47">SUM(U45:U48)</f>
        <v>56401928</v>
      </c>
      <c r="V44" s="17">
        <f t="shared" si="47"/>
        <v>0</v>
      </c>
      <c r="W44" s="17">
        <f t="shared" si="47"/>
        <v>0</v>
      </c>
      <c r="X44" s="20">
        <f t="shared" si="47"/>
        <v>56401928</v>
      </c>
      <c r="Y44" s="21">
        <f t="shared" si="47"/>
        <v>5366025</v>
      </c>
      <c r="Z44" s="169">
        <f t="shared" si="47"/>
        <v>2796700</v>
      </c>
      <c r="AA44" s="18">
        <f t="shared" si="47"/>
        <v>8162725</v>
      </c>
      <c r="AB44" s="21">
        <f t="shared" si="47"/>
        <v>5366025</v>
      </c>
      <c r="AC44" s="169">
        <f t="shared" si="47"/>
        <v>2796700</v>
      </c>
      <c r="AD44" s="18">
        <f t="shared" si="47"/>
        <v>8162725</v>
      </c>
      <c r="AE44" s="21">
        <f t="shared" si="47"/>
        <v>5366025</v>
      </c>
      <c r="AF44" s="169">
        <f t="shared" si="47"/>
        <v>2796700</v>
      </c>
      <c r="AG44" s="18">
        <f t="shared" si="47"/>
        <v>8162725</v>
      </c>
      <c r="AH44" s="21">
        <f t="shared" si="47"/>
        <v>48239203</v>
      </c>
      <c r="AI44" s="17">
        <f t="shared" si="47"/>
        <v>48239203</v>
      </c>
      <c r="AJ44" s="18">
        <f t="shared" si="47"/>
        <v>48239203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+IF(FEBRERO!A45=0,"",FEBRERO!A45)</f>
        <v>1130107</v>
      </c>
      <c r="B45" s="45" t="str">
        <f>+IF(FEBRERO!B45=0,"",FEBRERO!B45)</f>
        <v>MINSALUD-FOSYGA-RECLAMACIONES ECAT</v>
      </c>
      <c r="C45" s="53">
        <f t="shared" ref="C45:N45" si="48">SUM(C46:C47)</f>
        <v>0</v>
      </c>
      <c r="D45" s="53">
        <f t="shared" si="48"/>
        <v>0</v>
      </c>
      <c r="E45" s="53">
        <f t="shared" si="48"/>
        <v>0</v>
      </c>
      <c r="F45" s="54">
        <f t="shared" si="48"/>
        <v>0</v>
      </c>
      <c r="G45" s="52">
        <f t="shared" si="48"/>
        <v>0</v>
      </c>
      <c r="H45" s="53">
        <f t="shared" si="48"/>
        <v>0</v>
      </c>
      <c r="I45" s="54">
        <f t="shared" si="48"/>
        <v>0</v>
      </c>
      <c r="J45" s="52">
        <f t="shared" si="48"/>
        <v>0</v>
      </c>
      <c r="K45" s="53">
        <f t="shared" si="48"/>
        <v>0</v>
      </c>
      <c r="L45" s="54">
        <f t="shared" si="48"/>
        <v>0</v>
      </c>
      <c r="M45" s="52">
        <f t="shared" si="48"/>
        <v>0</v>
      </c>
      <c r="N45" s="54">
        <f t="shared" si="48"/>
        <v>0</v>
      </c>
      <c r="P45" s="52">
        <f>SUM(P46:P47)</f>
        <v>0</v>
      </c>
      <c r="Q45" s="54">
        <f>SUM(Q46:Q47)</f>
        <v>0</v>
      </c>
      <c r="R45" s="10"/>
      <c r="S45" s="156" t="str">
        <f>+IF(FEBRERO!S45=0,"",FEBRERO!S45)</f>
        <v>1010301-1</v>
      </c>
      <c r="T45" s="251" t="str">
        <f>+IF(FEBRERO!T45=0,"",FEBRERO!T45)</f>
        <v>Aportes a E.P.S.- Sin sit. Fondos</v>
      </c>
      <c r="U45" s="31">
        <f>+ENERO!U45</f>
        <v>24712429</v>
      </c>
      <c r="V45" s="17">
        <f>FEBRERO!V45+MARZO!AL45</f>
        <v>0</v>
      </c>
      <c r="W45" s="17">
        <f>FEBRERO!W45+MARZO!AM45</f>
        <v>0</v>
      </c>
      <c r="X45" s="20">
        <f>SUM(U45:W45)</f>
        <v>24712429</v>
      </c>
      <c r="Y45" s="21">
        <f>FEBRERO!AA45</f>
        <v>2276325</v>
      </c>
      <c r="Z45" s="457">
        <v>1159300</v>
      </c>
      <c r="AA45" s="18">
        <f>SUM(Y45:Z45)</f>
        <v>3435625</v>
      </c>
      <c r="AB45" s="21">
        <f>FEBRERO!AD45</f>
        <v>2276325</v>
      </c>
      <c r="AC45" s="457">
        <v>1159300</v>
      </c>
      <c r="AD45" s="18">
        <f>SUM(AB45:AC45)</f>
        <v>3435625</v>
      </c>
      <c r="AE45" s="21">
        <f>FEBRERO!AG45</f>
        <v>2276325</v>
      </c>
      <c r="AF45" s="457">
        <v>1159300</v>
      </c>
      <c r="AG45" s="18">
        <f>SUM(AE45:AF45)</f>
        <v>3435625</v>
      </c>
      <c r="AH45" s="21">
        <f>X45-AA45</f>
        <v>21276804</v>
      </c>
      <c r="AI45" s="17">
        <f>X45-AD45</f>
        <v>21276804</v>
      </c>
      <c r="AJ45" s="18">
        <f>X45-AG45</f>
        <v>21276804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+IF(FEBRERO!A46=0,"",FEBRERO!A46)</f>
        <v>1130107-1</v>
      </c>
      <c r="B46" s="189" t="str">
        <f>+CONCATENATE("Vigencia ",INSTRUCCIONES!$F$3)</f>
        <v>Vigencia 2014</v>
      </c>
      <c r="C46" s="456">
        <f>+ENERO!C46</f>
        <v>0</v>
      </c>
      <c r="D46" s="456">
        <f>FEBRERO!D46+MARZO!P46</f>
        <v>0</v>
      </c>
      <c r="E46" s="456">
        <f>FEBRERO!E46+MARZO!Q46</f>
        <v>0</v>
      </c>
      <c r="F46" s="170">
        <f>SUM(C46:E46)</f>
        <v>0</v>
      </c>
      <c r="G46" s="283">
        <f>FEBRERO!I46</f>
        <v>0</v>
      </c>
      <c r="H46" s="457">
        <v>0</v>
      </c>
      <c r="I46" s="170">
        <f>SUM(G46:H46)</f>
        <v>0</v>
      </c>
      <c r="J46" s="283">
        <f>FEBRERO!L46</f>
        <v>0</v>
      </c>
      <c r="K46" s="457">
        <v>0</v>
      </c>
      <c r="L46" s="170">
        <f>SUM(J46:K46)</f>
        <v>0</v>
      </c>
      <c r="M46" s="283">
        <f>F46-I46</f>
        <v>0</v>
      </c>
      <c r="N46" s="170">
        <f>F46-L46</f>
        <v>0</v>
      </c>
      <c r="O46" s="467"/>
      <c r="P46" s="455">
        <v>0</v>
      </c>
      <c r="Q46" s="458">
        <v>0</v>
      </c>
      <c r="R46" s="10"/>
      <c r="S46" s="156" t="str">
        <f>+IF(FEBRERO!S46=0,"",FEBRERO!S46)</f>
        <v>1010301-2</v>
      </c>
      <c r="T46" s="251" t="str">
        <f>+IF(FEBRERO!T46=0,"",FEBRERO!T46)</f>
        <v>Aportes Fondos Pensionales - Sin Sit. Fondos</v>
      </c>
      <c r="U46" s="31">
        <f>+ENERO!U46</f>
        <v>26693987</v>
      </c>
      <c r="V46" s="17">
        <f>FEBRERO!V46+MARZO!AL46</f>
        <v>0</v>
      </c>
      <c r="W46" s="17">
        <f>FEBRERO!W46+MARZO!AM46</f>
        <v>0</v>
      </c>
      <c r="X46" s="20">
        <f>SUM(U46:W46)</f>
        <v>26693987</v>
      </c>
      <c r="Y46" s="21">
        <f>FEBRERO!AA46</f>
        <v>3089700</v>
      </c>
      <c r="Z46" s="457">
        <v>1637400</v>
      </c>
      <c r="AA46" s="18">
        <f>SUM(Y46:Z46)</f>
        <v>4727100</v>
      </c>
      <c r="AB46" s="21">
        <f>FEBRERO!AD46</f>
        <v>3089700</v>
      </c>
      <c r="AC46" s="457">
        <v>1637400</v>
      </c>
      <c r="AD46" s="18">
        <f>SUM(AB46:AC46)</f>
        <v>4727100</v>
      </c>
      <c r="AE46" s="21">
        <f>FEBRERO!AG46</f>
        <v>3089700</v>
      </c>
      <c r="AF46" s="457">
        <v>1637400</v>
      </c>
      <c r="AG46" s="18">
        <f>SUM(AE46:AF46)</f>
        <v>4727100</v>
      </c>
      <c r="AH46" s="21">
        <f>X46-AA46</f>
        <v>21966887</v>
      </c>
      <c r="AI46" s="17">
        <f>X46-AD46</f>
        <v>21966887</v>
      </c>
      <c r="AJ46" s="18">
        <f>X46-AG46</f>
        <v>21966887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+IF(FEBRERO!A47=0,"",FEBRERO!A47)</f>
        <v>1130107-2</v>
      </c>
      <c r="B47" s="189" t="str">
        <f>+IF(FEBRERO!B47=0,"",FEBRERO!B47)</f>
        <v>Vigencias Anteriores</v>
      </c>
      <c r="C47" s="456">
        <f>+ENERO!C47</f>
        <v>0</v>
      </c>
      <c r="D47" s="456">
        <f>FEBRERO!D47+MARZO!P47</f>
        <v>0</v>
      </c>
      <c r="E47" s="456">
        <f>FEBRERO!E47+MARZO!Q47</f>
        <v>0</v>
      </c>
      <c r="F47" s="170">
        <f>SUM(C47:E47)</f>
        <v>0</v>
      </c>
      <c r="G47" s="283">
        <f>FEBRERO!I47</f>
        <v>0</v>
      </c>
      <c r="H47" s="457">
        <v>0</v>
      </c>
      <c r="I47" s="170">
        <f>SUM(G47:H47)</f>
        <v>0</v>
      </c>
      <c r="J47" s="283">
        <f>FEBRERO!L47</f>
        <v>0</v>
      </c>
      <c r="K47" s="457">
        <v>0</v>
      </c>
      <c r="L47" s="170">
        <f>SUM(J47:K47)</f>
        <v>0</v>
      </c>
      <c r="M47" s="283">
        <f>F47-I47</f>
        <v>0</v>
      </c>
      <c r="N47" s="170">
        <f>F47-L47</f>
        <v>0</v>
      </c>
      <c r="O47" s="467"/>
      <c r="P47" s="455">
        <v>0</v>
      </c>
      <c r="Q47" s="458">
        <v>0</v>
      </c>
      <c r="R47" s="10"/>
      <c r="S47" s="156" t="str">
        <f>+IF(FEBRERO!S47=0,"",FEBRERO!S47)</f>
        <v>1010301-3</v>
      </c>
      <c r="T47" s="251" t="str">
        <f>+IF(FEBRERO!T47=0,"",FEBRERO!T47)</f>
        <v xml:space="preserve">Aportes a Fondos de Cesantia - Sin Sit. de Fondos </v>
      </c>
      <c r="U47" s="31">
        <f>+ENERO!U47</f>
        <v>4995512</v>
      </c>
      <c r="V47" s="17">
        <f>FEBRERO!V47+MARZO!AL47</f>
        <v>0</v>
      </c>
      <c r="W47" s="17">
        <f>FEBRERO!W47+MARZO!AM47</f>
        <v>0</v>
      </c>
      <c r="X47" s="20">
        <f>SUM(U47:W47)</f>
        <v>4995512</v>
      </c>
      <c r="Y47" s="21">
        <f>FEBRERO!AA47</f>
        <v>0</v>
      </c>
      <c r="Z47" s="457">
        <v>0</v>
      </c>
      <c r="AA47" s="18">
        <f>SUM(Y47:Z47)</f>
        <v>0</v>
      </c>
      <c r="AB47" s="21">
        <f>FEBRERO!AD47</f>
        <v>0</v>
      </c>
      <c r="AC47" s="457">
        <v>0</v>
      </c>
      <c r="AD47" s="18">
        <f>SUM(AB47:AC47)</f>
        <v>0</v>
      </c>
      <c r="AE47" s="21">
        <f>FEBRERO!AG47</f>
        <v>0</v>
      </c>
      <c r="AF47" s="457">
        <v>0</v>
      </c>
      <c r="AG47" s="18">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+IF(FEBRERO!A48=0,"",FEBRERO!A48)</f>
        <v>1130108</v>
      </c>
      <c r="B48" s="45" t="str">
        <f>+IF(FEBRERO!B48=0,"",FEBRERO!B48)</f>
        <v>MINSALUD-FOSYGA -TRAUMA MAYOR Y DESPLAZADOS</v>
      </c>
      <c r="C48" s="53">
        <f t="shared" ref="C48:N48" si="49">SUM(C49:C50)</f>
        <v>0</v>
      </c>
      <c r="D48" s="53">
        <f t="shared" si="49"/>
        <v>0</v>
      </c>
      <c r="E48" s="53">
        <f t="shared" si="49"/>
        <v>0</v>
      </c>
      <c r="F48" s="54">
        <f t="shared" si="49"/>
        <v>0</v>
      </c>
      <c r="G48" s="52">
        <f t="shared" si="49"/>
        <v>0</v>
      </c>
      <c r="H48" s="53">
        <f t="shared" si="49"/>
        <v>0</v>
      </c>
      <c r="I48" s="54">
        <f t="shared" si="49"/>
        <v>0</v>
      </c>
      <c r="J48" s="52">
        <f t="shared" si="49"/>
        <v>0</v>
      </c>
      <c r="K48" s="53">
        <f t="shared" si="49"/>
        <v>0</v>
      </c>
      <c r="L48" s="54">
        <f t="shared" si="49"/>
        <v>0</v>
      </c>
      <c r="M48" s="52">
        <f t="shared" si="49"/>
        <v>0</v>
      </c>
      <c r="N48" s="54">
        <f t="shared" si="49"/>
        <v>0</v>
      </c>
      <c r="P48" s="52">
        <f>SUM(P49:P50)</f>
        <v>0</v>
      </c>
      <c r="Q48" s="54">
        <f>SUM(Q49:Q50)</f>
        <v>0</v>
      </c>
      <c r="R48" s="10"/>
      <c r="S48" s="156" t="str">
        <f>+IF(FEBRERO!S48=0,"",FEBRERO!S48)</f>
        <v>1010301-4</v>
      </c>
      <c r="T48" s="251" t="str">
        <f>+IF(FEBRERO!T48=0,"",FEBRERO!T48)</f>
        <v xml:space="preserve">Aporte a ARL. - Sin Sit. de Fondos </v>
      </c>
      <c r="U48" s="31">
        <f>+ENERO!U48</f>
        <v>0</v>
      </c>
      <c r="V48" s="17">
        <f>FEBRERO!V48+MARZO!AL48</f>
        <v>0</v>
      </c>
      <c r="W48" s="17">
        <f>FEBRERO!W48+MARZO!AM48</f>
        <v>0</v>
      </c>
      <c r="X48" s="20">
        <f>SUM(U48:W48)</f>
        <v>0</v>
      </c>
      <c r="Y48" s="21">
        <f>FEBRERO!AA48</f>
        <v>0</v>
      </c>
      <c r="Z48" s="457">
        <v>0</v>
      </c>
      <c r="AA48" s="18">
        <f>SUM(Y48:Z48)</f>
        <v>0</v>
      </c>
      <c r="AB48" s="21">
        <f>FEBRERO!AD48</f>
        <v>0</v>
      </c>
      <c r="AC48" s="457">
        <v>0</v>
      </c>
      <c r="AD48" s="18">
        <f>SUM(AB48:AC48)</f>
        <v>0</v>
      </c>
      <c r="AE48" s="21">
        <f>FEBRERO!AG48</f>
        <v>0</v>
      </c>
      <c r="AF48" s="457">
        <v>0</v>
      </c>
      <c r="AG48" s="18">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+IF(FEBRERO!A49=0,"",FEBRERO!A49)</f>
        <v>1130108-1</v>
      </c>
      <c r="B49" s="189" t="str">
        <f>+CONCATENATE("Vigencia ",INSTRUCCIONES!$F$3)</f>
        <v>Vigencia 2014</v>
      </c>
      <c r="C49" s="456">
        <f>+ENERO!C49</f>
        <v>0</v>
      </c>
      <c r="D49" s="456">
        <f>FEBRERO!D49+MARZO!P49</f>
        <v>0</v>
      </c>
      <c r="E49" s="456">
        <f>FEBRERO!E49+MARZO!Q49</f>
        <v>0</v>
      </c>
      <c r="F49" s="170">
        <f>SUM(C49:E49)</f>
        <v>0</v>
      </c>
      <c r="G49" s="283">
        <f>FEBRERO!I49</f>
        <v>0</v>
      </c>
      <c r="H49" s="457">
        <v>0</v>
      </c>
      <c r="I49" s="170">
        <f>SUM(G49:H49)</f>
        <v>0</v>
      </c>
      <c r="J49" s="283">
        <f>FEBRERO!L49</f>
        <v>0</v>
      </c>
      <c r="K49" s="457">
        <v>0</v>
      </c>
      <c r="L49" s="170">
        <f>SUM(J49:K49)</f>
        <v>0</v>
      </c>
      <c r="M49" s="283">
        <f>F49-I49</f>
        <v>0</v>
      </c>
      <c r="N49" s="170">
        <f>F49-L49</f>
        <v>0</v>
      </c>
      <c r="O49" s="467"/>
      <c r="P49" s="455">
        <v>0</v>
      </c>
      <c r="Q49" s="458">
        <v>0</v>
      </c>
      <c r="R49" s="10"/>
      <c r="S49" s="155">
        <f>+IF(FEBRERO!S49=0,"",FEBRERO!S49)</f>
        <v>1010302</v>
      </c>
      <c r="T49" s="238" t="str">
        <f>+IF(FEBRERO!T49=0,"",FEBRERO!T49)</f>
        <v>Contribuciones - Otros</v>
      </c>
      <c r="U49" s="31">
        <f t="shared" ref="U49:AJ49" si="50">SUM(U50:U54)</f>
        <v>63246028</v>
      </c>
      <c r="V49" s="17">
        <f t="shared" si="50"/>
        <v>0</v>
      </c>
      <c r="W49" s="17">
        <f t="shared" si="50"/>
        <v>0</v>
      </c>
      <c r="X49" s="20">
        <f t="shared" si="50"/>
        <v>63246028</v>
      </c>
      <c r="Y49" s="21">
        <f t="shared" si="50"/>
        <v>35899277</v>
      </c>
      <c r="Z49" s="169">
        <f t="shared" si="50"/>
        <v>4534281</v>
      </c>
      <c r="AA49" s="18">
        <f t="shared" si="50"/>
        <v>40433558</v>
      </c>
      <c r="AB49" s="21">
        <f t="shared" si="50"/>
        <v>35899277</v>
      </c>
      <c r="AC49" s="169">
        <f t="shared" si="50"/>
        <v>4534281</v>
      </c>
      <c r="AD49" s="18">
        <f t="shared" si="50"/>
        <v>40433558</v>
      </c>
      <c r="AE49" s="21">
        <f t="shared" si="50"/>
        <v>30818457</v>
      </c>
      <c r="AF49" s="169">
        <f t="shared" si="50"/>
        <v>5080820</v>
      </c>
      <c r="AG49" s="18">
        <f t="shared" si="50"/>
        <v>35899277</v>
      </c>
      <c r="AH49" s="21">
        <f t="shared" si="50"/>
        <v>22812470</v>
      </c>
      <c r="AI49" s="17">
        <f t="shared" si="50"/>
        <v>22812470</v>
      </c>
      <c r="AJ49" s="18">
        <f t="shared" si="50"/>
        <v>27346751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+IF(FEBRERO!A50=0,"",FEBRERO!A50)</f>
        <v>1130108-2</v>
      </c>
      <c r="B50" s="189" t="str">
        <f>+IF(FEBRERO!B50=0,"",FEBRERO!B50)</f>
        <v>Vigencias Anteriores</v>
      </c>
      <c r="C50" s="456">
        <f>+ENERO!C50</f>
        <v>0</v>
      </c>
      <c r="D50" s="456">
        <f>FEBRERO!D50+MARZO!P50</f>
        <v>0</v>
      </c>
      <c r="E50" s="456">
        <f>FEBRERO!E50+MARZO!Q50</f>
        <v>0</v>
      </c>
      <c r="F50" s="170">
        <f>SUM(C50:E50)</f>
        <v>0</v>
      </c>
      <c r="G50" s="283">
        <f>FEBRERO!I50</f>
        <v>0</v>
      </c>
      <c r="H50" s="457">
        <v>0</v>
      </c>
      <c r="I50" s="170">
        <f>SUM(G50:H50)</f>
        <v>0</v>
      </c>
      <c r="J50" s="283">
        <f>FEBRERO!L50</f>
        <v>0</v>
      </c>
      <c r="K50" s="457">
        <v>0</v>
      </c>
      <c r="L50" s="170">
        <f>SUM(J50:K50)</f>
        <v>0</v>
      </c>
      <c r="M50" s="283">
        <f>F50-I50</f>
        <v>0</v>
      </c>
      <c r="N50" s="170">
        <f>F50-L50</f>
        <v>0</v>
      </c>
      <c r="O50" s="467"/>
      <c r="P50" s="455">
        <v>0</v>
      </c>
      <c r="Q50" s="458">
        <v>0</v>
      </c>
      <c r="R50" s="10"/>
      <c r="S50" s="156" t="str">
        <f>+IF(FEBRERO!S50=0,"",FEBRERO!S50)</f>
        <v>1010302-1</v>
      </c>
      <c r="T50" s="251" t="str">
        <f>+IF(FEBRERO!T50=0,"",FEBRERO!T50)</f>
        <v>Aportes a E.P.S.- Con sit. Fondos</v>
      </c>
      <c r="U50" s="31">
        <f>+ENERO!U50</f>
        <v>4719263</v>
      </c>
      <c r="V50" s="17">
        <f>FEBRERO!V50+MARZO!AL50</f>
        <v>0</v>
      </c>
      <c r="W50" s="17">
        <f>FEBRERO!W50+MARZO!AM50</f>
        <v>0</v>
      </c>
      <c r="X50" s="20">
        <f t="shared" ref="X50:X55" si="51">SUM(U50:W50)</f>
        <v>4719263</v>
      </c>
      <c r="Y50" s="21">
        <f>FEBRERO!AA50</f>
        <v>2896060</v>
      </c>
      <c r="Z50" s="457">
        <v>1422100</v>
      </c>
      <c r="AA50" s="18">
        <f t="shared" ref="AA50:AA55" si="52">SUM(Y50:Z50)</f>
        <v>4318160</v>
      </c>
      <c r="AB50" s="21">
        <f>FEBRERO!AD50</f>
        <v>2896060</v>
      </c>
      <c r="AC50" s="457">
        <v>1422100</v>
      </c>
      <c r="AD50" s="18">
        <f t="shared" ref="AD50:AD55" si="53">SUM(AB50:AC50)</f>
        <v>4318160</v>
      </c>
      <c r="AE50" s="21">
        <f>FEBRERO!AG50</f>
        <v>1465100</v>
      </c>
      <c r="AF50" s="457">
        <v>1430960</v>
      </c>
      <c r="AG50" s="18">
        <f t="shared" ref="AG50:AG55" si="54">SUM(AE50:AF50)</f>
        <v>2896060</v>
      </c>
      <c r="AH50" s="21">
        <f t="shared" ref="AH50:AH55" si="55">X50-AA50</f>
        <v>401103</v>
      </c>
      <c r="AI50" s="17">
        <f t="shared" ref="AI50:AI55" si="56">X50-AD50</f>
        <v>401103</v>
      </c>
      <c r="AJ50" s="18">
        <f t="shared" ref="AJ50:AJ55" si="57">X50-AG50</f>
        <v>1823203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+IF(FEBRERO!A51=0,"",FEBRERO!A51)</f>
        <v>1130109</v>
      </c>
      <c r="B51" s="45" t="str">
        <f>+IF(FEBRERO!B51=0,"",FEBRERO!B51)</f>
        <v>EPS - PLANES COMPLEMENTARIOS</v>
      </c>
      <c r="C51" s="53">
        <f t="shared" ref="C51:N51" si="58">SUM(C52:C53)</f>
        <v>0</v>
      </c>
      <c r="D51" s="53">
        <f t="shared" si="58"/>
        <v>0</v>
      </c>
      <c r="E51" s="53">
        <f t="shared" si="58"/>
        <v>0</v>
      </c>
      <c r="F51" s="54">
        <f t="shared" si="58"/>
        <v>0</v>
      </c>
      <c r="G51" s="52">
        <f t="shared" si="58"/>
        <v>0</v>
      </c>
      <c r="H51" s="53">
        <f t="shared" si="58"/>
        <v>0</v>
      </c>
      <c r="I51" s="54">
        <f t="shared" si="58"/>
        <v>0</v>
      </c>
      <c r="J51" s="52">
        <f t="shared" si="58"/>
        <v>0</v>
      </c>
      <c r="K51" s="53">
        <f t="shared" si="58"/>
        <v>0</v>
      </c>
      <c r="L51" s="54">
        <f t="shared" si="58"/>
        <v>0</v>
      </c>
      <c r="M51" s="52">
        <f t="shared" si="58"/>
        <v>0</v>
      </c>
      <c r="N51" s="54">
        <f t="shared" si="58"/>
        <v>0</v>
      </c>
      <c r="P51" s="52">
        <f>SUM(P52:P53)</f>
        <v>0</v>
      </c>
      <c r="Q51" s="54">
        <f>SUM(Q52:Q53)</f>
        <v>0</v>
      </c>
      <c r="R51" s="10"/>
      <c r="S51" s="156" t="str">
        <f>+IF(FEBRERO!S51=0,"",FEBRERO!S51)</f>
        <v>1010302-2</v>
      </c>
      <c r="T51" s="251" t="str">
        <f>+IF(FEBRERO!T51=0,"",FEBRERO!T51)</f>
        <v>Aportes Fondos Pensionales - Con Sit. Fondos</v>
      </c>
      <c r="U51" s="31">
        <f>+ENERO!U51</f>
        <v>14856625</v>
      </c>
      <c r="V51" s="17">
        <f>FEBRERO!V51+MARZO!AL51</f>
        <v>0</v>
      </c>
      <c r="W51" s="17">
        <f>FEBRERO!W51+MARZO!AM51</f>
        <v>0</v>
      </c>
      <c r="X51" s="20">
        <f t="shared" si="51"/>
        <v>14856625</v>
      </c>
      <c r="Y51" s="21">
        <f>FEBRERO!AA51</f>
        <v>4257960</v>
      </c>
      <c r="Z51" s="457">
        <v>1532300</v>
      </c>
      <c r="AA51" s="18">
        <f t="shared" si="52"/>
        <v>5790260</v>
      </c>
      <c r="AB51" s="21">
        <f>FEBRERO!AD51</f>
        <v>4257960</v>
      </c>
      <c r="AC51" s="457">
        <v>1532300</v>
      </c>
      <c r="AD51" s="18">
        <f t="shared" si="53"/>
        <v>5790260</v>
      </c>
      <c r="AE51" s="21">
        <f>FEBRERO!AG51</f>
        <v>2071800</v>
      </c>
      <c r="AF51" s="457">
        <v>2186160</v>
      </c>
      <c r="AG51" s="18">
        <f t="shared" si="54"/>
        <v>4257960</v>
      </c>
      <c r="AH51" s="21">
        <f t="shared" si="55"/>
        <v>9066365</v>
      </c>
      <c r="AI51" s="17">
        <f t="shared" si="56"/>
        <v>9066365</v>
      </c>
      <c r="AJ51" s="18">
        <f t="shared" si="57"/>
        <v>10598665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+IF(FEBRERO!A52=0,"",FEBRERO!A52)</f>
        <v>1130109-1</v>
      </c>
      <c r="B52" s="189" t="str">
        <f>+CONCATENATE("Vigencia ",INSTRUCCIONES!$F$3)</f>
        <v>Vigencia 2014</v>
      </c>
      <c r="C52" s="456">
        <f>+ENERO!C52</f>
        <v>0</v>
      </c>
      <c r="D52" s="456">
        <f>FEBRERO!D52+MARZO!P52</f>
        <v>0</v>
      </c>
      <c r="E52" s="456">
        <f>FEBRERO!E52+MARZO!Q52</f>
        <v>0</v>
      </c>
      <c r="F52" s="170">
        <f>SUM(C52:E52)</f>
        <v>0</v>
      </c>
      <c r="G52" s="283">
        <f>FEBRERO!I52</f>
        <v>0</v>
      </c>
      <c r="H52" s="457">
        <v>0</v>
      </c>
      <c r="I52" s="170">
        <f>SUM(G52:H52)</f>
        <v>0</v>
      </c>
      <c r="J52" s="283">
        <f>FEBRERO!L52</f>
        <v>0</v>
      </c>
      <c r="K52" s="457">
        <v>0</v>
      </c>
      <c r="L52" s="170">
        <f>SUM(J52:K52)</f>
        <v>0</v>
      </c>
      <c r="M52" s="283">
        <f>F52-I52</f>
        <v>0</v>
      </c>
      <c r="N52" s="170">
        <f>F52-L52</f>
        <v>0</v>
      </c>
      <c r="O52" s="467"/>
      <c r="P52" s="455">
        <v>0</v>
      </c>
      <c r="Q52" s="458">
        <v>0</v>
      </c>
      <c r="R52" s="10"/>
      <c r="S52" s="156" t="str">
        <f>+IF(FEBRERO!S52=0,"",FEBRERO!S52)</f>
        <v>1010302-3</v>
      </c>
      <c r="T52" s="251" t="str">
        <f>+IF(FEBRERO!T52=0,"",FEBRERO!T52)</f>
        <v xml:space="preserve">Aportes a Fondos de Cesantia - Con Sit. de Fondos </v>
      </c>
      <c r="U52" s="31">
        <f>+ENERO!U52</f>
        <v>26296821</v>
      </c>
      <c r="V52" s="17">
        <f>FEBRERO!V52+MARZO!AL52</f>
        <v>0</v>
      </c>
      <c r="W52" s="17">
        <f>FEBRERO!W52+MARZO!AM52</f>
        <v>0</v>
      </c>
      <c r="X52" s="20">
        <f t="shared" si="51"/>
        <v>26296821</v>
      </c>
      <c r="Y52" s="21">
        <f>FEBRERO!AA52</f>
        <v>25908757</v>
      </c>
      <c r="Z52" s="457">
        <v>69181</v>
      </c>
      <c r="AA52" s="18">
        <f t="shared" si="52"/>
        <v>25977938</v>
      </c>
      <c r="AB52" s="21">
        <f>FEBRERO!AD52</f>
        <v>25908757</v>
      </c>
      <c r="AC52" s="457">
        <v>69181</v>
      </c>
      <c r="AD52" s="18">
        <f t="shared" si="53"/>
        <v>25977938</v>
      </c>
      <c r="AE52" s="21">
        <f>FEBRERO!AG52</f>
        <v>25908757</v>
      </c>
      <c r="AF52" s="457">
        <v>0</v>
      </c>
      <c r="AG52" s="18">
        <f t="shared" si="54"/>
        <v>25908757</v>
      </c>
      <c r="AH52" s="21">
        <f t="shared" si="55"/>
        <v>318883</v>
      </c>
      <c r="AI52" s="17">
        <f t="shared" si="56"/>
        <v>318883</v>
      </c>
      <c r="AJ52" s="18">
        <f t="shared" si="57"/>
        <v>388064</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+IF(FEBRERO!A53=0,"",FEBRERO!A53)</f>
        <v>1130109-2</v>
      </c>
      <c r="B53" s="189" t="str">
        <f>+IF(FEBRERO!B53=0,"",FEBRERO!B53)</f>
        <v>Vigencias Anteriores</v>
      </c>
      <c r="C53" s="456">
        <f>+ENERO!C53</f>
        <v>0</v>
      </c>
      <c r="D53" s="456">
        <f>FEBRERO!D53+MARZO!P53</f>
        <v>0</v>
      </c>
      <c r="E53" s="456">
        <f>FEBRERO!E53+MARZO!Q53</f>
        <v>0</v>
      </c>
      <c r="F53" s="170">
        <f>SUM(C53:E53)</f>
        <v>0</v>
      </c>
      <c r="G53" s="283">
        <f>FEBRERO!I53</f>
        <v>0</v>
      </c>
      <c r="H53" s="457">
        <v>0</v>
      </c>
      <c r="I53" s="170">
        <f>SUM(G53:H53)</f>
        <v>0</v>
      </c>
      <c r="J53" s="283">
        <f>FEBRERO!L53</f>
        <v>0</v>
      </c>
      <c r="K53" s="457">
        <v>0</v>
      </c>
      <c r="L53" s="170">
        <f>SUM(J53:K53)</f>
        <v>0</v>
      </c>
      <c r="M53" s="283">
        <f>F53-I53</f>
        <v>0</v>
      </c>
      <c r="N53" s="170">
        <f>F53-L53</f>
        <v>0</v>
      </c>
      <c r="O53" s="467"/>
      <c r="P53" s="455">
        <v>0</v>
      </c>
      <c r="Q53" s="458">
        <v>0</v>
      </c>
      <c r="R53" s="10"/>
      <c r="S53" s="156" t="str">
        <f>+IF(FEBRERO!S53=0,"",FEBRERO!S53)</f>
        <v>1010302-4</v>
      </c>
      <c r="T53" s="251" t="str">
        <f>+IF(FEBRERO!T53=0,"",FEBRERO!T53)</f>
        <v>Aporte a ARL. - Con Sit. de Fondos</v>
      </c>
      <c r="U53" s="31">
        <f>+ENERO!U53</f>
        <v>1807452</v>
      </c>
      <c r="V53" s="17">
        <f>FEBRERO!V53+MARZO!AL53</f>
        <v>0</v>
      </c>
      <c r="W53" s="17">
        <f>FEBRERO!W53+MARZO!AM53</f>
        <v>0</v>
      </c>
      <c r="X53" s="20">
        <f t="shared" si="51"/>
        <v>1807452</v>
      </c>
      <c r="Y53" s="21">
        <f>FEBRERO!AA53</f>
        <v>556100</v>
      </c>
      <c r="Z53" s="457">
        <v>309600</v>
      </c>
      <c r="AA53" s="18">
        <f t="shared" si="52"/>
        <v>865700</v>
      </c>
      <c r="AB53" s="21">
        <f>FEBRERO!AD53</f>
        <v>556100</v>
      </c>
      <c r="AC53" s="457">
        <v>309600</v>
      </c>
      <c r="AD53" s="18">
        <f t="shared" si="53"/>
        <v>865700</v>
      </c>
      <c r="AE53" s="21">
        <f>FEBRERO!AG53</f>
        <v>265000</v>
      </c>
      <c r="AF53" s="457">
        <v>291100</v>
      </c>
      <c r="AG53" s="18">
        <f t="shared" si="54"/>
        <v>556100</v>
      </c>
      <c r="AH53" s="21">
        <f t="shared" si="55"/>
        <v>941752</v>
      </c>
      <c r="AI53" s="17">
        <f t="shared" si="56"/>
        <v>941752</v>
      </c>
      <c r="AJ53" s="18">
        <f t="shared" si="57"/>
        <v>1251352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+IF(FEBRERO!A54=0,"",FEBRERO!A54)</f>
        <v>1130110</v>
      </c>
      <c r="B54" s="45" t="str">
        <f>+IF(FEBRERO!B54=0,"",FEBRERO!B54)</f>
        <v>EMPRESAS MEDICINA PREPAGADA</v>
      </c>
      <c r="C54" s="53">
        <f t="shared" ref="C54:N54" si="59">SUM(C55:C56)</f>
        <v>0</v>
      </c>
      <c r="D54" s="53">
        <f t="shared" si="59"/>
        <v>0</v>
      </c>
      <c r="E54" s="53">
        <f t="shared" si="59"/>
        <v>0</v>
      </c>
      <c r="F54" s="54">
        <f t="shared" si="59"/>
        <v>0</v>
      </c>
      <c r="G54" s="52">
        <f t="shared" si="59"/>
        <v>0</v>
      </c>
      <c r="H54" s="53">
        <f t="shared" si="59"/>
        <v>0</v>
      </c>
      <c r="I54" s="54">
        <f t="shared" si="59"/>
        <v>0</v>
      </c>
      <c r="J54" s="52">
        <f t="shared" si="59"/>
        <v>0</v>
      </c>
      <c r="K54" s="53">
        <f t="shared" si="59"/>
        <v>0</v>
      </c>
      <c r="L54" s="54">
        <f t="shared" si="59"/>
        <v>0</v>
      </c>
      <c r="M54" s="52">
        <f t="shared" si="59"/>
        <v>0</v>
      </c>
      <c r="N54" s="54">
        <f t="shared" si="59"/>
        <v>0</v>
      </c>
      <c r="P54" s="52">
        <f>SUM(P55:P56)</f>
        <v>0</v>
      </c>
      <c r="Q54" s="54">
        <f>SUM(Q55:Q56)</f>
        <v>0</v>
      </c>
      <c r="R54" s="10"/>
      <c r="S54" s="156" t="str">
        <f>+IF(FEBRERO!S54=0,"",FEBRERO!S54)</f>
        <v>1010302-5</v>
      </c>
      <c r="T54" s="251" t="str">
        <f>+IF(FEBRERO!T54=0,"",FEBRERO!T54)</f>
        <v>Aporte a Caja Compensación Familiar</v>
      </c>
      <c r="U54" s="31">
        <f>+ENERO!U54</f>
        <v>15565867</v>
      </c>
      <c r="V54" s="17">
        <f>FEBRERO!V54+MARZO!AL54</f>
        <v>0</v>
      </c>
      <c r="W54" s="17">
        <f>FEBRERO!W54+MARZO!AM54</f>
        <v>0</v>
      </c>
      <c r="X54" s="20">
        <f t="shared" si="51"/>
        <v>15565867</v>
      </c>
      <c r="Y54" s="21">
        <f>FEBRERO!AA54</f>
        <v>2280400</v>
      </c>
      <c r="Z54" s="457">
        <v>1201100</v>
      </c>
      <c r="AA54" s="18">
        <f t="shared" si="52"/>
        <v>3481500</v>
      </c>
      <c r="AB54" s="21">
        <f>FEBRERO!AD54</f>
        <v>2280400</v>
      </c>
      <c r="AC54" s="457">
        <v>1201100</v>
      </c>
      <c r="AD54" s="18">
        <f t="shared" si="53"/>
        <v>3481500</v>
      </c>
      <c r="AE54" s="21">
        <f>FEBRERO!AG54</f>
        <v>1107800</v>
      </c>
      <c r="AF54" s="457">
        <v>1172600</v>
      </c>
      <c r="AG54" s="18">
        <f t="shared" si="54"/>
        <v>2280400</v>
      </c>
      <c r="AH54" s="21">
        <f t="shared" si="55"/>
        <v>12084367</v>
      </c>
      <c r="AI54" s="17">
        <f t="shared" si="56"/>
        <v>12084367</v>
      </c>
      <c r="AJ54" s="18">
        <f t="shared" si="57"/>
        <v>13285467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+IF(FEBRERO!A55=0,"",FEBRERO!A55)</f>
        <v>1130110-1</v>
      </c>
      <c r="B55" s="189" t="str">
        <f>+CONCATENATE("Vigencia ",INSTRUCCIONES!$F$3)</f>
        <v>Vigencia 2014</v>
      </c>
      <c r="C55" s="456">
        <f>+ENERO!C55</f>
        <v>0</v>
      </c>
      <c r="D55" s="456">
        <f>FEBRERO!D55+MARZO!P55</f>
        <v>0</v>
      </c>
      <c r="E55" s="456">
        <f>FEBRERO!E55+MARZO!Q55</f>
        <v>0</v>
      </c>
      <c r="F55" s="170">
        <f>SUM(C55:E55)</f>
        <v>0</v>
      </c>
      <c r="G55" s="283">
        <f>FEBRERO!I55</f>
        <v>0</v>
      </c>
      <c r="H55" s="457">
        <v>0</v>
      </c>
      <c r="I55" s="170">
        <f>SUM(G55:H55)</f>
        <v>0</v>
      </c>
      <c r="J55" s="283">
        <f>FEBRERO!L55</f>
        <v>0</v>
      </c>
      <c r="K55" s="457">
        <v>0</v>
      </c>
      <c r="L55" s="170">
        <f>SUM(J55:K55)</f>
        <v>0</v>
      </c>
      <c r="M55" s="283">
        <f>F55-I55</f>
        <v>0</v>
      </c>
      <c r="N55" s="170">
        <f>F55-L55</f>
        <v>0</v>
      </c>
      <c r="O55" s="467"/>
      <c r="P55" s="455">
        <v>0</v>
      </c>
      <c r="Q55" s="458">
        <v>0</v>
      </c>
      <c r="R55" s="10"/>
      <c r="S55" s="155">
        <f>+IF(FEBRERO!S55=0,"",FEBRERO!S55)</f>
        <v>1010399</v>
      </c>
      <c r="T55" s="238" t="str">
        <f>+IF(FEBRERO!T55=0,"",FEBRERO!T55)</f>
        <v>Vigencias Anteriores</v>
      </c>
      <c r="U55" s="31">
        <f>+ENERO!U55</f>
        <v>0</v>
      </c>
      <c r="V55" s="17">
        <f>FEBRERO!V55+MARZO!AL55</f>
        <v>487148</v>
      </c>
      <c r="W55" s="17">
        <f>FEBRERO!W55+MARZO!AM55</f>
        <v>0</v>
      </c>
      <c r="X55" s="20">
        <f t="shared" si="51"/>
        <v>487148</v>
      </c>
      <c r="Y55" s="21">
        <f>FEBRERO!AA55</f>
        <v>487148</v>
      </c>
      <c r="Z55" s="457">
        <v>0</v>
      </c>
      <c r="AA55" s="18">
        <f t="shared" si="52"/>
        <v>487148</v>
      </c>
      <c r="AB55" s="21">
        <f>FEBRERO!AD55</f>
        <v>487148</v>
      </c>
      <c r="AC55" s="457">
        <v>0</v>
      </c>
      <c r="AD55" s="18">
        <f t="shared" si="53"/>
        <v>487148</v>
      </c>
      <c r="AE55" s="21">
        <f>FEBRERO!AG55</f>
        <v>0</v>
      </c>
      <c r="AF55" s="457">
        <v>0</v>
      </c>
      <c r="AG55" s="18">
        <f t="shared" si="54"/>
        <v>0</v>
      </c>
      <c r="AH55" s="21">
        <f t="shared" si="55"/>
        <v>0</v>
      </c>
      <c r="AI55" s="17">
        <f t="shared" si="56"/>
        <v>0</v>
      </c>
      <c r="AJ55" s="18">
        <f t="shared" si="57"/>
        <v>487148</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+IF(FEBRERO!A56=0,"",FEBRERO!A56)</f>
        <v>1130110-2</v>
      </c>
      <c r="B56" s="189" t="str">
        <f>+IF(FEBRERO!B56=0,"",FEBRERO!B56)</f>
        <v>Vigencias Anteriores</v>
      </c>
      <c r="C56" s="456">
        <f>+ENERO!C56</f>
        <v>0</v>
      </c>
      <c r="D56" s="456">
        <f>FEBRERO!D56+MARZO!P56</f>
        <v>0</v>
      </c>
      <c r="E56" s="456">
        <f>FEBRERO!E56+MARZO!Q56</f>
        <v>0</v>
      </c>
      <c r="F56" s="170">
        <f>SUM(C56:E56)</f>
        <v>0</v>
      </c>
      <c r="G56" s="283">
        <f>FEBRERO!I56</f>
        <v>0</v>
      </c>
      <c r="H56" s="457">
        <v>0</v>
      </c>
      <c r="I56" s="170">
        <f>SUM(G56:H56)</f>
        <v>0</v>
      </c>
      <c r="J56" s="283">
        <f>FEBRERO!L56</f>
        <v>0</v>
      </c>
      <c r="K56" s="457">
        <v>0</v>
      </c>
      <c r="L56" s="170">
        <f>SUM(J56:K56)</f>
        <v>0</v>
      </c>
      <c r="M56" s="283">
        <f>F56-I56</f>
        <v>0</v>
      </c>
      <c r="N56" s="170">
        <f>F56-L56</f>
        <v>0</v>
      </c>
      <c r="O56" s="467"/>
      <c r="P56" s="455">
        <v>0</v>
      </c>
      <c r="Q56" s="458">
        <v>0</v>
      </c>
      <c r="R56" s="10"/>
      <c r="S56" s="448" t="str">
        <f>+IF(FEBRERO!S56=0,"",FEBRERO!S56)</f>
        <v/>
      </c>
      <c r="T56" s="649" t="str">
        <f>+IF(FEBRERO!T56=0,"",FEBRERO!T56)</f>
        <v/>
      </c>
      <c r="U56" s="450"/>
      <c r="V56" s="193"/>
      <c r="W56" s="193"/>
      <c r="X56" s="193"/>
      <c r="Y56" s="450"/>
      <c r="Z56" s="193"/>
      <c r="AA56" s="207"/>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+IF(FEBRERO!A57=0,"",FEBRERO!A57)</f>
        <v>1130111</v>
      </c>
      <c r="B57" s="45" t="str">
        <f>+IF(FEBRERO!B57=0,"",FEBRERO!B57)</f>
        <v>IPS PRIVADAS</v>
      </c>
      <c r="C57" s="53">
        <f t="shared" ref="C57:N57" si="60">SUM(C58:C59)</f>
        <v>0</v>
      </c>
      <c r="D57" s="53">
        <f t="shared" si="60"/>
        <v>0</v>
      </c>
      <c r="E57" s="53">
        <f t="shared" si="60"/>
        <v>0</v>
      </c>
      <c r="F57" s="54">
        <f t="shared" si="60"/>
        <v>0</v>
      </c>
      <c r="G57" s="52">
        <f t="shared" si="60"/>
        <v>0</v>
      </c>
      <c r="H57" s="53">
        <f t="shared" si="60"/>
        <v>0</v>
      </c>
      <c r="I57" s="54">
        <f t="shared" si="60"/>
        <v>0</v>
      </c>
      <c r="J57" s="52">
        <f t="shared" si="60"/>
        <v>0</v>
      </c>
      <c r="K57" s="53">
        <f t="shared" si="60"/>
        <v>0</v>
      </c>
      <c r="L57" s="54">
        <f t="shared" si="60"/>
        <v>0</v>
      </c>
      <c r="M57" s="52">
        <f t="shared" si="60"/>
        <v>0</v>
      </c>
      <c r="N57" s="54">
        <f t="shared" si="60"/>
        <v>0</v>
      </c>
      <c r="P57" s="52">
        <f>SUM(P58:P59)</f>
        <v>0</v>
      </c>
      <c r="Q57" s="54">
        <f>SUM(Q58:Q59)</f>
        <v>0</v>
      </c>
      <c r="R57" s="10"/>
      <c r="S57" s="34">
        <f>+IF(FEBRERO!S57=0,"",FEBRERO!S57)</f>
        <v>1010400</v>
      </c>
      <c r="T57" s="237" t="str">
        <f>+IF(FEBRERO!T57=0,"",FEBRERO!T57)</f>
        <v>Contribuciones Inherentes nómina del Sector Publico</v>
      </c>
      <c r="U57" s="151">
        <f t="shared" ref="U57:AJ57" si="61">U58+U61</f>
        <v>19457334</v>
      </c>
      <c r="V57" s="144">
        <f t="shared" si="61"/>
        <v>0</v>
      </c>
      <c r="W57" s="144">
        <f t="shared" si="61"/>
        <v>0</v>
      </c>
      <c r="X57" s="152">
        <f t="shared" si="61"/>
        <v>19457334</v>
      </c>
      <c r="Y57" s="151">
        <f t="shared" si="61"/>
        <v>3089400</v>
      </c>
      <c r="Z57" s="144">
        <f t="shared" si="61"/>
        <v>1500900</v>
      </c>
      <c r="AA57" s="153">
        <f t="shared" si="61"/>
        <v>4590300</v>
      </c>
      <c r="AB57" s="151">
        <f t="shared" si="61"/>
        <v>3089400</v>
      </c>
      <c r="AC57" s="144">
        <f t="shared" si="61"/>
        <v>1500900</v>
      </c>
      <c r="AD57" s="153">
        <f t="shared" si="61"/>
        <v>4590300</v>
      </c>
      <c r="AE57" s="151">
        <f t="shared" si="61"/>
        <v>1624100</v>
      </c>
      <c r="AF57" s="144">
        <f t="shared" si="61"/>
        <v>1465300</v>
      </c>
      <c r="AG57" s="153">
        <f t="shared" si="61"/>
        <v>3089400</v>
      </c>
      <c r="AH57" s="151">
        <f t="shared" si="61"/>
        <v>14867034</v>
      </c>
      <c r="AI57" s="144">
        <f t="shared" si="61"/>
        <v>14867034</v>
      </c>
      <c r="AJ57" s="153">
        <f t="shared" si="61"/>
        <v>16367934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+IF(FEBRERO!A58=0,"",FEBRERO!A58)</f>
        <v>1130111-1</v>
      </c>
      <c r="B58" s="189" t="str">
        <f>+CONCATENATE("Vigencia ",INSTRUCCIONES!$F$3)</f>
        <v>Vigencia 2014</v>
      </c>
      <c r="C58" s="456">
        <f>+ENERO!C58</f>
        <v>0</v>
      </c>
      <c r="D58" s="456">
        <f>FEBRERO!D58+MARZO!P58</f>
        <v>0</v>
      </c>
      <c r="E58" s="456">
        <f>FEBRERO!E58+MARZO!Q58</f>
        <v>0</v>
      </c>
      <c r="F58" s="170">
        <f>SUM(C58:E58)</f>
        <v>0</v>
      </c>
      <c r="G58" s="283">
        <f>FEBRERO!I58</f>
        <v>0</v>
      </c>
      <c r="H58" s="457">
        <v>0</v>
      </c>
      <c r="I58" s="170">
        <f>SUM(G58:H58)</f>
        <v>0</v>
      </c>
      <c r="J58" s="283">
        <f>FEBRERO!L58</f>
        <v>0</v>
      </c>
      <c r="K58" s="457">
        <v>0</v>
      </c>
      <c r="L58" s="170">
        <f>SUM(J58:K58)</f>
        <v>0</v>
      </c>
      <c r="M58" s="283">
        <f>F58-I58</f>
        <v>0</v>
      </c>
      <c r="N58" s="170">
        <f>F58-L58</f>
        <v>0</v>
      </c>
      <c r="O58" s="467"/>
      <c r="P58" s="455">
        <v>0</v>
      </c>
      <c r="Q58" s="458">
        <v>0</v>
      </c>
      <c r="R58" s="10"/>
      <c r="S58" s="155">
        <f>+IF(FEBRERO!S58=0,"",FEBRERO!S58)</f>
        <v>1010402</v>
      </c>
      <c r="T58" s="238" t="str">
        <f>+IF(FEBRERO!T58=0,"",FEBRERO!T58)</f>
        <v>Contribuciones - Otros</v>
      </c>
      <c r="U58" s="31">
        <f t="shared" ref="U58:AJ58" si="62">SUM(U59:U60)</f>
        <v>19457334</v>
      </c>
      <c r="V58" s="17">
        <f t="shared" si="62"/>
        <v>0</v>
      </c>
      <c r="W58" s="17">
        <f t="shared" si="62"/>
        <v>0</v>
      </c>
      <c r="X58" s="20">
        <f t="shared" si="62"/>
        <v>19457334</v>
      </c>
      <c r="Y58" s="21">
        <f t="shared" si="62"/>
        <v>3089400</v>
      </c>
      <c r="Z58" s="169">
        <f t="shared" si="62"/>
        <v>1500900</v>
      </c>
      <c r="AA58" s="18">
        <f t="shared" si="62"/>
        <v>4590300</v>
      </c>
      <c r="AB58" s="21">
        <f t="shared" si="62"/>
        <v>3089400</v>
      </c>
      <c r="AC58" s="169">
        <f t="shared" si="62"/>
        <v>1500900</v>
      </c>
      <c r="AD58" s="18">
        <f t="shared" si="62"/>
        <v>4590300</v>
      </c>
      <c r="AE58" s="21">
        <f t="shared" si="62"/>
        <v>1624100</v>
      </c>
      <c r="AF58" s="169">
        <f t="shared" si="62"/>
        <v>1465300</v>
      </c>
      <c r="AG58" s="18">
        <f t="shared" si="62"/>
        <v>3089400</v>
      </c>
      <c r="AH58" s="21">
        <f t="shared" si="62"/>
        <v>14867034</v>
      </c>
      <c r="AI58" s="17">
        <f t="shared" si="62"/>
        <v>14867034</v>
      </c>
      <c r="AJ58" s="18">
        <f t="shared" si="62"/>
        <v>16367934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+IF(FEBRERO!A59=0,"",FEBRERO!A59)</f>
        <v>1130111-2</v>
      </c>
      <c r="B59" s="189" t="str">
        <f>+IF(FEBRERO!B59=0,"",FEBRERO!B59)</f>
        <v>Vigencias Anteriores</v>
      </c>
      <c r="C59" s="456">
        <f>+ENERO!C59</f>
        <v>0</v>
      </c>
      <c r="D59" s="456">
        <f>FEBRERO!D59+MARZO!P59</f>
        <v>0</v>
      </c>
      <c r="E59" s="456">
        <f>FEBRERO!E59+MARZO!Q59</f>
        <v>0</v>
      </c>
      <c r="F59" s="170">
        <f>SUM(C59:E59)</f>
        <v>0</v>
      </c>
      <c r="G59" s="283">
        <f>FEBRERO!I59</f>
        <v>0</v>
      </c>
      <c r="H59" s="457">
        <v>0</v>
      </c>
      <c r="I59" s="170">
        <f>SUM(G59:H59)</f>
        <v>0</v>
      </c>
      <c r="J59" s="283">
        <f>FEBRERO!L59</f>
        <v>0</v>
      </c>
      <c r="K59" s="457">
        <v>0</v>
      </c>
      <c r="L59" s="170">
        <f>SUM(J59:K59)</f>
        <v>0</v>
      </c>
      <c r="M59" s="283">
        <f>F59-I59</f>
        <v>0</v>
      </c>
      <c r="N59" s="170">
        <f>F59-L59</f>
        <v>0</v>
      </c>
      <c r="O59" s="467"/>
      <c r="P59" s="455">
        <v>0</v>
      </c>
      <c r="Q59" s="458">
        <v>0</v>
      </c>
      <c r="R59" s="10"/>
      <c r="S59" s="156" t="str">
        <f>+IF(FEBRERO!S59=0,"",FEBRERO!S59)</f>
        <v>1010402-1</v>
      </c>
      <c r="T59" s="238" t="str">
        <f>+IF(FEBRERO!T59=0,"",FEBRERO!T59)</f>
        <v>S.E.N.A.</v>
      </c>
      <c r="U59" s="31">
        <f>+ENERO!U59</f>
        <v>7782934</v>
      </c>
      <c r="V59" s="17">
        <f>FEBRERO!V59+MARZO!AL59</f>
        <v>0</v>
      </c>
      <c r="W59" s="17">
        <f>FEBRERO!W59+MARZO!AM59</f>
        <v>0</v>
      </c>
      <c r="X59" s="20">
        <f>SUM(U59:W59)</f>
        <v>7782934</v>
      </c>
      <c r="Y59" s="21">
        <f>FEBRERO!AA59</f>
        <v>1156800</v>
      </c>
      <c r="Z59" s="457">
        <v>600300</v>
      </c>
      <c r="AA59" s="18">
        <f>SUM(Y59:Z59)</f>
        <v>1757100</v>
      </c>
      <c r="AB59" s="21">
        <f>FEBRERO!AD59</f>
        <v>1156800</v>
      </c>
      <c r="AC59" s="457">
        <v>600300</v>
      </c>
      <c r="AD59" s="18">
        <f>SUM(AB59:AC59)</f>
        <v>1757100</v>
      </c>
      <c r="AE59" s="21">
        <f>FEBRERO!AG59</f>
        <v>571000</v>
      </c>
      <c r="AF59" s="457">
        <v>585800</v>
      </c>
      <c r="AG59" s="18">
        <f>SUM(AE59:AF59)</f>
        <v>1156800</v>
      </c>
      <c r="AH59" s="21">
        <f>X59-AA59</f>
        <v>6025834</v>
      </c>
      <c r="AI59" s="17">
        <f>X59-AD59</f>
        <v>6025834</v>
      </c>
      <c r="AJ59" s="18">
        <f>X59-AG59</f>
        <v>6626134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+IF(FEBRERO!A60=0,"",FEBRERO!A60)</f>
        <v>1130112</v>
      </c>
      <c r="B60" s="45" t="str">
        <f>+IF(FEBRERO!B60=0,"",FEBRERO!B60)</f>
        <v>IPS PUBLICAS</v>
      </c>
      <c r="C60" s="53">
        <f t="shared" ref="C60:N60" si="63">SUM(C61:C62)</f>
        <v>8883897</v>
      </c>
      <c r="D60" s="53">
        <f t="shared" si="63"/>
        <v>0</v>
      </c>
      <c r="E60" s="53">
        <f t="shared" si="63"/>
        <v>0</v>
      </c>
      <c r="F60" s="54">
        <f t="shared" si="63"/>
        <v>8883897</v>
      </c>
      <c r="G60" s="52">
        <f t="shared" si="63"/>
        <v>1694728</v>
      </c>
      <c r="H60" s="53">
        <f t="shared" si="63"/>
        <v>714889</v>
      </c>
      <c r="I60" s="54">
        <f t="shared" si="63"/>
        <v>2409617</v>
      </c>
      <c r="J60" s="52">
        <f t="shared" si="63"/>
        <v>1309954</v>
      </c>
      <c r="K60" s="53">
        <f t="shared" si="63"/>
        <v>714889</v>
      </c>
      <c r="L60" s="54">
        <f t="shared" si="63"/>
        <v>2024843</v>
      </c>
      <c r="M60" s="52">
        <f t="shared" si="63"/>
        <v>6474280</v>
      </c>
      <c r="N60" s="54">
        <f t="shared" si="63"/>
        <v>6859054</v>
      </c>
      <c r="P60" s="52">
        <f>SUM(P61:P62)</f>
        <v>0</v>
      </c>
      <c r="Q60" s="54">
        <f>SUM(Q61:Q62)</f>
        <v>0</v>
      </c>
      <c r="R60" s="10"/>
      <c r="S60" s="156" t="str">
        <f>+IF(FEBRERO!S60=0,"",FEBRERO!S60)</f>
        <v>1010402-2</v>
      </c>
      <c r="T60" s="238" t="str">
        <f>+IF(FEBRERO!T60=0,"",FEBRERO!T60)</f>
        <v>I.C.B.F.</v>
      </c>
      <c r="U60" s="31">
        <f>+ENERO!U60</f>
        <v>11674400</v>
      </c>
      <c r="V60" s="17">
        <f>FEBRERO!V60+MARZO!AL60</f>
        <v>0</v>
      </c>
      <c r="W60" s="17">
        <f>FEBRERO!W60+MARZO!AM60</f>
        <v>0</v>
      </c>
      <c r="X60" s="20">
        <f>SUM(U60:W60)</f>
        <v>11674400</v>
      </c>
      <c r="Y60" s="21">
        <f>FEBRERO!AA60</f>
        <v>1932600</v>
      </c>
      <c r="Z60" s="457">
        <v>900600</v>
      </c>
      <c r="AA60" s="18">
        <f>SUM(Y60:Z60)</f>
        <v>2833200</v>
      </c>
      <c r="AB60" s="21">
        <f>FEBRERO!AD60</f>
        <v>1932600</v>
      </c>
      <c r="AC60" s="457">
        <v>900600</v>
      </c>
      <c r="AD60" s="18">
        <f>SUM(AB60:AC60)</f>
        <v>2833200</v>
      </c>
      <c r="AE60" s="21">
        <f>FEBRERO!AG60</f>
        <v>1053100</v>
      </c>
      <c r="AF60" s="457">
        <v>879500</v>
      </c>
      <c r="AG60" s="18">
        <f>SUM(AE60:AF60)</f>
        <v>1932600</v>
      </c>
      <c r="AH60" s="21">
        <f>X60-AA60</f>
        <v>8841200</v>
      </c>
      <c r="AI60" s="17">
        <f>X60-AD60</f>
        <v>8841200</v>
      </c>
      <c r="AJ60" s="18">
        <f>X60-AG60</f>
        <v>9741800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+IF(FEBRERO!A61=0,"",FEBRERO!A61)</f>
        <v>1130112-1</v>
      </c>
      <c r="B61" s="189" t="str">
        <f>+CONCATENATE("Vigencia ",INSTRUCCIONES!$F$3)</f>
        <v>Vigencia 2014</v>
      </c>
      <c r="C61" s="456">
        <f>+ENERO!C61</f>
        <v>5883897</v>
      </c>
      <c r="D61" s="456">
        <f>FEBRERO!D61+MARZO!P61</f>
        <v>0</v>
      </c>
      <c r="E61" s="456">
        <f>FEBRERO!E61+MARZO!Q61</f>
        <v>0</v>
      </c>
      <c r="F61" s="170">
        <f>SUM(C61:E61)</f>
        <v>5883897</v>
      </c>
      <c r="G61" s="283">
        <f>FEBRERO!I61</f>
        <v>384774</v>
      </c>
      <c r="H61" s="457">
        <v>0</v>
      </c>
      <c r="I61" s="170">
        <f>SUM(G61:H61)</f>
        <v>384774</v>
      </c>
      <c r="J61" s="283">
        <f>FEBRERO!L61</f>
        <v>0</v>
      </c>
      <c r="K61" s="457">
        <v>0</v>
      </c>
      <c r="L61" s="170">
        <f>SUM(J61:K61)</f>
        <v>0</v>
      </c>
      <c r="M61" s="283">
        <f>F61-I61</f>
        <v>5499123</v>
      </c>
      <c r="N61" s="170">
        <f>F61-L61</f>
        <v>5883897</v>
      </c>
      <c r="O61" s="467"/>
      <c r="P61" s="455">
        <v>0</v>
      </c>
      <c r="Q61" s="458">
        <v>0</v>
      </c>
      <c r="R61" s="10"/>
      <c r="S61" s="155">
        <f>+IF(FEBRERO!S61=0,"",FEBRERO!S61)</f>
        <v>1010499</v>
      </c>
      <c r="T61" s="238" t="str">
        <f>+IF(FEBRERO!T61=0,"",FEBRERO!T61)</f>
        <v>Vigencias Anteriores</v>
      </c>
      <c r="U61" s="31">
        <f>+ENERO!U61</f>
        <v>0</v>
      </c>
      <c r="V61" s="17">
        <f>FEBRERO!V61+MARZO!AL61</f>
        <v>0</v>
      </c>
      <c r="W61" s="17">
        <f>FEBRERO!W61+MARZO!AM61</f>
        <v>0</v>
      </c>
      <c r="X61" s="20">
        <f>SUM(U61:W61)</f>
        <v>0</v>
      </c>
      <c r="Y61" s="21">
        <f>FEBRERO!AA61</f>
        <v>0</v>
      </c>
      <c r="Z61" s="457">
        <v>0</v>
      </c>
      <c r="AA61" s="18">
        <f>SUM(Y61:Z61)</f>
        <v>0</v>
      </c>
      <c r="AB61" s="21">
        <f>FEBRERO!AD61</f>
        <v>0</v>
      </c>
      <c r="AC61" s="457">
        <v>0</v>
      </c>
      <c r="AD61" s="18">
        <f>SUM(AB61:AC61)</f>
        <v>0</v>
      </c>
      <c r="AE61" s="21">
        <f>FEBRERO!AG61</f>
        <v>0</v>
      </c>
      <c r="AF61" s="457">
        <v>0</v>
      </c>
      <c r="AG61" s="18">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+IF(FEBRERO!A62=0,"",FEBRERO!A62)</f>
        <v>1130112-2</v>
      </c>
      <c r="B62" s="189" t="str">
        <f>+IF(FEBRERO!B62=0,"",FEBRERO!B62)</f>
        <v>Vigencias Anteriores</v>
      </c>
      <c r="C62" s="456">
        <f>+ENERO!C62</f>
        <v>3000000</v>
      </c>
      <c r="D62" s="456">
        <f>FEBRERO!D62+MARZO!P62</f>
        <v>0</v>
      </c>
      <c r="E62" s="456">
        <f>FEBRERO!E62+MARZO!Q62</f>
        <v>0</v>
      </c>
      <c r="F62" s="170">
        <f>SUM(C62:E62)</f>
        <v>3000000</v>
      </c>
      <c r="G62" s="283">
        <f>FEBRERO!I62</f>
        <v>1309954</v>
      </c>
      <c r="H62" s="457">
        <v>714889</v>
      </c>
      <c r="I62" s="170">
        <f>SUM(G62:H62)</f>
        <v>2024843</v>
      </c>
      <c r="J62" s="283">
        <f>FEBRERO!L62</f>
        <v>1309954</v>
      </c>
      <c r="K62" s="457">
        <v>714889</v>
      </c>
      <c r="L62" s="170">
        <f>SUM(J62:K62)</f>
        <v>2024843</v>
      </c>
      <c r="M62" s="283">
        <f>F62-I62</f>
        <v>975157</v>
      </c>
      <c r="N62" s="170">
        <f>F62-L62</f>
        <v>975157</v>
      </c>
      <c r="O62" s="467"/>
      <c r="P62" s="455">
        <v>0</v>
      </c>
      <c r="Q62" s="458">
        <v>0</v>
      </c>
      <c r="R62" s="10"/>
      <c r="S62" s="448" t="str">
        <f>+IF(FEBRERO!S62=0,"",FEBRERO!S62)</f>
        <v/>
      </c>
      <c r="T62" s="649" t="str">
        <f>+IF(FEBRERO!T62=0,"",FEBRERO!T62)</f>
        <v/>
      </c>
      <c r="U62" s="450"/>
      <c r="V62" s="193"/>
      <c r="W62" s="193"/>
      <c r="X62" s="193"/>
      <c r="Y62" s="450"/>
      <c r="Z62" s="193"/>
      <c r="AA62" s="207"/>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+IF(FEBRERO!A63=0,"",FEBRERO!A63)</f>
        <v>1130113</v>
      </c>
      <c r="B63" s="45" t="str">
        <f>+IF(FEBRERO!B63=0,"",FEBRERO!B63)</f>
        <v>COMPAÑIAS DE SEGUROS  - ACCIDENTES DE TRANSITO (SOAT)</v>
      </c>
      <c r="C63" s="53">
        <f t="shared" ref="C63:N63" si="64">SUM(C64:C65)</f>
        <v>52973202</v>
      </c>
      <c r="D63" s="53">
        <f t="shared" si="64"/>
        <v>0</v>
      </c>
      <c r="E63" s="53">
        <f t="shared" si="64"/>
        <v>0</v>
      </c>
      <c r="F63" s="54">
        <f t="shared" si="64"/>
        <v>52973202</v>
      </c>
      <c r="G63" s="52">
        <f t="shared" si="64"/>
        <v>15396567</v>
      </c>
      <c r="H63" s="53">
        <f t="shared" si="64"/>
        <v>3437853</v>
      </c>
      <c r="I63" s="54">
        <f t="shared" si="64"/>
        <v>18834420</v>
      </c>
      <c r="J63" s="52">
        <f t="shared" si="64"/>
        <v>6690413</v>
      </c>
      <c r="K63" s="53">
        <f t="shared" si="64"/>
        <v>2823403</v>
      </c>
      <c r="L63" s="54">
        <f t="shared" si="64"/>
        <v>9513816</v>
      </c>
      <c r="M63" s="52">
        <f t="shared" si="64"/>
        <v>34138782</v>
      </c>
      <c r="N63" s="54">
        <f t="shared" si="64"/>
        <v>43459386</v>
      </c>
      <c r="P63" s="52">
        <f>SUM(P64:P65)</f>
        <v>0</v>
      </c>
      <c r="Q63" s="54">
        <f>SUM(Q64:Q65)</f>
        <v>0</v>
      </c>
      <c r="R63" s="10"/>
      <c r="S63" s="469">
        <f>+IF(FEBRERO!S63=0,"",FEBRERO!S63)</f>
        <v>1020010</v>
      </c>
      <c r="T63" s="676" t="str">
        <f>+IF(FEBRERO!T63=0,"",FEBRERO!T63)</f>
        <v>Gastos de Operación</v>
      </c>
      <c r="U63" s="151">
        <f t="shared" ref="U63:AJ63" si="65">U65+U83+U90+U104</f>
        <v>1656122409</v>
      </c>
      <c r="V63" s="144">
        <f t="shared" si="65"/>
        <v>5657703</v>
      </c>
      <c r="W63" s="144">
        <f t="shared" si="65"/>
        <v>18789110</v>
      </c>
      <c r="X63" s="152">
        <f t="shared" si="65"/>
        <v>1680569222</v>
      </c>
      <c r="Y63" s="151">
        <f t="shared" si="65"/>
        <v>318360213</v>
      </c>
      <c r="Z63" s="144">
        <f t="shared" si="65"/>
        <v>119262610</v>
      </c>
      <c r="AA63" s="153">
        <f t="shared" si="65"/>
        <v>437622823</v>
      </c>
      <c r="AB63" s="151">
        <f t="shared" si="65"/>
        <v>318359413</v>
      </c>
      <c r="AC63" s="144">
        <f t="shared" si="65"/>
        <v>119262610</v>
      </c>
      <c r="AD63" s="153">
        <f t="shared" si="65"/>
        <v>437622023</v>
      </c>
      <c r="AE63" s="151">
        <f t="shared" si="65"/>
        <v>279976159</v>
      </c>
      <c r="AF63" s="144">
        <f t="shared" si="65"/>
        <v>123163337</v>
      </c>
      <c r="AG63" s="153">
        <f t="shared" si="65"/>
        <v>403139496</v>
      </c>
      <c r="AH63" s="151">
        <f t="shared" si="65"/>
        <v>1242946399</v>
      </c>
      <c r="AI63" s="144">
        <f t="shared" si="65"/>
        <v>1242947199</v>
      </c>
      <c r="AJ63" s="153">
        <f t="shared" si="65"/>
        <v>1277429726</v>
      </c>
      <c r="AK63" s="10"/>
      <c r="AL63" s="151">
        <f>AL65+AL83+AL90+AL104</f>
        <v>0</v>
      </c>
      <c r="AM63" s="153">
        <f>AM65+AM83+AM90+AM104</f>
        <v>465000</v>
      </c>
      <c r="AN63" s="10"/>
      <c r="AO63" s="365"/>
      <c r="AP63" s="365"/>
      <c r="AQ63" s="365"/>
      <c r="AR63" s="365"/>
      <c r="AS63" s="365"/>
      <c r="AT63" s="365"/>
      <c r="AU63" s="365"/>
      <c r="AV63" s="365"/>
      <c r="AW63" s="365"/>
      <c r="AX63" s="365"/>
      <c r="AY63" s="365"/>
      <c r="AZ63" s="365"/>
    </row>
    <row r="64" spans="1:70" s="514" customFormat="1" ht="15.75" x14ac:dyDescent="0.2">
      <c r="A64" s="188" t="str">
        <f>+IF(FEBRERO!A64=0,"",FEBRERO!A64)</f>
        <v>1130113-1</v>
      </c>
      <c r="B64" s="189" t="str">
        <f>+CONCATENATE("Vigencia ",INSTRUCCIONES!$F$3)</f>
        <v>Vigencia 2014</v>
      </c>
      <c r="C64" s="456">
        <f>+ENERO!C64</f>
        <v>40103182</v>
      </c>
      <c r="D64" s="456">
        <f>FEBRERO!D64+MARZO!P64</f>
        <v>0</v>
      </c>
      <c r="E64" s="456">
        <f>FEBRERO!E64+MARZO!Q64</f>
        <v>0</v>
      </c>
      <c r="F64" s="170">
        <f>SUM(C64:E64)</f>
        <v>40103182</v>
      </c>
      <c r="G64" s="283">
        <f>FEBRERO!I64</f>
        <v>8509054</v>
      </c>
      <c r="H64" s="457">
        <v>2436203</v>
      </c>
      <c r="I64" s="170">
        <f>SUM(G64:H64)</f>
        <v>10945257</v>
      </c>
      <c r="J64" s="283">
        <f>FEBRERO!L64</f>
        <v>-197100</v>
      </c>
      <c r="K64" s="457">
        <v>1821753</v>
      </c>
      <c r="L64" s="170">
        <f>SUM(J64:K64)</f>
        <v>1624653</v>
      </c>
      <c r="M64" s="283">
        <f>F64-I64</f>
        <v>29157925</v>
      </c>
      <c r="N64" s="170">
        <f>F64-L64</f>
        <v>38478529</v>
      </c>
      <c r="O64" s="467"/>
      <c r="P64" s="455">
        <v>0</v>
      </c>
      <c r="Q64" s="458">
        <v>0</v>
      </c>
      <c r="R64" s="10"/>
      <c r="S64" s="448" t="str">
        <f>+IF(FEBRERO!S64=0,"",FEBRERO!S64)</f>
        <v/>
      </c>
      <c r="T64" s="649" t="str">
        <f>+IF(FEBRERO!T64=0,"",FEBRERO!T64)</f>
        <v/>
      </c>
      <c r="U64" s="450"/>
      <c r="V64" s="193"/>
      <c r="W64" s="193"/>
      <c r="X64" s="193"/>
      <c r="Y64" s="450"/>
      <c r="Z64" s="193"/>
      <c r="AA64" s="207"/>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+IF(FEBRERO!A65=0,"",FEBRERO!A65)</f>
        <v>1130113-2</v>
      </c>
      <c r="B65" s="189" t="str">
        <f>+IF(FEBRERO!B65=0,"",FEBRERO!B65)</f>
        <v>Vigencias Anteriores</v>
      </c>
      <c r="C65" s="456">
        <f>+ENERO!C65</f>
        <v>12870020</v>
      </c>
      <c r="D65" s="456">
        <f>FEBRERO!D65+MARZO!P65</f>
        <v>0</v>
      </c>
      <c r="E65" s="456">
        <f>FEBRERO!E65+MARZO!Q65</f>
        <v>0</v>
      </c>
      <c r="F65" s="170">
        <f>SUM(C65:E65)</f>
        <v>12870020</v>
      </c>
      <c r="G65" s="283">
        <f>FEBRERO!I65</f>
        <v>6887513</v>
      </c>
      <c r="H65" s="457">
        <v>1001650</v>
      </c>
      <c r="I65" s="170">
        <f>SUM(G65:H65)</f>
        <v>7889163</v>
      </c>
      <c r="J65" s="283">
        <f>FEBRERO!L65</f>
        <v>6887513</v>
      </c>
      <c r="K65" s="457">
        <v>1001650</v>
      </c>
      <c r="L65" s="170">
        <f>SUM(J65:K65)</f>
        <v>7889163</v>
      </c>
      <c r="M65" s="283">
        <f>F65-I65</f>
        <v>4980857</v>
      </c>
      <c r="N65" s="170">
        <f>F65-L65</f>
        <v>4980857</v>
      </c>
      <c r="O65" s="467"/>
      <c r="P65" s="455">
        <v>0</v>
      </c>
      <c r="Q65" s="458">
        <v>0</v>
      </c>
      <c r="R65" s="10"/>
      <c r="S65" s="34">
        <f>+IF(FEBRERO!S65=0,"",FEBRERO!S65)</f>
        <v>1020100</v>
      </c>
      <c r="T65" s="237" t="str">
        <f>+IF(FEBRERO!T65=0,"",FEBRERO!T65)</f>
        <v>Servicios Personales Asociados a Nómina</v>
      </c>
      <c r="U65" s="151">
        <f t="shared" ref="U65:AJ65" si="66">SUM(U66:U69)+U81</f>
        <v>1157487731</v>
      </c>
      <c r="V65" s="144">
        <f t="shared" si="66"/>
        <v>5657703</v>
      </c>
      <c r="W65" s="144">
        <f t="shared" si="66"/>
        <v>8749212</v>
      </c>
      <c r="X65" s="152">
        <f t="shared" si="66"/>
        <v>1171894646</v>
      </c>
      <c r="Y65" s="151">
        <f t="shared" si="66"/>
        <v>192025939</v>
      </c>
      <c r="Z65" s="144">
        <f t="shared" si="66"/>
        <v>89315582</v>
      </c>
      <c r="AA65" s="153">
        <f t="shared" si="66"/>
        <v>281341521</v>
      </c>
      <c r="AB65" s="151">
        <f t="shared" si="66"/>
        <v>192025939</v>
      </c>
      <c r="AC65" s="144">
        <f t="shared" si="66"/>
        <v>89315582</v>
      </c>
      <c r="AD65" s="153">
        <f t="shared" si="66"/>
        <v>281341521</v>
      </c>
      <c r="AE65" s="151">
        <f t="shared" si="66"/>
        <v>174396952</v>
      </c>
      <c r="AF65" s="144">
        <f t="shared" si="66"/>
        <v>92120545</v>
      </c>
      <c r="AG65" s="153">
        <f t="shared" si="66"/>
        <v>266517497</v>
      </c>
      <c r="AH65" s="151">
        <f t="shared" si="66"/>
        <v>890553125</v>
      </c>
      <c r="AI65" s="144">
        <f t="shared" si="66"/>
        <v>890553125</v>
      </c>
      <c r="AJ65" s="153">
        <f t="shared" si="66"/>
        <v>905377149</v>
      </c>
      <c r="AK65" s="10"/>
      <c r="AL65" s="151">
        <f>SUM(AL66:AL69)+AL81</f>
        <v>0</v>
      </c>
      <c r="AM65" s="153">
        <f>SUM(AM66:AM69)+AM81</f>
        <v>465000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+IF(FEBRERO!A66=0,"",FEBRERO!A66)</f>
        <v>1130114</v>
      </c>
      <c r="B66" s="45" t="str">
        <f>+IF(FEBRERO!B66=0,"",FEBRERO!B66)</f>
        <v xml:space="preserve">COMPAÑIAS DE SEGUROS  - PLANES DE SALUD  </v>
      </c>
      <c r="C66" s="53">
        <f t="shared" ref="C66:N66" si="67">SUM(C67:C68)</f>
        <v>0</v>
      </c>
      <c r="D66" s="53">
        <f t="shared" si="67"/>
        <v>0</v>
      </c>
      <c r="E66" s="53">
        <f t="shared" si="67"/>
        <v>0</v>
      </c>
      <c r="F66" s="54">
        <f t="shared" si="67"/>
        <v>0</v>
      </c>
      <c r="G66" s="52">
        <f t="shared" si="67"/>
        <v>0</v>
      </c>
      <c r="H66" s="53">
        <f t="shared" si="67"/>
        <v>0</v>
      </c>
      <c r="I66" s="54">
        <f t="shared" si="67"/>
        <v>0</v>
      </c>
      <c r="J66" s="52">
        <f t="shared" si="67"/>
        <v>0</v>
      </c>
      <c r="K66" s="53">
        <f t="shared" si="67"/>
        <v>0</v>
      </c>
      <c r="L66" s="54">
        <f t="shared" si="67"/>
        <v>0</v>
      </c>
      <c r="M66" s="52">
        <f t="shared" si="67"/>
        <v>0</v>
      </c>
      <c r="N66" s="54">
        <f t="shared" si="67"/>
        <v>0</v>
      </c>
      <c r="P66" s="52">
        <f>SUM(P67:P68)</f>
        <v>0</v>
      </c>
      <c r="Q66" s="54">
        <f>SUM(Q67:Q68)</f>
        <v>0</v>
      </c>
      <c r="R66" s="10"/>
      <c r="S66" s="155">
        <f>+IF(FEBRERO!S66=0,"",FEBRERO!S66)</f>
        <v>1020101</v>
      </c>
      <c r="T66" s="238" t="str">
        <f>+IF(FEBRERO!T66=0,"",FEBRERO!T66)</f>
        <v>Sueldos del Personal de nómina</v>
      </c>
      <c r="U66" s="31">
        <f>+ENERO!U66</f>
        <v>901111176</v>
      </c>
      <c r="V66" s="17">
        <f>FEBRERO!V66+MARZO!AL66</f>
        <v>0</v>
      </c>
      <c r="W66" s="17">
        <f>FEBRERO!W66+MARZO!AM66</f>
        <v>0</v>
      </c>
      <c r="X66" s="20">
        <f>SUM(U66:W66)</f>
        <v>901111176</v>
      </c>
      <c r="Y66" s="21">
        <f>FEBRERO!AA66</f>
        <v>149127806</v>
      </c>
      <c r="Z66" s="457">
        <v>80188868</v>
      </c>
      <c r="AA66" s="18">
        <f>SUM(Y66:Z66)</f>
        <v>229316674</v>
      </c>
      <c r="AB66" s="21">
        <f>FEBRERO!AD66</f>
        <v>149127806</v>
      </c>
      <c r="AC66" s="457">
        <v>80188868</v>
      </c>
      <c r="AD66" s="18">
        <f>SUM(AB66:AC66)</f>
        <v>229316674</v>
      </c>
      <c r="AE66" s="21">
        <f>FEBRERO!AG66</f>
        <v>132479161</v>
      </c>
      <c r="AF66" s="457">
        <v>85016894</v>
      </c>
      <c r="AG66" s="18">
        <f>SUM(AE66:AF66)</f>
        <v>217496055</v>
      </c>
      <c r="AH66" s="21">
        <f>X66-AA66</f>
        <v>671794502</v>
      </c>
      <c r="AI66" s="17">
        <f>X66-AD66</f>
        <v>671794502</v>
      </c>
      <c r="AJ66" s="18">
        <f>X66-AG66</f>
        <v>683615121</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+IF(FEBRERO!A67=0,"",FEBRERO!A67)</f>
        <v>1130114-1</v>
      </c>
      <c r="B67" s="189" t="str">
        <f>+CONCATENATE("Vigencia ",INSTRUCCIONES!$F$3)</f>
        <v>Vigencia 2014</v>
      </c>
      <c r="C67" s="456">
        <f>+ENERO!C67</f>
        <v>0</v>
      </c>
      <c r="D67" s="456">
        <f>FEBRERO!D67+MARZO!P67</f>
        <v>0</v>
      </c>
      <c r="E67" s="456">
        <f>FEBRERO!E67+MARZO!Q67</f>
        <v>0</v>
      </c>
      <c r="F67" s="170">
        <f>SUM(C67:E67)</f>
        <v>0</v>
      </c>
      <c r="G67" s="283">
        <f>FEBRERO!I67</f>
        <v>0</v>
      </c>
      <c r="H67" s="457">
        <v>0</v>
      </c>
      <c r="I67" s="170">
        <f>SUM(G67:H67)</f>
        <v>0</v>
      </c>
      <c r="J67" s="283">
        <f>FEBRERO!L67</f>
        <v>0</v>
      </c>
      <c r="K67" s="457">
        <v>0</v>
      </c>
      <c r="L67" s="170">
        <f>SUM(J67:K67)</f>
        <v>0</v>
      </c>
      <c r="M67" s="283">
        <f>F67-I67</f>
        <v>0</v>
      </c>
      <c r="N67" s="170">
        <f>F67-L67</f>
        <v>0</v>
      </c>
      <c r="O67" s="467"/>
      <c r="P67" s="455">
        <v>0</v>
      </c>
      <c r="Q67" s="458">
        <v>0</v>
      </c>
      <c r="R67" s="10"/>
      <c r="S67" s="155">
        <f>+IF(FEBRERO!S67=0,"",FEBRERO!S67)</f>
        <v>1020102</v>
      </c>
      <c r="T67" s="238" t="str">
        <f>+IF(FEBRERO!T67=0,"",FEBRERO!T67)</f>
        <v>Horas Extras,Dominic.,Festivos y Rec. Nocturnos</v>
      </c>
      <c r="U67" s="31">
        <f>+ENERO!U67</f>
        <v>116857377</v>
      </c>
      <c r="V67" s="17">
        <f>FEBRERO!V67+MARZO!AL67</f>
        <v>0</v>
      </c>
      <c r="W67" s="17">
        <f>FEBRERO!W67+MARZO!AM67</f>
        <v>0</v>
      </c>
      <c r="X67" s="20">
        <f>SUM(U67:W67)</f>
        <v>116857377</v>
      </c>
      <c r="Y67" s="21">
        <f>FEBRERO!AA67</f>
        <v>15760064</v>
      </c>
      <c r="Z67" s="457">
        <v>6112446</v>
      </c>
      <c r="AA67" s="18">
        <f>SUM(Y67:Z67)</f>
        <v>21872510</v>
      </c>
      <c r="AB67" s="21">
        <f>FEBRERO!AD67</f>
        <v>15760064</v>
      </c>
      <c r="AC67" s="457">
        <v>6112446</v>
      </c>
      <c r="AD67" s="18">
        <f>SUM(AB67:AC67)</f>
        <v>21872510</v>
      </c>
      <c r="AE67" s="21">
        <f>FEBRERO!AG67</f>
        <v>15760064</v>
      </c>
      <c r="AF67" s="457">
        <v>6082192</v>
      </c>
      <c r="AG67" s="18">
        <f>SUM(AE67:AF67)</f>
        <v>21842256</v>
      </c>
      <c r="AH67" s="21">
        <f>X67-AA67</f>
        <v>94984867</v>
      </c>
      <c r="AI67" s="17">
        <f>X67-AD67</f>
        <v>94984867</v>
      </c>
      <c r="AJ67" s="18">
        <f>X67-AG67</f>
        <v>95015121</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+IF(FEBRERO!A68=0,"",FEBRERO!A68)</f>
        <v>1130114-2</v>
      </c>
      <c r="B68" s="189" t="str">
        <f>+IF(FEBRERO!B68=0,"",FEBRERO!B68)</f>
        <v>Vigencias Anteriores</v>
      </c>
      <c r="C68" s="456">
        <f>+ENERO!C68</f>
        <v>0</v>
      </c>
      <c r="D68" s="456">
        <f>FEBRERO!D68+MARZO!P68</f>
        <v>0</v>
      </c>
      <c r="E68" s="456">
        <f>FEBRERO!E68+MARZO!Q68</f>
        <v>0</v>
      </c>
      <c r="F68" s="170">
        <f>SUM(C68:E68)</f>
        <v>0</v>
      </c>
      <c r="G68" s="283">
        <f>FEBRERO!I68</f>
        <v>0</v>
      </c>
      <c r="H68" s="457">
        <v>0</v>
      </c>
      <c r="I68" s="170">
        <f>SUM(G68:H68)</f>
        <v>0</v>
      </c>
      <c r="J68" s="283">
        <f>FEBRERO!L68</f>
        <v>0</v>
      </c>
      <c r="K68" s="457">
        <v>0</v>
      </c>
      <c r="L68" s="170">
        <f>SUM(J68:K68)</f>
        <v>0</v>
      </c>
      <c r="M68" s="283">
        <f>F68-I68</f>
        <v>0</v>
      </c>
      <c r="N68" s="170">
        <f>F68-L68</f>
        <v>0</v>
      </c>
      <c r="O68" s="467"/>
      <c r="P68" s="455">
        <v>0</v>
      </c>
      <c r="Q68" s="458">
        <v>0</v>
      </c>
      <c r="R68" s="10"/>
      <c r="S68" s="155">
        <f>+IF(FEBRERO!S68=0,"",FEBRERO!S68)</f>
        <v>1020103</v>
      </c>
      <c r="T68" s="238" t="str">
        <f>+IF(FEBRERO!T68=0,"",FEBRERO!T68)</f>
        <v>Prima Técnica</v>
      </c>
      <c r="U68" s="31">
        <f>+ENERO!U68</f>
        <v>0</v>
      </c>
      <c r="V68" s="17">
        <f>FEBRERO!V68+MARZO!AL68</f>
        <v>0</v>
      </c>
      <c r="W68" s="17">
        <f>FEBRERO!W68+MARZO!AM68</f>
        <v>0</v>
      </c>
      <c r="X68" s="20">
        <f>SUM(U68:W68)</f>
        <v>0</v>
      </c>
      <c r="Y68" s="21">
        <f>FEBRERO!AA68</f>
        <v>0</v>
      </c>
      <c r="Z68" s="457">
        <v>0</v>
      </c>
      <c r="AA68" s="18">
        <f>SUM(Y68:Z68)</f>
        <v>0</v>
      </c>
      <c r="AB68" s="21">
        <f>FEBRERO!AD68</f>
        <v>0</v>
      </c>
      <c r="AC68" s="457">
        <v>0</v>
      </c>
      <c r="AD68" s="18">
        <f>SUM(AB68:AC68)</f>
        <v>0</v>
      </c>
      <c r="AE68" s="21">
        <f>FEBRERO!AG68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+IF(FEBRERO!A69=0,"",FEBRERO!A69)</f>
        <v>1130115</v>
      </c>
      <c r="B69" s="45" t="str">
        <f>+IF(FEBRERO!B69=0,"",FEBRERO!B69)</f>
        <v>ENTIDADES DE REGIMEN ESPECIAL (Magisterio, Fuerza Pca.)</v>
      </c>
      <c r="C69" s="53">
        <f t="shared" ref="C69:N69" si="68">SUM(C70:C71)</f>
        <v>111446544</v>
      </c>
      <c r="D69" s="53">
        <f t="shared" si="68"/>
        <v>0</v>
      </c>
      <c r="E69" s="53">
        <f t="shared" si="68"/>
        <v>0</v>
      </c>
      <c r="F69" s="54">
        <f t="shared" si="68"/>
        <v>111446544</v>
      </c>
      <c r="G69" s="52">
        <f t="shared" si="68"/>
        <v>2645882</v>
      </c>
      <c r="H69" s="53">
        <f t="shared" si="68"/>
        <v>25699567</v>
      </c>
      <c r="I69" s="54">
        <f t="shared" si="68"/>
        <v>28345449</v>
      </c>
      <c r="J69" s="52">
        <f t="shared" si="68"/>
        <v>550315</v>
      </c>
      <c r="K69" s="53">
        <f t="shared" si="68"/>
        <v>20938932</v>
      </c>
      <c r="L69" s="54">
        <f t="shared" si="68"/>
        <v>21489247</v>
      </c>
      <c r="M69" s="52">
        <f t="shared" si="68"/>
        <v>83101095</v>
      </c>
      <c r="N69" s="54">
        <f t="shared" si="68"/>
        <v>89957297</v>
      </c>
      <c r="P69" s="52">
        <f>SUM(P70:P71)</f>
        <v>0</v>
      </c>
      <c r="Q69" s="54">
        <f>SUM(Q70:Q71)</f>
        <v>0</v>
      </c>
      <c r="R69" s="10"/>
      <c r="S69" s="155">
        <f>+IF(FEBRERO!S69=0,"",FEBRERO!S69)</f>
        <v>1020104</v>
      </c>
      <c r="T69" s="238" t="str">
        <f>+IF(FEBRERO!T69=0,"",FEBRERO!T69)</f>
        <v>Otros</v>
      </c>
      <c r="U69" s="31">
        <f t="shared" ref="U69:AJ69" si="69">SUM(U70:U80)</f>
        <v>130781064</v>
      </c>
      <c r="V69" s="17">
        <f t="shared" si="69"/>
        <v>0</v>
      </c>
      <c r="W69" s="17">
        <f t="shared" si="69"/>
        <v>0</v>
      </c>
      <c r="X69" s="20">
        <f t="shared" si="69"/>
        <v>130781064</v>
      </c>
      <c r="Y69" s="21">
        <f t="shared" si="69"/>
        <v>4458040</v>
      </c>
      <c r="Z69" s="169">
        <f t="shared" si="69"/>
        <v>3014268</v>
      </c>
      <c r="AA69" s="18">
        <f t="shared" si="69"/>
        <v>7472308</v>
      </c>
      <c r="AB69" s="21">
        <f t="shared" si="69"/>
        <v>4458040</v>
      </c>
      <c r="AC69" s="169">
        <f t="shared" si="69"/>
        <v>3014268</v>
      </c>
      <c r="AD69" s="18">
        <f t="shared" si="69"/>
        <v>7472308</v>
      </c>
      <c r="AE69" s="21">
        <f t="shared" si="69"/>
        <v>4458040</v>
      </c>
      <c r="AF69" s="169">
        <f t="shared" si="69"/>
        <v>1021459</v>
      </c>
      <c r="AG69" s="18">
        <f t="shared" si="69"/>
        <v>5479499</v>
      </c>
      <c r="AH69" s="21">
        <f t="shared" si="69"/>
        <v>123308756</v>
      </c>
      <c r="AI69" s="17">
        <f t="shared" si="69"/>
        <v>123308756</v>
      </c>
      <c r="AJ69" s="18">
        <f t="shared" si="69"/>
        <v>125301565</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+IF(FEBRERO!A70=0,"",FEBRERO!A70)</f>
        <v>1130115-1</v>
      </c>
      <c r="B70" s="189" t="str">
        <f>+CONCATENATE("Vigencia ",INSTRUCCIONES!$F$3)</f>
        <v>Vigencia 2014</v>
      </c>
      <c r="C70" s="456">
        <f>+ENERO!C70</f>
        <v>75639118</v>
      </c>
      <c r="D70" s="456">
        <f>FEBRERO!D70+MARZO!P70</f>
        <v>0</v>
      </c>
      <c r="E70" s="456">
        <f>FEBRERO!E70+MARZO!Q70</f>
        <v>0</v>
      </c>
      <c r="F70" s="170">
        <f>SUM(C70:E70)</f>
        <v>75639118</v>
      </c>
      <c r="G70" s="283">
        <f>FEBRERO!I70</f>
        <v>2095567</v>
      </c>
      <c r="H70" s="457">
        <v>4757600</v>
      </c>
      <c r="I70" s="170">
        <f>SUM(G70:H70)</f>
        <v>6853167</v>
      </c>
      <c r="J70" s="283">
        <f>FEBRERO!L70</f>
        <v>0</v>
      </c>
      <c r="K70" s="457">
        <v>-3035</v>
      </c>
      <c r="L70" s="170">
        <f>SUM(J70:K70)</f>
        <v>-3035</v>
      </c>
      <c r="M70" s="283">
        <f>F70-I70</f>
        <v>68785951</v>
      </c>
      <c r="N70" s="170">
        <f>F70-L70</f>
        <v>75642153</v>
      </c>
      <c r="O70" s="467"/>
      <c r="P70" s="455">
        <v>0</v>
      </c>
      <c r="Q70" s="458">
        <v>0</v>
      </c>
      <c r="R70" s="10"/>
      <c r="S70" s="156" t="str">
        <f>+IF(FEBRERO!S70=0,"",FEBRERO!S70)</f>
        <v>1020104-1</v>
      </c>
      <c r="T70" s="251" t="str">
        <f>+IF(FEBRERO!T70=0,"",FEBRERO!T70)</f>
        <v xml:space="preserve">Prima de Navidad </v>
      </c>
      <c r="U70" s="31">
        <f>+ENERO!U70</f>
        <v>78694383</v>
      </c>
      <c r="V70" s="17">
        <f>FEBRERO!V70+MARZO!AL70</f>
        <v>0</v>
      </c>
      <c r="W70" s="17">
        <f>FEBRERO!W70+MARZO!AM70</f>
        <v>0</v>
      </c>
      <c r="X70" s="20">
        <f t="shared" ref="X70:X81" si="70">SUM(U70:W70)</f>
        <v>78694383</v>
      </c>
      <c r="Y70" s="21">
        <f>FEBRERO!AA70</f>
        <v>0</v>
      </c>
      <c r="Z70" s="457">
        <v>0</v>
      </c>
      <c r="AA70" s="18">
        <f t="shared" ref="AA70:AA81" si="71">SUM(Y70:Z70)</f>
        <v>0</v>
      </c>
      <c r="AB70" s="21">
        <f>FEBRERO!AD70</f>
        <v>0</v>
      </c>
      <c r="AC70" s="457">
        <v>0</v>
      </c>
      <c r="AD70" s="18">
        <f t="shared" ref="AD70:AD81" si="72">SUM(AB70:AC70)</f>
        <v>0</v>
      </c>
      <c r="AE70" s="21">
        <f>FEBRERO!AG70</f>
        <v>0</v>
      </c>
      <c r="AF70" s="457">
        <v>0</v>
      </c>
      <c r="AG70" s="18">
        <f t="shared" ref="AG70:AG81" si="73">SUM(AE70:AF70)</f>
        <v>0</v>
      </c>
      <c r="AH70" s="21">
        <f t="shared" ref="AH70:AH81" si="74">X70-AA70</f>
        <v>78694383</v>
      </c>
      <c r="AI70" s="17">
        <f t="shared" ref="AI70:AI81" si="75">X70-AD70</f>
        <v>78694383</v>
      </c>
      <c r="AJ70" s="18">
        <f t="shared" ref="AJ70:AJ81" si="76">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+IF(FEBRERO!A71=0,"",FEBRERO!A71)</f>
        <v>1130115-2</v>
      </c>
      <c r="B71" s="189" t="str">
        <f>+IF(FEBRERO!B71=0,"",FEBRERO!B71)</f>
        <v>Vigencias Anteriores</v>
      </c>
      <c r="C71" s="456">
        <f>+ENERO!C71</f>
        <v>35807426</v>
      </c>
      <c r="D71" s="456">
        <f>FEBRERO!D71+MARZO!P71</f>
        <v>0</v>
      </c>
      <c r="E71" s="456">
        <f>FEBRERO!E71+MARZO!Q71</f>
        <v>0</v>
      </c>
      <c r="F71" s="170">
        <f>SUM(C71:E71)</f>
        <v>35807426</v>
      </c>
      <c r="G71" s="283">
        <f>FEBRERO!I71</f>
        <v>550315</v>
      </c>
      <c r="H71" s="457">
        <v>20941967</v>
      </c>
      <c r="I71" s="170">
        <f>SUM(G71:H71)</f>
        <v>21492282</v>
      </c>
      <c r="J71" s="283">
        <f>FEBRERO!L71</f>
        <v>550315</v>
      </c>
      <c r="K71" s="457">
        <v>20941967</v>
      </c>
      <c r="L71" s="170">
        <f>SUM(J71:K71)</f>
        <v>21492282</v>
      </c>
      <c r="M71" s="283">
        <f>F71-I71</f>
        <v>14315144</v>
      </c>
      <c r="N71" s="170">
        <f>F71-L71</f>
        <v>14315144</v>
      </c>
      <c r="O71" s="467"/>
      <c r="P71" s="455">
        <v>0</v>
      </c>
      <c r="Q71" s="458">
        <v>0</v>
      </c>
      <c r="R71" s="10"/>
      <c r="S71" s="156" t="str">
        <f>+IF(FEBRERO!S71=0,"",FEBRERO!S71)</f>
        <v>1020104-2</v>
      </c>
      <c r="T71" s="251" t="str">
        <f>+IF(FEBRERO!T71=0,"",FEBRERO!T71)</f>
        <v>Prima Vida Cara</v>
      </c>
      <c r="U71" s="31">
        <f>+ENERO!U71</f>
        <v>0</v>
      </c>
      <c r="V71" s="17">
        <f>FEBRERO!V71+MARZO!AL71</f>
        <v>0</v>
      </c>
      <c r="W71" s="17">
        <f>FEBRERO!W71+MARZO!AM71</f>
        <v>0</v>
      </c>
      <c r="X71" s="20">
        <f t="shared" si="70"/>
        <v>0</v>
      </c>
      <c r="Y71" s="21">
        <f>FEBRERO!AA71</f>
        <v>0</v>
      </c>
      <c r="Z71" s="457">
        <v>0</v>
      </c>
      <c r="AA71" s="18">
        <f t="shared" si="71"/>
        <v>0</v>
      </c>
      <c r="AB71" s="21">
        <f>FEBRERO!AD71</f>
        <v>0</v>
      </c>
      <c r="AC71" s="457">
        <v>0</v>
      </c>
      <c r="AD71" s="18">
        <f t="shared" si="72"/>
        <v>0</v>
      </c>
      <c r="AE71" s="21">
        <f>FEBRERO!AG71</f>
        <v>0</v>
      </c>
      <c r="AF71" s="457">
        <v>0</v>
      </c>
      <c r="AG71" s="18">
        <f t="shared" si="73"/>
        <v>0</v>
      </c>
      <c r="AH71" s="21">
        <f t="shared" si="74"/>
        <v>0</v>
      </c>
      <c r="AI71" s="17">
        <f t="shared" si="75"/>
        <v>0</v>
      </c>
      <c r="AJ71" s="18">
        <f t="shared" si="76"/>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+IF(FEBRERO!A72=0,"",FEBRERO!A72)</f>
        <v>1130116</v>
      </c>
      <c r="B72" s="45" t="str">
        <f>+IF(FEBRERO!B72=0,"",FEBRERO!B72)</f>
        <v>ADMINISTRADORAS DE RIESGOS PROFESIONALES</v>
      </c>
      <c r="C72" s="53">
        <f t="shared" ref="C72:N72" si="77">SUM(C73:C74)</f>
        <v>17675457</v>
      </c>
      <c r="D72" s="53">
        <f t="shared" si="77"/>
        <v>0</v>
      </c>
      <c r="E72" s="53">
        <f t="shared" si="77"/>
        <v>0</v>
      </c>
      <c r="F72" s="54">
        <f t="shared" si="77"/>
        <v>17675457</v>
      </c>
      <c r="G72" s="52">
        <f t="shared" si="77"/>
        <v>4340636</v>
      </c>
      <c r="H72" s="53">
        <f t="shared" si="77"/>
        <v>1961706</v>
      </c>
      <c r="I72" s="54">
        <f t="shared" si="77"/>
        <v>6302342</v>
      </c>
      <c r="J72" s="52">
        <f t="shared" si="77"/>
        <v>2426209</v>
      </c>
      <c r="K72" s="53">
        <f t="shared" si="77"/>
        <v>1187678</v>
      </c>
      <c r="L72" s="54">
        <f t="shared" si="77"/>
        <v>3613887</v>
      </c>
      <c r="M72" s="52">
        <f t="shared" si="77"/>
        <v>11373115</v>
      </c>
      <c r="N72" s="54">
        <f t="shared" si="77"/>
        <v>14061570</v>
      </c>
      <c r="P72" s="52">
        <f>SUM(P73:P74)</f>
        <v>0</v>
      </c>
      <c r="Q72" s="54">
        <f>SUM(Q73:Q74)</f>
        <v>0</v>
      </c>
      <c r="R72" s="10"/>
      <c r="S72" s="156" t="str">
        <f>+IF(FEBRERO!S72=0,"",FEBRERO!S72)</f>
        <v>1020104-3</v>
      </c>
      <c r="T72" s="251" t="str">
        <f>+IF(FEBRERO!T72=0,"",FEBRERO!T72)</f>
        <v>Prima de Vacaciones</v>
      </c>
      <c r="U72" s="31">
        <f>+ENERO!U72</f>
        <v>37546299</v>
      </c>
      <c r="V72" s="17">
        <f>FEBRERO!V72+MARZO!AL72</f>
        <v>0</v>
      </c>
      <c r="W72" s="17">
        <f>FEBRERO!W72+MARZO!AM72</f>
        <v>0</v>
      </c>
      <c r="X72" s="20">
        <f t="shared" si="70"/>
        <v>37546299</v>
      </c>
      <c r="Y72" s="21">
        <f>FEBRERO!AA72</f>
        <v>3397150</v>
      </c>
      <c r="Z72" s="457">
        <v>2516996</v>
      </c>
      <c r="AA72" s="18">
        <f t="shared" si="71"/>
        <v>5914146</v>
      </c>
      <c r="AB72" s="21">
        <f>FEBRERO!AD72</f>
        <v>3397150</v>
      </c>
      <c r="AC72" s="457">
        <v>2516996</v>
      </c>
      <c r="AD72" s="18">
        <f t="shared" si="72"/>
        <v>5914146</v>
      </c>
      <c r="AE72" s="21">
        <f>FEBRERO!AG72</f>
        <v>3397150</v>
      </c>
      <c r="AF72" s="457">
        <v>758635</v>
      </c>
      <c r="AG72" s="18">
        <f t="shared" si="73"/>
        <v>4155785</v>
      </c>
      <c r="AH72" s="21">
        <f t="shared" si="74"/>
        <v>31632153</v>
      </c>
      <c r="AI72" s="17">
        <f t="shared" si="75"/>
        <v>31632153</v>
      </c>
      <c r="AJ72" s="18">
        <f t="shared" si="76"/>
        <v>33390514</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+IF(FEBRERO!A73=0,"",FEBRERO!A73)</f>
        <v>1130116-1</v>
      </c>
      <c r="B73" s="189" t="str">
        <f>+CONCATENATE("Vigencia ",INSTRUCCIONES!$F$3)</f>
        <v>Vigencia 2014</v>
      </c>
      <c r="C73" s="456">
        <f>+ENERO!C73</f>
        <v>13187137</v>
      </c>
      <c r="D73" s="456">
        <f>FEBRERO!D73+MARZO!P73</f>
        <v>0</v>
      </c>
      <c r="E73" s="456">
        <f>FEBRERO!E73+MARZO!Q73</f>
        <v>0</v>
      </c>
      <c r="F73" s="170">
        <f>SUM(C73:E73)</f>
        <v>13187137</v>
      </c>
      <c r="G73" s="283">
        <f>FEBRERO!I73</f>
        <v>1914427</v>
      </c>
      <c r="H73" s="457">
        <v>1835214</v>
      </c>
      <c r="I73" s="170">
        <f>SUM(G73:H73)</f>
        <v>3749641</v>
      </c>
      <c r="J73" s="283">
        <f>FEBRERO!L73</f>
        <v>0</v>
      </c>
      <c r="K73" s="457">
        <v>1061186</v>
      </c>
      <c r="L73" s="170">
        <f>SUM(J73:K73)</f>
        <v>1061186</v>
      </c>
      <c r="M73" s="283">
        <f>F73-I73</f>
        <v>9437496</v>
      </c>
      <c r="N73" s="170">
        <f>F73-L73</f>
        <v>12125951</v>
      </c>
      <c r="O73" s="467"/>
      <c r="P73" s="455">
        <v>0</v>
      </c>
      <c r="Q73" s="458">
        <v>0</v>
      </c>
      <c r="R73" s="10"/>
      <c r="S73" s="156" t="str">
        <f>+IF(FEBRERO!S73=0,"",FEBRERO!S73)</f>
        <v>1020104-4</v>
      </c>
      <c r="T73" s="251" t="str">
        <f>+IF(FEBRERO!T73=0,"",FEBRERO!T73)</f>
        <v>Prima Clima</v>
      </c>
      <c r="U73" s="31">
        <f>+ENERO!U73</f>
        <v>0</v>
      </c>
      <c r="V73" s="17">
        <f>FEBRERO!V73+MARZO!AL73</f>
        <v>0</v>
      </c>
      <c r="W73" s="17">
        <f>FEBRERO!W73+MARZO!AM73</f>
        <v>0</v>
      </c>
      <c r="X73" s="20">
        <f t="shared" si="70"/>
        <v>0</v>
      </c>
      <c r="Y73" s="21">
        <f>FEBRERO!AA73</f>
        <v>0</v>
      </c>
      <c r="Z73" s="457">
        <v>0</v>
      </c>
      <c r="AA73" s="18">
        <f t="shared" si="71"/>
        <v>0</v>
      </c>
      <c r="AB73" s="21">
        <f>FEBRERO!AD73</f>
        <v>0</v>
      </c>
      <c r="AC73" s="457">
        <v>0</v>
      </c>
      <c r="AD73" s="18">
        <f t="shared" si="72"/>
        <v>0</v>
      </c>
      <c r="AE73" s="21">
        <f>FEBRERO!AG73</f>
        <v>0</v>
      </c>
      <c r="AF73" s="457">
        <v>0</v>
      </c>
      <c r="AG73" s="18">
        <f t="shared" si="73"/>
        <v>0</v>
      </c>
      <c r="AH73" s="21">
        <f t="shared" si="74"/>
        <v>0</v>
      </c>
      <c r="AI73" s="17">
        <f t="shared" si="75"/>
        <v>0</v>
      </c>
      <c r="AJ73" s="18">
        <f t="shared" si="76"/>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+IF(FEBRERO!A74=0,"",FEBRERO!A74)</f>
        <v>1130116-2</v>
      </c>
      <c r="B74" s="189" t="str">
        <f>+IF(FEBRERO!B74=0,"",FEBRERO!B74)</f>
        <v>Vigencias Anteriores</v>
      </c>
      <c r="C74" s="456">
        <f>+ENERO!C74</f>
        <v>4488320</v>
      </c>
      <c r="D74" s="456">
        <f>FEBRERO!D74+MARZO!P74</f>
        <v>0</v>
      </c>
      <c r="E74" s="456">
        <f>FEBRERO!E74+MARZO!Q74</f>
        <v>0</v>
      </c>
      <c r="F74" s="170">
        <f>SUM(C74:E74)</f>
        <v>4488320</v>
      </c>
      <c r="G74" s="283">
        <f>FEBRERO!I74</f>
        <v>2426209</v>
      </c>
      <c r="H74" s="457">
        <v>126492</v>
      </c>
      <c r="I74" s="170">
        <f>SUM(G74:H74)</f>
        <v>2552701</v>
      </c>
      <c r="J74" s="283">
        <f>FEBRERO!L74</f>
        <v>2426209</v>
      </c>
      <c r="K74" s="457">
        <v>126492</v>
      </c>
      <c r="L74" s="170">
        <f>SUM(J74:K74)</f>
        <v>2552701</v>
      </c>
      <c r="M74" s="283">
        <f>F74-I74</f>
        <v>1935619</v>
      </c>
      <c r="N74" s="170">
        <f>F74-L74</f>
        <v>1935619</v>
      </c>
      <c r="O74" s="467"/>
      <c r="P74" s="455">
        <v>0</v>
      </c>
      <c r="Q74" s="458">
        <v>0</v>
      </c>
      <c r="R74" s="10"/>
      <c r="S74" s="156" t="str">
        <f>+IF(FEBRERO!S74=0,"",FEBRERO!S74)</f>
        <v>1020104-5</v>
      </c>
      <c r="T74" s="251" t="str">
        <f>+IF(FEBRERO!T74=0,"",FEBRERO!T74)</f>
        <v>Prima de Servicios</v>
      </c>
      <c r="U74" s="31">
        <f>+ENERO!U74</f>
        <v>5675116</v>
      </c>
      <c r="V74" s="17">
        <f>FEBRERO!V74+MARZO!AL74</f>
        <v>0</v>
      </c>
      <c r="W74" s="17">
        <f>FEBRERO!W74+MARZO!AM74</f>
        <v>0</v>
      </c>
      <c r="X74" s="20">
        <f t="shared" si="70"/>
        <v>5675116</v>
      </c>
      <c r="Y74" s="21">
        <f>FEBRERO!AA74</f>
        <v>0</v>
      </c>
      <c r="Z74" s="457">
        <v>0</v>
      </c>
      <c r="AA74" s="18">
        <f t="shared" si="71"/>
        <v>0</v>
      </c>
      <c r="AB74" s="21">
        <f>FEBRERO!AD74</f>
        <v>0</v>
      </c>
      <c r="AC74" s="457">
        <v>0</v>
      </c>
      <c r="AD74" s="18">
        <f t="shared" si="72"/>
        <v>0</v>
      </c>
      <c r="AE74" s="21">
        <f>FEBRERO!AG74</f>
        <v>0</v>
      </c>
      <c r="AF74" s="457">
        <v>0</v>
      </c>
      <c r="AG74" s="18">
        <f t="shared" si="73"/>
        <v>0</v>
      </c>
      <c r="AH74" s="21">
        <f t="shared" si="74"/>
        <v>5675116</v>
      </c>
      <c r="AI74" s="17">
        <f t="shared" si="75"/>
        <v>5675116</v>
      </c>
      <c r="AJ74" s="18">
        <f t="shared" si="76"/>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+IF(FEBRERO!A75=0,"",FEBRERO!A75)</f>
        <v>1130117</v>
      </c>
      <c r="B75" s="45" t="str">
        <f>+IF(FEBRERO!B75=0,"",FEBRERO!B75)</f>
        <v>CUOTAS DE RECUPERACION</v>
      </c>
      <c r="C75" s="53">
        <f t="shared" ref="C75:N75" si="78">SUM(C76:C77)</f>
        <v>1100000</v>
      </c>
      <c r="D75" s="53">
        <f t="shared" si="78"/>
        <v>0</v>
      </c>
      <c r="E75" s="53">
        <f t="shared" si="78"/>
        <v>0</v>
      </c>
      <c r="F75" s="54">
        <f t="shared" si="78"/>
        <v>1100000</v>
      </c>
      <c r="G75" s="52">
        <f t="shared" si="78"/>
        <v>14795490</v>
      </c>
      <c r="H75" s="53">
        <f t="shared" si="78"/>
        <v>7952569</v>
      </c>
      <c r="I75" s="54">
        <f t="shared" si="78"/>
        <v>22748059</v>
      </c>
      <c r="J75" s="52">
        <f t="shared" si="78"/>
        <v>14795490</v>
      </c>
      <c r="K75" s="53">
        <f t="shared" si="78"/>
        <v>7952569</v>
      </c>
      <c r="L75" s="54">
        <f t="shared" si="78"/>
        <v>22748059</v>
      </c>
      <c r="M75" s="52">
        <f t="shared" si="78"/>
        <v>-21648059</v>
      </c>
      <c r="N75" s="54">
        <f t="shared" si="78"/>
        <v>-21648059</v>
      </c>
      <c r="P75" s="52">
        <f>SUM(P76:P77)</f>
        <v>0</v>
      </c>
      <c r="Q75" s="54">
        <f>SUM(Q76:Q77)</f>
        <v>0</v>
      </c>
      <c r="R75" s="10"/>
      <c r="S75" s="156" t="str">
        <f>+IF(FEBRERO!S75=0,"",FEBRERO!S75)</f>
        <v>1020104-8</v>
      </c>
      <c r="T75" s="251" t="str">
        <f>+IF(FEBRERO!T75=0,"",FEBRERO!T75)</f>
        <v>Bonific. por Servicios Prestados (Convencional)</v>
      </c>
      <c r="U75" s="31">
        <f>+ENERO!U75</f>
        <v>0</v>
      </c>
      <c r="V75" s="17">
        <f>FEBRERO!V75+MARZO!AL75</f>
        <v>0</v>
      </c>
      <c r="W75" s="17">
        <f>FEBRERO!W75+MARZO!AM75</f>
        <v>0</v>
      </c>
      <c r="X75" s="20">
        <f t="shared" si="70"/>
        <v>0</v>
      </c>
      <c r="Y75" s="21">
        <f>FEBRERO!AA75</f>
        <v>0</v>
      </c>
      <c r="Z75" s="457">
        <v>0</v>
      </c>
      <c r="AA75" s="18">
        <f t="shared" si="71"/>
        <v>0</v>
      </c>
      <c r="AB75" s="21">
        <f>FEBRERO!AD75</f>
        <v>0</v>
      </c>
      <c r="AC75" s="457">
        <v>0</v>
      </c>
      <c r="AD75" s="18">
        <f t="shared" si="72"/>
        <v>0</v>
      </c>
      <c r="AE75" s="21">
        <f>FEBRERO!AG75</f>
        <v>0</v>
      </c>
      <c r="AF75" s="457">
        <v>0</v>
      </c>
      <c r="AG75" s="18">
        <f t="shared" si="73"/>
        <v>0</v>
      </c>
      <c r="AH75" s="21">
        <f t="shared" si="74"/>
        <v>0</v>
      </c>
      <c r="AI75" s="17">
        <f t="shared" si="75"/>
        <v>0</v>
      </c>
      <c r="AJ75" s="18">
        <f t="shared" si="76"/>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+IF(FEBRERO!A76=0,"",FEBRERO!A76)</f>
        <v>1130117-1</v>
      </c>
      <c r="B76" s="189" t="str">
        <f>+CONCATENATE("Vigencia ",INSTRUCCIONES!$F$3)</f>
        <v>Vigencia 2014</v>
      </c>
      <c r="C76" s="456">
        <f>+ENERO!C76</f>
        <v>1100000</v>
      </c>
      <c r="D76" s="456">
        <f>FEBRERO!D76+MARZO!P76</f>
        <v>0</v>
      </c>
      <c r="E76" s="456">
        <f>FEBRERO!E76+MARZO!Q76</f>
        <v>0</v>
      </c>
      <c r="F76" s="170">
        <f t="shared" ref="F76:F83" si="79">SUM(C76:E76)</f>
        <v>1100000</v>
      </c>
      <c r="G76" s="283">
        <f>FEBRERO!I76</f>
        <v>14795490</v>
      </c>
      <c r="H76" s="457">
        <v>7952569</v>
      </c>
      <c r="I76" s="170">
        <f t="shared" ref="I76:I83" si="80">SUM(G76:H76)</f>
        <v>22748059</v>
      </c>
      <c r="J76" s="283">
        <f>FEBRERO!L76</f>
        <v>14795490</v>
      </c>
      <c r="K76" s="457">
        <v>7952569</v>
      </c>
      <c r="L76" s="170">
        <f t="shared" ref="L76:L83" si="81">SUM(J76:K76)</f>
        <v>22748059</v>
      </c>
      <c r="M76" s="283">
        <f t="shared" ref="M76:M83" si="82">F76-I76</f>
        <v>-21648059</v>
      </c>
      <c r="N76" s="170">
        <f t="shared" ref="N76:N83" si="83">F76-L76</f>
        <v>-21648059</v>
      </c>
      <c r="O76" s="467"/>
      <c r="P76" s="455">
        <v>0</v>
      </c>
      <c r="Q76" s="458">
        <v>0</v>
      </c>
      <c r="R76" s="10"/>
      <c r="S76" s="156" t="str">
        <f>+IF(FEBRERO!S76=0,"",FEBRERO!S76)</f>
        <v>1020104-9</v>
      </c>
      <c r="T76" s="251" t="str">
        <f>+IF(FEBRERO!T76=0,"",FEBRERO!T76)</f>
        <v>Auxilio de Transporte</v>
      </c>
      <c r="U76" s="31">
        <f>+ENERO!U76</f>
        <v>0</v>
      </c>
      <c r="V76" s="17">
        <f>FEBRERO!V76+MARZO!AL76</f>
        <v>0</v>
      </c>
      <c r="W76" s="17">
        <f>FEBRERO!W76+MARZO!AM76</f>
        <v>0</v>
      </c>
      <c r="X76" s="20">
        <f t="shared" si="70"/>
        <v>0</v>
      </c>
      <c r="Y76" s="21">
        <f>FEBRERO!AA76</f>
        <v>0</v>
      </c>
      <c r="Z76" s="457">
        <v>0</v>
      </c>
      <c r="AA76" s="18">
        <f t="shared" si="71"/>
        <v>0</v>
      </c>
      <c r="AB76" s="21">
        <f>FEBRERO!AD76</f>
        <v>0</v>
      </c>
      <c r="AC76" s="457">
        <v>0</v>
      </c>
      <c r="AD76" s="18">
        <f t="shared" si="72"/>
        <v>0</v>
      </c>
      <c r="AE76" s="21">
        <f>FEBRERO!AG76</f>
        <v>0</v>
      </c>
      <c r="AF76" s="457">
        <v>0</v>
      </c>
      <c r="AG76" s="18">
        <f t="shared" si="73"/>
        <v>0</v>
      </c>
      <c r="AH76" s="21">
        <f t="shared" si="74"/>
        <v>0</v>
      </c>
      <c r="AI76" s="17">
        <f t="shared" si="75"/>
        <v>0</v>
      </c>
      <c r="AJ76" s="18">
        <f t="shared" si="76"/>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+IF(FEBRERO!A77=0,"",FEBRERO!A77)</f>
        <v>1130117-2</v>
      </c>
      <c r="B77" s="189" t="str">
        <f>+IF(FEBRERO!B77=0,"",FEBRERO!B77)</f>
        <v>Vigencias Anteriores</v>
      </c>
      <c r="C77" s="456">
        <f>+ENERO!C77</f>
        <v>0</v>
      </c>
      <c r="D77" s="456">
        <f>FEBRERO!D77+MARZO!P77</f>
        <v>0</v>
      </c>
      <c r="E77" s="456">
        <f>FEBRERO!E77+MARZO!Q77</f>
        <v>0</v>
      </c>
      <c r="F77" s="170">
        <f t="shared" si="79"/>
        <v>0</v>
      </c>
      <c r="G77" s="283">
        <f>FEBRERO!I77</f>
        <v>0</v>
      </c>
      <c r="H77" s="457">
        <v>0</v>
      </c>
      <c r="I77" s="170">
        <f t="shared" si="80"/>
        <v>0</v>
      </c>
      <c r="J77" s="283">
        <f>FEBRERO!L77</f>
        <v>0</v>
      </c>
      <c r="K77" s="457">
        <v>0</v>
      </c>
      <c r="L77" s="170">
        <f t="shared" si="81"/>
        <v>0</v>
      </c>
      <c r="M77" s="283">
        <f t="shared" si="82"/>
        <v>0</v>
      </c>
      <c r="N77" s="170">
        <f t="shared" si="83"/>
        <v>0</v>
      </c>
      <c r="O77" s="467"/>
      <c r="P77" s="455">
        <v>0</v>
      </c>
      <c r="Q77" s="458">
        <v>0</v>
      </c>
      <c r="R77" s="10"/>
      <c r="S77" s="156" t="str">
        <f>+IF(FEBRERO!S77=0,"",FEBRERO!S77)</f>
        <v>1020104-10</v>
      </c>
      <c r="T77" s="251" t="str">
        <f>+IF(FEBRERO!T77=0,"",FEBRERO!T77)</f>
        <v>Subsidio de Alimentación</v>
      </c>
      <c r="U77" s="31">
        <f>+ENERO!U77</f>
        <v>3859093</v>
      </c>
      <c r="V77" s="17">
        <f>FEBRERO!V77+MARZO!AL77</f>
        <v>0</v>
      </c>
      <c r="W77" s="17">
        <f>FEBRERO!W77+MARZO!AM77</f>
        <v>0</v>
      </c>
      <c r="X77" s="20">
        <f t="shared" si="70"/>
        <v>3859093</v>
      </c>
      <c r="Y77" s="21">
        <f>FEBRERO!AA77</f>
        <v>612814</v>
      </c>
      <c r="Z77" s="457">
        <v>161672</v>
      </c>
      <c r="AA77" s="18">
        <f t="shared" si="71"/>
        <v>774486</v>
      </c>
      <c r="AB77" s="21">
        <f>FEBRERO!AD77</f>
        <v>612814</v>
      </c>
      <c r="AC77" s="457">
        <v>161672</v>
      </c>
      <c r="AD77" s="18">
        <f t="shared" si="72"/>
        <v>774486</v>
      </c>
      <c r="AE77" s="21">
        <f>FEBRERO!AG77</f>
        <v>612814</v>
      </c>
      <c r="AF77" s="457">
        <v>161672</v>
      </c>
      <c r="AG77" s="18">
        <f t="shared" si="73"/>
        <v>774486</v>
      </c>
      <c r="AH77" s="21">
        <f t="shared" si="74"/>
        <v>3084607</v>
      </c>
      <c r="AI77" s="17">
        <f t="shared" si="75"/>
        <v>3084607</v>
      </c>
      <c r="AJ77" s="18">
        <f t="shared" si="76"/>
        <v>3084607</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+IF(FEBRERO!A78=0,"",FEBRERO!A78)</f>
        <v>1130118</v>
      </c>
      <c r="B78" s="45" t="str">
        <f>+IF(FEBRERO!B78=0,"",FEBRERO!B78)</f>
        <v>PARTICULARES   (Venta de Contado)</v>
      </c>
      <c r="C78" s="53">
        <f>SUM(C79:C80)</f>
        <v>81679743</v>
      </c>
      <c r="D78" s="53">
        <f>SUM(D79:D80)</f>
        <v>0</v>
      </c>
      <c r="E78" s="53">
        <f>SUM(E79:E80)</f>
        <v>0</v>
      </c>
      <c r="F78" s="54">
        <f t="shared" si="79"/>
        <v>81679743</v>
      </c>
      <c r="G78" s="52">
        <f>SUM(G79:G80)</f>
        <v>2863888</v>
      </c>
      <c r="H78" s="53">
        <f>SUM(H79:H80)</f>
        <v>1935087</v>
      </c>
      <c r="I78" s="54">
        <f t="shared" si="80"/>
        <v>4798975</v>
      </c>
      <c r="J78" s="52">
        <f>SUM(J79:J80)</f>
        <v>2403784</v>
      </c>
      <c r="K78" s="53">
        <f>SUM(K79:K80)</f>
        <v>1959547</v>
      </c>
      <c r="L78" s="54">
        <f t="shared" si="81"/>
        <v>4363331</v>
      </c>
      <c r="M78" s="52">
        <f t="shared" si="82"/>
        <v>76880768</v>
      </c>
      <c r="N78" s="54">
        <f t="shared" si="83"/>
        <v>77316412</v>
      </c>
      <c r="O78" s="467"/>
      <c r="P78" s="52">
        <f>SUM(P79:P80)</f>
        <v>0</v>
      </c>
      <c r="Q78" s="54">
        <f>SUM(Q79:Q80)</f>
        <v>0</v>
      </c>
      <c r="R78" s="10"/>
      <c r="S78" s="156" t="str">
        <f>+IF(FEBRERO!S78=0,"",FEBRERO!S78)</f>
        <v>1020104-12</v>
      </c>
      <c r="T78" s="251" t="str">
        <f>+IF(FEBRERO!T78=0,"",FEBRERO!T78)</f>
        <v>Indemnizaciones por Vacaciones o Supresión de Cargos por Reestructuración</v>
      </c>
      <c r="U78" s="31">
        <f>+ENERO!U78</f>
        <v>0</v>
      </c>
      <c r="V78" s="17">
        <f>FEBRERO!V78+MARZO!AL78</f>
        <v>0</v>
      </c>
      <c r="W78" s="17">
        <f>FEBRERO!W78+MARZO!AM78</f>
        <v>0</v>
      </c>
      <c r="X78" s="20">
        <f t="shared" si="70"/>
        <v>0</v>
      </c>
      <c r="Y78" s="21">
        <f>FEBRERO!AA78</f>
        <v>0</v>
      </c>
      <c r="Z78" s="457">
        <v>0</v>
      </c>
      <c r="AA78" s="18">
        <f t="shared" si="71"/>
        <v>0</v>
      </c>
      <c r="AB78" s="21">
        <f>FEBRERO!AD78</f>
        <v>0</v>
      </c>
      <c r="AC78" s="457">
        <v>0</v>
      </c>
      <c r="AD78" s="18">
        <f t="shared" si="72"/>
        <v>0</v>
      </c>
      <c r="AE78" s="21">
        <f>FEBRERO!AG78</f>
        <v>0</v>
      </c>
      <c r="AF78" s="457">
        <v>0</v>
      </c>
      <c r="AG78" s="18">
        <f t="shared" si="73"/>
        <v>0</v>
      </c>
      <c r="AH78" s="21">
        <f t="shared" si="74"/>
        <v>0</v>
      </c>
      <c r="AI78" s="17">
        <f t="shared" si="75"/>
        <v>0</v>
      </c>
      <c r="AJ78" s="18">
        <f t="shared" si="76"/>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+IF(FEBRERO!A79=0,"",FEBRERO!A79)</f>
        <v>1130118-1</v>
      </c>
      <c r="B79" s="189" t="str">
        <f>+CONCATENATE("Vigencia ",INSTRUCCIONES!$F$3)</f>
        <v>Vigencia 2014</v>
      </c>
      <c r="C79" s="456">
        <f>+ENERO!C79</f>
        <v>81679743</v>
      </c>
      <c r="D79" s="456">
        <f>FEBRERO!D79+MARZO!P79</f>
        <v>0</v>
      </c>
      <c r="E79" s="456">
        <f>FEBRERO!E79+MARZO!Q79</f>
        <v>0</v>
      </c>
      <c r="F79" s="170">
        <f t="shared" si="79"/>
        <v>81679743</v>
      </c>
      <c r="G79" s="283">
        <f>FEBRERO!I79</f>
        <v>2863888</v>
      </c>
      <c r="H79" s="457">
        <v>1935087</v>
      </c>
      <c r="I79" s="170">
        <f t="shared" si="80"/>
        <v>4798975</v>
      </c>
      <c r="J79" s="283">
        <f>FEBRERO!L79</f>
        <v>2403784</v>
      </c>
      <c r="K79" s="457">
        <v>1959547</v>
      </c>
      <c r="L79" s="170">
        <f t="shared" si="81"/>
        <v>4363331</v>
      </c>
      <c r="M79" s="283">
        <f t="shared" si="82"/>
        <v>76880768</v>
      </c>
      <c r="N79" s="170">
        <f t="shared" si="83"/>
        <v>77316412</v>
      </c>
      <c r="P79" s="455">
        <v>0</v>
      </c>
      <c r="Q79" s="458">
        <v>0</v>
      </c>
      <c r="R79" s="10"/>
      <c r="S79" s="156" t="str">
        <f>+IF(FEBRERO!S79=0,"",FEBRERO!S79)</f>
        <v>1020104-13</v>
      </c>
      <c r="T79" s="251" t="str">
        <f>+IF(FEBRERO!T79=0,"",FEBRERO!T79)</f>
        <v>Bonificación Especial por Recreación</v>
      </c>
      <c r="U79" s="31">
        <f>+ENERO!U79</f>
        <v>5006173</v>
      </c>
      <c r="V79" s="17">
        <f>FEBRERO!V79+MARZO!AL79</f>
        <v>0</v>
      </c>
      <c r="W79" s="17">
        <f>FEBRERO!W79+MARZO!AM79</f>
        <v>0</v>
      </c>
      <c r="X79" s="20">
        <f t="shared" si="70"/>
        <v>5006173</v>
      </c>
      <c r="Y79" s="21">
        <f>FEBRERO!AA79</f>
        <v>448076</v>
      </c>
      <c r="Z79" s="457">
        <v>335600</v>
      </c>
      <c r="AA79" s="18">
        <f t="shared" si="71"/>
        <v>783676</v>
      </c>
      <c r="AB79" s="21">
        <f>FEBRERO!AD79</f>
        <v>448076</v>
      </c>
      <c r="AC79" s="457">
        <v>335600</v>
      </c>
      <c r="AD79" s="18">
        <f t="shared" si="72"/>
        <v>783676</v>
      </c>
      <c r="AE79" s="21">
        <f>FEBRERO!AG79</f>
        <v>448076</v>
      </c>
      <c r="AF79" s="457">
        <v>101152</v>
      </c>
      <c r="AG79" s="18">
        <f t="shared" si="73"/>
        <v>549228</v>
      </c>
      <c r="AH79" s="21">
        <f t="shared" si="74"/>
        <v>4222497</v>
      </c>
      <c r="AI79" s="17">
        <f t="shared" si="75"/>
        <v>4222497</v>
      </c>
      <c r="AJ79" s="18">
        <f t="shared" si="76"/>
        <v>4456945</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+IF(FEBRERO!A80=0,"",FEBRERO!A80)</f>
        <v>1130118-2</v>
      </c>
      <c r="B80" s="189" t="str">
        <f>+IF(FEBRERO!B80=0,"",FEBRERO!B80)</f>
        <v>Vigencias Anteriores</v>
      </c>
      <c r="C80" s="456">
        <f>+ENERO!C80</f>
        <v>0</v>
      </c>
      <c r="D80" s="456">
        <f>FEBRERO!D80+MARZO!P80</f>
        <v>0</v>
      </c>
      <c r="E80" s="456">
        <f>FEBRERO!E80+MARZO!Q80</f>
        <v>0</v>
      </c>
      <c r="F80" s="170">
        <f t="shared" si="79"/>
        <v>0</v>
      </c>
      <c r="G80" s="283">
        <f>FEBRERO!I80</f>
        <v>0</v>
      </c>
      <c r="H80" s="457">
        <v>0</v>
      </c>
      <c r="I80" s="170">
        <f t="shared" si="80"/>
        <v>0</v>
      </c>
      <c r="J80" s="283">
        <f>FEBRERO!L80</f>
        <v>0</v>
      </c>
      <c r="K80" s="457">
        <v>0</v>
      </c>
      <c r="L80" s="170">
        <f t="shared" si="81"/>
        <v>0</v>
      </c>
      <c r="M80" s="283">
        <f t="shared" si="82"/>
        <v>0</v>
      </c>
      <c r="N80" s="170">
        <f t="shared" si="83"/>
        <v>0</v>
      </c>
      <c r="O80" s="467"/>
      <c r="P80" s="455">
        <v>0</v>
      </c>
      <c r="Q80" s="458">
        <v>0</v>
      </c>
      <c r="S80" s="156" t="str">
        <f>+IF(FEBRERO!S80=0,"",FEBRERO!S80)</f>
        <v>1020104-14</v>
      </c>
      <c r="T80" s="251" t="str">
        <f>+IF(FEBRERO!T80=0,"",FEBRERO!T80)</f>
        <v/>
      </c>
      <c r="U80" s="31">
        <f>+ENERO!U80</f>
        <v>0</v>
      </c>
      <c r="V80" s="17">
        <f>FEBRERO!V80+MARZO!AL80</f>
        <v>0</v>
      </c>
      <c r="W80" s="17">
        <f>FEBRERO!W80+MARZO!AM80</f>
        <v>0</v>
      </c>
      <c r="X80" s="20">
        <f t="shared" si="70"/>
        <v>0</v>
      </c>
      <c r="Y80" s="21">
        <f>FEBRERO!AA80</f>
        <v>0</v>
      </c>
      <c r="Z80" s="457">
        <v>0</v>
      </c>
      <c r="AA80" s="18">
        <f t="shared" si="71"/>
        <v>0</v>
      </c>
      <c r="AB80" s="21">
        <f>FEBRERO!AD80</f>
        <v>0</v>
      </c>
      <c r="AC80" s="457">
        <v>0</v>
      </c>
      <c r="AD80" s="18">
        <f t="shared" si="72"/>
        <v>0</v>
      </c>
      <c r="AE80" s="21">
        <f>FEBRERO!AG80</f>
        <v>0</v>
      </c>
      <c r="AF80" s="457">
        <v>0</v>
      </c>
      <c r="AG80" s="18">
        <f t="shared" si="73"/>
        <v>0</v>
      </c>
      <c r="AH80" s="21">
        <f t="shared" si="74"/>
        <v>0</v>
      </c>
      <c r="AI80" s="17">
        <f t="shared" si="75"/>
        <v>0</v>
      </c>
      <c r="AJ80" s="18">
        <f t="shared" si="76"/>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+IF(FEBRERO!A81=0,"",FEBRERO!A81)</f>
        <v>1130119</v>
      </c>
      <c r="B81" s="45" t="str">
        <f>+IF(FEBRERO!B81=0,"",FEBRERO!B81)</f>
        <v>Digitar nombre de Nuevo Rubro. Si lo Requiere</v>
      </c>
      <c r="C81" s="53">
        <f>ENERO!C81</f>
        <v>0</v>
      </c>
      <c r="D81" s="53">
        <f t="shared" ref="D81:Q81" si="84">SUM(D82:D83)</f>
        <v>0</v>
      </c>
      <c r="E81" s="53">
        <f t="shared" si="84"/>
        <v>0</v>
      </c>
      <c r="F81" s="54">
        <f t="shared" si="84"/>
        <v>0</v>
      </c>
      <c r="G81" s="52">
        <f t="shared" si="84"/>
        <v>0</v>
      </c>
      <c r="H81" s="53">
        <f t="shared" si="84"/>
        <v>0</v>
      </c>
      <c r="I81" s="54">
        <f t="shared" si="84"/>
        <v>0</v>
      </c>
      <c r="J81" s="52">
        <f t="shared" si="84"/>
        <v>0</v>
      </c>
      <c r="K81" s="53">
        <f t="shared" si="84"/>
        <v>0</v>
      </c>
      <c r="L81" s="54">
        <f t="shared" si="84"/>
        <v>0</v>
      </c>
      <c r="M81" s="52">
        <f t="shared" si="84"/>
        <v>0</v>
      </c>
      <c r="N81" s="54">
        <f t="shared" si="84"/>
        <v>0</v>
      </c>
      <c r="P81" s="52">
        <f t="shared" si="84"/>
        <v>0</v>
      </c>
      <c r="Q81" s="54">
        <f t="shared" si="84"/>
        <v>0</v>
      </c>
      <c r="R81" s="10"/>
      <c r="S81" s="155">
        <f>+IF(FEBRERO!S81=0,"",FEBRERO!S81)</f>
        <v>1020199</v>
      </c>
      <c r="T81" s="238" t="str">
        <f>+IF(FEBRERO!T81=0,"",FEBRERO!T81)</f>
        <v>Vigencias Anteriores</v>
      </c>
      <c r="U81" s="31">
        <f>+ENERO!U81</f>
        <v>8738114</v>
      </c>
      <c r="V81" s="17">
        <f>FEBRERO!V81+MARZO!AL81</f>
        <v>5657703</v>
      </c>
      <c r="W81" s="17">
        <f>FEBRERO!W81+MARZO!AM81</f>
        <v>8749212</v>
      </c>
      <c r="X81" s="20">
        <f t="shared" si="70"/>
        <v>23145029</v>
      </c>
      <c r="Y81" s="21">
        <f>FEBRERO!AA81</f>
        <v>22680029</v>
      </c>
      <c r="Z81" s="457">
        <v>0</v>
      </c>
      <c r="AA81" s="18">
        <f t="shared" si="71"/>
        <v>22680029</v>
      </c>
      <c r="AB81" s="21">
        <f>FEBRERO!AD81</f>
        <v>22680029</v>
      </c>
      <c r="AC81" s="457">
        <v>0</v>
      </c>
      <c r="AD81" s="18">
        <f t="shared" si="72"/>
        <v>22680029</v>
      </c>
      <c r="AE81" s="21">
        <f>FEBRERO!AG81</f>
        <v>21699687</v>
      </c>
      <c r="AF81" s="457">
        <v>0</v>
      </c>
      <c r="AG81" s="18">
        <f t="shared" si="73"/>
        <v>21699687</v>
      </c>
      <c r="AH81" s="21">
        <f t="shared" si="74"/>
        <v>465000</v>
      </c>
      <c r="AI81" s="17">
        <f t="shared" si="75"/>
        <v>465000</v>
      </c>
      <c r="AJ81" s="18">
        <f t="shared" si="76"/>
        <v>1445342</v>
      </c>
      <c r="AK81" s="10"/>
      <c r="AL81" s="455">
        <v>0</v>
      </c>
      <c r="AM81" s="458">
        <v>465000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+IF(FEBRERO!A82=0,"",FEBRERO!A82)</f>
        <v>1130119-1</v>
      </c>
      <c r="B82" s="189" t="str">
        <f>+CONCATENATE("Vigencia ",INSTRUCCIONES!$F$3)</f>
        <v>Vigencia 2014</v>
      </c>
      <c r="C82" s="456">
        <f>+ENERO!C82</f>
        <v>0</v>
      </c>
      <c r="D82" s="456">
        <f>FEBRERO!D82+MARZO!P82</f>
        <v>0</v>
      </c>
      <c r="E82" s="456">
        <f>FEBRERO!E82+MARZO!Q82</f>
        <v>0</v>
      </c>
      <c r="F82" s="170">
        <f t="shared" si="79"/>
        <v>0</v>
      </c>
      <c r="G82" s="283">
        <f>FEBRERO!I82</f>
        <v>0</v>
      </c>
      <c r="H82" s="457">
        <v>0</v>
      </c>
      <c r="I82" s="170">
        <f t="shared" si="80"/>
        <v>0</v>
      </c>
      <c r="J82" s="283">
        <f>FEBRERO!L82</f>
        <v>0</v>
      </c>
      <c r="K82" s="457">
        <v>0</v>
      </c>
      <c r="L82" s="170">
        <f t="shared" si="81"/>
        <v>0</v>
      </c>
      <c r="M82" s="283">
        <f t="shared" si="82"/>
        <v>0</v>
      </c>
      <c r="N82" s="170">
        <f t="shared" si="83"/>
        <v>0</v>
      </c>
      <c r="P82" s="455">
        <v>0</v>
      </c>
      <c r="Q82" s="458">
        <v>0</v>
      </c>
      <c r="R82" s="10"/>
      <c r="S82" s="448" t="str">
        <f>+IF(FEBRERO!S82=0,"",FEBRERO!S82)</f>
        <v/>
      </c>
      <c r="T82" s="649" t="str">
        <f>+IF(FEBRERO!T82=0,"",FEBRERO!T82)</f>
        <v/>
      </c>
      <c r="U82" s="450"/>
      <c r="V82" s="193"/>
      <c r="W82" s="193"/>
      <c r="X82" s="193"/>
      <c r="Y82" s="450"/>
      <c r="Z82" s="193"/>
      <c r="AA82" s="207"/>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+IF(FEBRERO!A83=0,"",FEBRERO!A83)</f>
        <v>1130119-2</v>
      </c>
      <c r="B83" s="189" t="str">
        <f>+IF(FEBRERO!B83=0,"",FEBRERO!B83)</f>
        <v>Vigencias Anteriores</v>
      </c>
      <c r="C83" s="456">
        <f>+ENERO!C83</f>
        <v>0</v>
      </c>
      <c r="D83" s="456">
        <f>FEBRERO!D83+MARZO!P83</f>
        <v>0</v>
      </c>
      <c r="E83" s="456">
        <f>FEBRERO!E83+MARZO!Q83</f>
        <v>0</v>
      </c>
      <c r="F83" s="170">
        <f t="shared" si="79"/>
        <v>0</v>
      </c>
      <c r="G83" s="283">
        <f>FEBRERO!I83</f>
        <v>0</v>
      </c>
      <c r="H83" s="457">
        <v>0</v>
      </c>
      <c r="I83" s="170">
        <f t="shared" si="80"/>
        <v>0</v>
      </c>
      <c r="J83" s="283">
        <f>FEBRERO!L83</f>
        <v>0</v>
      </c>
      <c r="K83" s="457">
        <v>0</v>
      </c>
      <c r="L83" s="170">
        <f t="shared" si="81"/>
        <v>0</v>
      </c>
      <c r="M83" s="283">
        <f t="shared" si="82"/>
        <v>0</v>
      </c>
      <c r="N83" s="170">
        <f t="shared" si="83"/>
        <v>0</v>
      </c>
      <c r="P83" s="455">
        <v>0</v>
      </c>
      <c r="Q83" s="458">
        <v>0</v>
      </c>
      <c r="R83" s="10"/>
      <c r="S83" s="34">
        <f>+IF(FEBRERO!S83=0,"",FEBRERO!S83)</f>
        <v>1020200</v>
      </c>
      <c r="T83" s="237" t="str">
        <f>+IF(FEBRERO!T83=0,"",FEBRERO!T83)</f>
        <v>Servicios Personales Indirectos</v>
      </c>
      <c r="U83" s="151">
        <f t="shared" ref="U83:AJ83" si="85">SUM(U84:U88)</f>
        <v>71000000</v>
      </c>
      <c r="V83" s="144">
        <f t="shared" si="85"/>
        <v>0</v>
      </c>
      <c r="W83" s="144">
        <f t="shared" si="85"/>
        <v>4687311</v>
      </c>
      <c r="X83" s="152">
        <f t="shared" si="85"/>
        <v>75687311</v>
      </c>
      <c r="Y83" s="151">
        <f t="shared" si="85"/>
        <v>15869018</v>
      </c>
      <c r="Z83" s="144">
        <f t="shared" si="85"/>
        <v>3663951</v>
      </c>
      <c r="AA83" s="153">
        <f t="shared" si="85"/>
        <v>19532969</v>
      </c>
      <c r="AB83" s="151">
        <f t="shared" si="85"/>
        <v>15868218</v>
      </c>
      <c r="AC83" s="144">
        <f t="shared" si="85"/>
        <v>3663951</v>
      </c>
      <c r="AD83" s="153">
        <f t="shared" si="85"/>
        <v>19532169</v>
      </c>
      <c r="AE83" s="151">
        <f t="shared" si="85"/>
        <v>10203911</v>
      </c>
      <c r="AF83" s="144">
        <f t="shared" si="85"/>
        <v>4617626</v>
      </c>
      <c r="AG83" s="153">
        <f t="shared" si="85"/>
        <v>14821537</v>
      </c>
      <c r="AH83" s="151">
        <f t="shared" si="85"/>
        <v>56154342</v>
      </c>
      <c r="AI83" s="144">
        <f t="shared" si="85"/>
        <v>56155142</v>
      </c>
      <c r="AJ83" s="153">
        <f t="shared" si="85"/>
        <v>60865774</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+IF(FEBRERO!A84=0,"",FEBRERO!A84)</f>
        <v/>
      </c>
      <c r="B84" s="557" t="str">
        <f>+IF(FEBRERO!B84=0,"",FEBRERO!B84)</f>
        <v/>
      </c>
      <c r="C84" s="495"/>
      <c r="D84" s="495"/>
      <c r="E84" s="495"/>
      <c r="F84" s="495"/>
      <c r="G84" s="495"/>
      <c r="H84" s="495"/>
      <c r="I84" s="495"/>
      <c r="J84" s="495"/>
      <c r="K84" s="495"/>
      <c r="L84" s="495"/>
      <c r="M84" s="495"/>
      <c r="N84" s="496"/>
      <c r="P84" s="497"/>
      <c r="Q84" s="496"/>
      <c r="R84" s="10"/>
      <c r="S84" s="155" t="str">
        <f>+IF(FEBRERO!S84=0,"",FEBRERO!S84)</f>
        <v>1020200-1</v>
      </c>
      <c r="T84" s="238" t="str">
        <f>+IF(FEBRERO!T84=0,"",FEBRERO!T84)</f>
        <v>Remuneración y Honorarios por Servicios Técnicos y Profesionales</v>
      </c>
      <c r="U84" s="31">
        <f>+ENERO!U84</f>
        <v>20000000</v>
      </c>
      <c r="V84" s="17">
        <f>FEBRERO!V84+MARZO!AL84</f>
        <v>0</v>
      </c>
      <c r="W84" s="17">
        <f>FEBRERO!W84+MARZO!AM84</f>
        <v>0</v>
      </c>
      <c r="X84" s="20">
        <f>SUM(U84:W84)</f>
        <v>20000000</v>
      </c>
      <c r="Y84" s="21">
        <f>FEBRERO!AA84</f>
        <v>2808029</v>
      </c>
      <c r="Z84" s="457">
        <v>1349980</v>
      </c>
      <c r="AA84" s="18">
        <f>SUM(Y84:Z84)</f>
        <v>4158009</v>
      </c>
      <c r="AB84" s="21">
        <f>FEBRERO!AD84</f>
        <v>2808029</v>
      </c>
      <c r="AC84" s="457">
        <v>1349980</v>
      </c>
      <c r="AD84" s="18">
        <f>SUM(AB84:AC84)</f>
        <v>4158009</v>
      </c>
      <c r="AE84" s="21">
        <f>FEBRERO!AG84</f>
        <v>0</v>
      </c>
      <c r="AF84" s="457">
        <v>1310477</v>
      </c>
      <c r="AG84" s="18">
        <f>SUM(AE84:AF84)</f>
        <v>1310477</v>
      </c>
      <c r="AH84" s="21">
        <f>X84-AA84</f>
        <v>15841991</v>
      </c>
      <c r="AI84" s="17">
        <f>X84-AD84</f>
        <v>15841991</v>
      </c>
      <c r="AJ84" s="18">
        <f>X84-AG84</f>
        <v>18689523</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+IF(FEBRERO!A85=0,"",FEBRERO!A85)</f>
        <v>11302</v>
      </c>
      <c r="B85" s="460" t="str">
        <f>+IF(FEBRERO!B85=0,"",FEBRERO!B85)</f>
        <v>Venta de Otros Bienes y Servicios</v>
      </c>
      <c r="C85" s="559">
        <f t="shared" ref="C85:N85" si="86">SUM(C86:C93)</f>
        <v>115179029</v>
      </c>
      <c r="D85" s="559">
        <f t="shared" si="86"/>
        <v>0</v>
      </c>
      <c r="E85" s="559">
        <f t="shared" si="86"/>
        <v>0</v>
      </c>
      <c r="F85" s="560">
        <f t="shared" si="86"/>
        <v>115179029</v>
      </c>
      <c r="G85" s="558">
        <f t="shared" si="86"/>
        <v>63896129</v>
      </c>
      <c r="H85" s="559">
        <f t="shared" si="86"/>
        <v>3468999</v>
      </c>
      <c r="I85" s="560">
        <f t="shared" si="86"/>
        <v>67365128</v>
      </c>
      <c r="J85" s="558">
        <f t="shared" si="86"/>
        <v>63896129</v>
      </c>
      <c r="K85" s="559">
        <f t="shared" si="86"/>
        <v>3468999</v>
      </c>
      <c r="L85" s="560">
        <f t="shared" si="86"/>
        <v>67365128</v>
      </c>
      <c r="M85" s="558">
        <f t="shared" si="86"/>
        <v>47813901</v>
      </c>
      <c r="N85" s="560">
        <f t="shared" si="86"/>
        <v>47813901</v>
      </c>
      <c r="P85" s="52">
        <f>SUM(P86:P93)</f>
        <v>0</v>
      </c>
      <c r="Q85" s="54">
        <f>SUM(Q86:Q93)</f>
        <v>0</v>
      </c>
      <c r="R85" s="10"/>
      <c r="S85" s="155" t="str">
        <f>+IF(FEBRERO!S85=0,"",FEBRERO!S85)</f>
        <v>1020200-2</v>
      </c>
      <c r="T85" s="238" t="str">
        <f>+IF(FEBRERO!T85=0,"",FEBRERO!T85)</f>
        <v>Personal Supernumerario</v>
      </c>
      <c r="U85" s="31">
        <f>+ENERO!U85</f>
        <v>22000000</v>
      </c>
      <c r="V85" s="17">
        <f>FEBRERO!V85+MARZO!AL85</f>
        <v>0</v>
      </c>
      <c r="W85" s="17">
        <f>FEBRERO!W85+MARZO!AM85</f>
        <v>0</v>
      </c>
      <c r="X85" s="20">
        <f>SUM(U85:W85)</f>
        <v>22000000</v>
      </c>
      <c r="Y85" s="21">
        <f>FEBRERO!AA85</f>
        <v>414978</v>
      </c>
      <c r="Z85" s="457">
        <v>1175771</v>
      </c>
      <c r="AA85" s="18">
        <f>SUM(Y85:Z85)</f>
        <v>1590749</v>
      </c>
      <c r="AB85" s="21">
        <f>FEBRERO!AD85</f>
        <v>414978</v>
      </c>
      <c r="AC85" s="457">
        <v>1175771</v>
      </c>
      <c r="AD85" s="18">
        <f>SUM(AB85:AC85)</f>
        <v>1590749</v>
      </c>
      <c r="AE85" s="21">
        <f>FEBRERO!AG85</f>
        <v>0</v>
      </c>
      <c r="AF85" s="457">
        <v>1590749</v>
      </c>
      <c r="AG85" s="18">
        <f>SUM(AE85:AF85)</f>
        <v>1590749</v>
      </c>
      <c r="AH85" s="21">
        <f>X85-AA85</f>
        <v>20409251</v>
      </c>
      <c r="AI85" s="17">
        <f>X85-AD85</f>
        <v>20409251</v>
      </c>
      <c r="AJ85" s="18">
        <f>X85-AG85</f>
        <v>20409251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+IF(FEBRERO!A86=0,"",FEBRERO!A86)</f>
        <v>1130201</v>
      </c>
      <c r="B86" s="55" t="str">
        <f>+IF(FEBRERO!B86=0,"",FEBRERO!B86)</f>
        <v>ARRENDAMIENTO Y ALQUILER DE BIENES MUEBLES E INMUEBLES</v>
      </c>
      <c r="C86" s="456">
        <f>+ENERO!C86</f>
        <v>3552425</v>
      </c>
      <c r="D86" s="456">
        <f>FEBRERO!D86+MARZO!P86</f>
        <v>0</v>
      </c>
      <c r="E86" s="456">
        <f>FEBRERO!E86+MARZO!Q86</f>
        <v>0</v>
      </c>
      <c r="F86" s="170">
        <f t="shared" ref="F86:F92" si="87">SUM(C86:E86)</f>
        <v>3552425</v>
      </c>
      <c r="G86" s="283">
        <f>FEBRERO!I86</f>
        <v>1484950</v>
      </c>
      <c r="H86" s="457">
        <v>427788</v>
      </c>
      <c r="I86" s="170">
        <f t="shared" ref="I86:I92" si="88">SUM(G86:H86)</f>
        <v>1912738</v>
      </c>
      <c r="J86" s="283">
        <f>FEBRERO!L86</f>
        <v>1484950</v>
      </c>
      <c r="K86" s="457">
        <v>427788</v>
      </c>
      <c r="L86" s="170">
        <f t="shared" ref="L86:L92" si="89">SUM(J86:K86)</f>
        <v>1912738</v>
      </c>
      <c r="M86" s="283">
        <f t="shared" ref="M86:M92" si="90">F86-I86</f>
        <v>1639687</v>
      </c>
      <c r="N86" s="170">
        <f t="shared" ref="N86:N92" si="91">F86-L86</f>
        <v>1639687</v>
      </c>
      <c r="O86" s="467"/>
      <c r="P86" s="455">
        <v>0</v>
      </c>
      <c r="Q86" s="458">
        <v>0</v>
      </c>
      <c r="S86" s="155" t="str">
        <f>+IF(FEBRERO!S86=0,"",FEBRERO!S86)</f>
        <v>1020200-4</v>
      </c>
      <c r="T86" s="238" t="str">
        <f>+IF(FEBRERO!T86=0,"",FEBRERO!T86)</f>
        <v>Otros Honorarios (Servicios de Cooperativa)</v>
      </c>
      <c r="U86" s="31">
        <f>+ENERO!U86</f>
        <v>25000000</v>
      </c>
      <c r="V86" s="17">
        <f>FEBRERO!V86+MARZO!AL86</f>
        <v>0</v>
      </c>
      <c r="W86" s="17">
        <f>FEBRERO!W86+MARZO!AM86</f>
        <v>0</v>
      </c>
      <c r="X86" s="20">
        <f>SUM(U86:W86)</f>
        <v>25000000</v>
      </c>
      <c r="Y86" s="21">
        <f>FEBRERO!AA86</f>
        <v>3958700</v>
      </c>
      <c r="Z86" s="457">
        <v>1138200</v>
      </c>
      <c r="AA86" s="18">
        <f>SUM(Y86:Z86)</f>
        <v>5096900</v>
      </c>
      <c r="AB86" s="21">
        <f>FEBRERO!AD86</f>
        <v>3957900</v>
      </c>
      <c r="AC86" s="457">
        <v>1138200</v>
      </c>
      <c r="AD86" s="18">
        <f>SUM(AB86:AC86)</f>
        <v>5096100</v>
      </c>
      <c r="AE86" s="21">
        <f>FEBRERO!AG86</f>
        <v>1563900</v>
      </c>
      <c r="AF86" s="457">
        <v>1716400</v>
      </c>
      <c r="AG86" s="18">
        <f>SUM(AE86:AF86)</f>
        <v>3280300</v>
      </c>
      <c r="AH86" s="21">
        <f>X86-AA86</f>
        <v>19903100</v>
      </c>
      <c r="AI86" s="17">
        <f>X86-AD86</f>
        <v>19903900</v>
      </c>
      <c r="AJ86" s="18">
        <f>X86-AG86</f>
        <v>21719700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+IF(FEBRERO!A87=0,"",FEBRERO!A87)</f>
        <v>1130202</v>
      </c>
      <c r="B87" s="55" t="str">
        <f>+IF(FEBRERO!B87=0,"",FEBRERO!B87)</f>
        <v>COMERCIALIZACIÓN DE MERCANCÍAS</v>
      </c>
      <c r="C87" s="456">
        <f>+ENERO!C87</f>
        <v>0</v>
      </c>
      <c r="D87" s="456">
        <f>FEBRERO!D87+MARZO!P87</f>
        <v>0</v>
      </c>
      <c r="E87" s="456">
        <f>FEBRERO!E87+MARZO!Q87</f>
        <v>0</v>
      </c>
      <c r="F87" s="170">
        <f t="shared" si="87"/>
        <v>0</v>
      </c>
      <c r="G87" s="283">
        <f>FEBRERO!I87</f>
        <v>0</v>
      </c>
      <c r="H87" s="457">
        <v>0</v>
      </c>
      <c r="I87" s="170">
        <f t="shared" si="88"/>
        <v>0</v>
      </c>
      <c r="J87" s="283">
        <f>FEBRERO!L87</f>
        <v>0</v>
      </c>
      <c r="K87" s="457">
        <v>0</v>
      </c>
      <c r="L87" s="170">
        <f t="shared" si="89"/>
        <v>0</v>
      </c>
      <c r="M87" s="283">
        <f t="shared" si="90"/>
        <v>0</v>
      </c>
      <c r="N87" s="170">
        <f t="shared" si="91"/>
        <v>0</v>
      </c>
      <c r="P87" s="455">
        <v>0</v>
      </c>
      <c r="Q87" s="458">
        <v>0</v>
      </c>
      <c r="R87" s="10"/>
      <c r="S87" s="155" t="str">
        <f>+IF(FEBRERO!S87=0,"",FEBRERO!S87)</f>
        <v/>
      </c>
      <c r="T87" s="238" t="str">
        <f>+IF(FEBRERO!T87=0,"",FEBRERO!T87)</f>
        <v/>
      </c>
      <c r="U87" s="31">
        <f>+ENERO!U87</f>
        <v>0</v>
      </c>
      <c r="V87" s="17">
        <f>FEBRERO!V87+MARZO!AL87</f>
        <v>0</v>
      </c>
      <c r="W87" s="17">
        <f>FEBRERO!W87+MARZO!AM87</f>
        <v>0</v>
      </c>
      <c r="X87" s="20">
        <f>SUM(U87:W87)</f>
        <v>0</v>
      </c>
      <c r="Y87" s="21">
        <f>FEBRERO!AA87</f>
        <v>0</v>
      </c>
      <c r="Z87" s="457">
        <v>0</v>
      </c>
      <c r="AA87" s="18">
        <f>SUM(Y87:Z87)</f>
        <v>0</v>
      </c>
      <c r="AB87" s="21">
        <f>FEBRERO!AD87</f>
        <v>0</v>
      </c>
      <c r="AC87" s="457">
        <v>0</v>
      </c>
      <c r="AD87" s="18">
        <f>SUM(AB87:AC87)</f>
        <v>0</v>
      </c>
      <c r="AE87" s="21">
        <f>FEBRERO!AG87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+IF(FEBRERO!A88=0,"",FEBRERO!A88)</f>
        <v>1130203</v>
      </c>
      <c r="B88" s="55" t="str">
        <f>+IF(FEBRERO!B88=0,"",FEBRERO!B88)</f>
        <v>CONVENIOS CON LA NACION LIGADOS A LA VTA DE SERVICIOS</v>
      </c>
      <c r="C88" s="456">
        <f>+ENERO!C88</f>
        <v>0</v>
      </c>
      <c r="D88" s="456">
        <f>FEBRERO!D88+MARZO!P88</f>
        <v>0</v>
      </c>
      <c r="E88" s="456">
        <f>FEBRERO!E88+MARZO!Q88</f>
        <v>0</v>
      </c>
      <c r="F88" s="170">
        <f t="shared" si="87"/>
        <v>0</v>
      </c>
      <c r="G88" s="283">
        <f>FEBRERO!I88</f>
        <v>0</v>
      </c>
      <c r="H88" s="457">
        <v>0</v>
      </c>
      <c r="I88" s="170">
        <f t="shared" si="88"/>
        <v>0</v>
      </c>
      <c r="J88" s="283">
        <f>FEBRERO!L88</f>
        <v>0</v>
      </c>
      <c r="K88" s="457">
        <v>0</v>
      </c>
      <c r="L88" s="170">
        <f t="shared" si="89"/>
        <v>0</v>
      </c>
      <c r="M88" s="283">
        <f t="shared" si="90"/>
        <v>0</v>
      </c>
      <c r="N88" s="170">
        <f t="shared" si="91"/>
        <v>0</v>
      </c>
      <c r="P88" s="455">
        <v>0</v>
      </c>
      <c r="Q88" s="458">
        <v>0</v>
      </c>
      <c r="R88" s="10"/>
      <c r="S88" s="155">
        <f>+IF(FEBRERO!S88=0,"",FEBRERO!S88)</f>
        <v>1020299</v>
      </c>
      <c r="T88" s="238" t="str">
        <f>+IF(FEBRERO!T88=0,"",FEBRERO!T88)</f>
        <v>Vigencias Anteriores</v>
      </c>
      <c r="U88" s="31">
        <f>+ENERO!U88</f>
        <v>4000000</v>
      </c>
      <c r="V88" s="17">
        <f>FEBRERO!V88+MARZO!AL88</f>
        <v>0</v>
      </c>
      <c r="W88" s="17">
        <f>FEBRERO!W88+MARZO!AM88</f>
        <v>4687311</v>
      </c>
      <c r="X88" s="20">
        <f>SUM(U88:W88)</f>
        <v>8687311</v>
      </c>
      <c r="Y88" s="21">
        <f>FEBRERO!AA88</f>
        <v>8687311</v>
      </c>
      <c r="Z88" s="457">
        <v>0</v>
      </c>
      <c r="AA88" s="18">
        <f>SUM(Y88:Z88)</f>
        <v>8687311</v>
      </c>
      <c r="AB88" s="21">
        <f>FEBRERO!AD88</f>
        <v>8687311</v>
      </c>
      <c r="AC88" s="457">
        <v>0</v>
      </c>
      <c r="AD88" s="18">
        <f>SUM(AB88:AC88)</f>
        <v>8687311</v>
      </c>
      <c r="AE88" s="21">
        <f>FEBRERO!AG88</f>
        <v>8640011</v>
      </c>
      <c r="AF88" s="457">
        <v>0</v>
      </c>
      <c r="AG88" s="18">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+IF(FEBRERO!A89=0,"",FEBRERO!A89)</f>
        <v>1130204</v>
      </c>
      <c r="B89" s="55" t="str">
        <f>+IF(FEBRERO!B89=0,"",FEBRERO!B89)</f>
        <v>CONVENIOS CON EL DEPARTAMENTO LIGADOS A LA VTA SERVICIOS</v>
      </c>
      <c r="C89" s="456">
        <f>+ENERO!C89</f>
        <v>0</v>
      </c>
      <c r="D89" s="456">
        <f>FEBRERO!D89+MARZO!P89</f>
        <v>0</v>
      </c>
      <c r="E89" s="456">
        <f>FEBRERO!E89+MARZO!Q89</f>
        <v>0</v>
      </c>
      <c r="F89" s="170">
        <f t="shared" si="87"/>
        <v>0</v>
      </c>
      <c r="G89" s="283">
        <f>FEBRERO!I89</f>
        <v>0</v>
      </c>
      <c r="H89" s="457">
        <v>0</v>
      </c>
      <c r="I89" s="170">
        <f t="shared" si="88"/>
        <v>0</v>
      </c>
      <c r="J89" s="283">
        <f>FEBRERO!L89</f>
        <v>0</v>
      </c>
      <c r="K89" s="457">
        <v>0</v>
      </c>
      <c r="L89" s="170">
        <f t="shared" si="89"/>
        <v>0</v>
      </c>
      <c r="M89" s="283">
        <f t="shared" si="90"/>
        <v>0</v>
      </c>
      <c r="N89" s="170">
        <f t="shared" si="91"/>
        <v>0</v>
      </c>
      <c r="P89" s="455">
        <v>0</v>
      </c>
      <c r="Q89" s="458">
        <v>0</v>
      </c>
      <c r="R89" s="10"/>
      <c r="S89" s="448" t="str">
        <f>+IF(FEBRERO!S89=0,"",FEBRERO!S89)</f>
        <v/>
      </c>
      <c r="T89" s="649" t="str">
        <f>+IF(FEBRERO!T89=0,"",FEBRERO!T89)</f>
        <v/>
      </c>
      <c r="U89" s="450"/>
      <c r="V89" s="193"/>
      <c r="W89" s="193"/>
      <c r="X89" s="193"/>
      <c r="Y89" s="450"/>
      <c r="Z89" s="193"/>
      <c r="AA89" s="207"/>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+IF(FEBRERO!A90=0,"",FEBRERO!A90)</f>
        <v>1130205</v>
      </c>
      <c r="B90" s="55" t="str">
        <f>+IF(FEBRERO!B90=0,"",FEBRERO!B90)</f>
        <v>CONVENIOS CON EL MUNICIPIO LIGADOS A LA VTA DE SERVICIOS</v>
      </c>
      <c r="C90" s="456">
        <f>+ENERO!C90</f>
        <v>0</v>
      </c>
      <c r="D90" s="456">
        <f>FEBRERO!D90+MARZO!P90</f>
        <v>0</v>
      </c>
      <c r="E90" s="456">
        <f>FEBRERO!E90+MARZO!Q90</f>
        <v>0</v>
      </c>
      <c r="F90" s="170">
        <f t="shared" si="87"/>
        <v>0</v>
      </c>
      <c r="G90" s="283">
        <f>FEBRERO!I90</f>
        <v>0</v>
      </c>
      <c r="H90" s="457">
        <v>0</v>
      </c>
      <c r="I90" s="170">
        <f t="shared" si="88"/>
        <v>0</v>
      </c>
      <c r="J90" s="283">
        <f>FEBRERO!L90</f>
        <v>0</v>
      </c>
      <c r="K90" s="457">
        <v>0</v>
      </c>
      <c r="L90" s="170">
        <f t="shared" si="89"/>
        <v>0</v>
      </c>
      <c r="M90" s="283">
        <f t="shared" si="90"/>
        <v>0</v>
      </c>
      <c r="N90" s="170">
        <f t="shared" si="91"/>
        <v>0</v>
      </c>
      <c r="O90" s="467"/>
      <c r="P90" s="455">
        <v>0</v>
      </c>
      <c r="Q90" s="458">
        <v>0</v>
      </c>
      <c r="R90" s="32"/>
      <c r="S90" s="34">
        <f>+IF(FEBRERO!S90=0,"",FEBRERO!S90)</f>
        <v>1020300</v>
      </c>
      <c r="T90" s="237" t="str">
        <f>+IF(FEBRERO!T90=0,"",FEBRERO!T90)</f>
        <v>Contribuciones Inherentes nómina al Sector Privado</v>
      </c>
      <c r="U90" s="151">
        <f t="shared" ref="U90:AJ90" si="92">U91+U96+U102</f>
        <v>371241003</v>
      </c>
      <c r="V90" s="144">
        <f t="shared" si="92"/>
        <v>0</v>
      </c>
      <c r="W90" s="144">
        <f t="shared" si="92"/>
        <v>5352587</v>
      </c>
      <c r="X90" s="152">
        <f t="shared" si="92"/>
        <v>376593590</v>
      </c>
      <c r="Y90" s="151">
        <f t="shared" si="92"/>
        <v>102527056</v>
      </c>
      <c r="Z90" s="144">
        <f t="shared" si="92"/>
        <v>22408877</v>
      </c>
      <c r="AA90" s="153">
        <f t="shared" si="92"/>
        <v>124935933</v>
      </c>
      <c r="AB90" s="151">
        <f t="shared" si="92"/>
        <v>102527056</v>
      </c>
      <c r="AC90" s="144">
        <f t="shared" si="92"/>
        <v>22408877</v>
      </c>
      <c r="AD90" s="153">
        <f t="shared" si="92"/>
        <v>124935933</v>
      </c>
      <c r="AE90" s="151">
        <f t="shared" si="92"/>
        <v>91604996</v>
      </c>
      <c r="AF90" s="144">
        <f t="shared" si="92"/>
        <v>22257266</v>
      </c>
      <c r="AG90" s="153">
        <f t="shared" si="92"/>
        <v>113862262</v>
      </c>
      <c r="AH90" s="151">
        <f t="shared" si="92"/>
        <v>251657657</v>
      </c>
      <c r="AI90" s="144">
        <f t="shared" si="92"/>
        <v>251657657</v>
      </c>
      <c r="AJ90" s="153">
        <f t="shared" si="92"/>
        <v>262731328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+IF(FEBRERO!A91=0,"",FEBRERO!A91)</f>
        <v>1130206</v>
      </c>
      <c r="B91" s="55" t="str">
        <f>+IF(FEBRERO!B91=0,"",FEBRERO!B91)</f>
        <v>OTROS CONVENIOS LIGADOS A LA VTA DE SERVICIOS</v>
      </c>
      <c r="C91" s="456">
        <f>+ENERO!C91</f>
        <v>0</v>
      </c>
      <c r="D91" s="456">
        <f>FEBRERO!D91+MARZO!P91</f>
        <v>0</v>
      </c>
      <c r="E91" s="456">
        <f>FEBRERO!E91+MARZO!Q91</f>
        <v>0</v>
      </c>
      <c r="F91" s="170">
        <f t="shared" si="87"/>
        <v>0</v>
      </c>
      <c r="G91" s="283">
        <f>FEBRERO!I91</f>
        <v>0</v>
      </c>
      <c r="H91" s="457">
        <v>0</v>
      </c>
      <c r="I91" s="170">
        <f t="shared" si="88"/>
        <v>0</v>
      </c>
      <c r="J91" s="283">
        <f>FEBRERO!L91</f>
        <v>0</v>
      </c>
      <c r="K91" s="457">
        <v>0</v>
      </c>
      <c r="L91" s="170">
        <f t="shared" si="89"/>
        <v>0</v>
      </c>
      <c r="M91" s="283">
        <f t="shared" si="90"/>
        <v>0</v>
      </c>
      <c r="N91" s="170">
        <f t="shared" si="91"/>
        <v>0</v>
      </c>
      <c r="O91" s="467"/>
      <c r="P91" s="455">
        <v>0</v>
      </c>
      <c r="Q91" s="458">
        <v>0</v>
      </c>
      <c r="R91" s="32"/>
      <c r="S91" s="155">
        <f>+IF(FEBRERO!S91=0,"",FEBRERO!S91)</f>
        <v>1020301</v>
      </c>
      <c r="T91" s="238" t="str">
        <f>+IF(FEBRERO!T91=0,"",FEBRERO!T91)</f>
        <v>Contribuciones - Sin Situación de Fondos</v>
      </c>
      <c r="U91" s="31">
        <f t="shared" ref="U91:AJ91" si="93">SUM(U92:U95)</f>
        <v>165265755</v>
      </c>
      <c r="V91" s="17">
        <f t="shared" si="93"/>
        <v>0</v>
      </c>
      <c r="W91" s="17">
        <f t="shared" si="93"/>
        <v>0</v>
      </c>
      <c r="X91" s="20">
        <f t="shared" si="93"/>
        <v>165265755</v>
      </c>
      <c r="Y91" s="21">
        <f t="shared" si="93"/>
        <v>23162450</v>
      </c>
      <c r="Z91" s="169">
        <f t="shared" si="93"/>
        <v>11154295</v>
      </c>
      <c r="AA91" s="18">
        <f t="shared" si="93"/>
        <v>34316745</v>
      </c>
      <c r="AB91" s="21">
        <f t="shared" si="93"/>
        <v>23162450</v>
      </c>
      <c r="AC91" s="169">
        <f t="shared" si="93"/>
        <v>11154295</v>
      </c>
      <c r="AD91" s="18">
        <f t="shared" si="93"/>
        <v>34316745</v>
      </c>
      <c r="AE91" s="21">
        <f t="shared" si="93"/>
        <v>23162450</v>
      </c>
      <c r="AF91" s="169">
        <f t="shared" si="93"/>
        <v>11154295</v>
      </c>
      <c r="AG91" s="18">
        <f t="shared" si="93"/>
        <v>34316745</v>
      </c>
      <c r="AH91" s="21">
        <f t="shared" si="93"/>
        <v>130949010</v>
      </c>
      <c r="AI91" s="17">
        <f t="shared" si="93"/>
        <v>130949010</v>
      </c>
      <c r="AJ91" s="18">
        <f t="shared" si="93"/>
        <v>130949010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+IF(FEBRERO!A92=0,"",FEBRERO!A92)</f>
        <v>1130207</v>
      </c>
      <c r="B92" s="563" t="s">
        <v>482</v>
      </c>
      <c r="C92" s="456">
        <f>+ENERO!C92</f>
        <v>0</v>
      </c>
      <c r="D92" s="456">
        <f>FEBRERO!D92+MARZO!P92</f>
        <v>0</v>
      </c>
      <c r="E92" s="456">
        <f>FEBRERO!E92+MARZO!Q92</f>
        <v>0</v>
      </c>
      <c r="F92" s="170">
        <f t="shared" si="87"/>
        <v>0</v>
      </c>
      <c r="G92" s="283">
        <f>FEBRERO!I92</f>
        <v>0</v>
      </c>
      <c r="H92" s="457">
        <v>0</v>
      </c>
      <c r="I92" s="170">
        <f t="shared" si="88"/>
        <v>0</v>
      </c>
      <c r="J92" s="283">
        <f>FEBRERO!L92</f>
        <v>0</v>
      </c>
      <c r="K92" s="457">
        <v>0</v>
      </c>
      <c r="L92" s="170">
        <f t="shared" si="89"/>
        <v>0</v>
      </c>
      <c r="M92" s="283">
        <f t="shared" si="90"/>
        <v>0</v>
      </c>
      <c r="N92" s="170">
        <f t="shared" si="91"/>
        <v>0</v>
      </c>
      <c r="O92" s="467"/>
      <c r="P92" s="455">
        <v>0</v>
      </c>
      <c r="Q92" s="458">
        <v>0</v>
      </c>
      <c r="R92" s="32"/>
      <c r="S92" s="156" t="str">
        <f>+IF(FEBRERO!S92=0,"",FEBRERO!S92)</f>
        <v>1020301-1</v>
      </c>
      <c r="T92" s="251" t="str">
        <f>+IF(FEBRERO!T92=0,"",FEBRERO!T92)</f>
        <v>Aportes a E.P.S.- Sin sit. Fondos</v>
      </c>
      <c r="U92" s="31">
        <f>+ENERO!U92</f>
        <v>72234575</v>
      </c>
      <c r="V92" s="17">
        <f>FEBRERO!V92+MARZO!AL92</f>
        <v>0</v>
      </c>
      <c r="W92" s="17">
        <f>FEBRERO!W92+MARZO!AM92</f>
        <v>0</v>
      </c>
      <c r="X92" s="20">
        <f>SUM(U92:W92)</f>
        <v>72234575</v>
      </c>
      <c r="Y92" s="21">
        <f>FEBRERO!AA92</f>
        <v>9603550</v>
      </c>
      <c r="Z92" s="457">
        <v>4625075</v>
      </c>
      <c r="AA92" s="18">
        <f>SUM(Y92:Z92)</f>
        <v>14228625</v>
      </c>
      <c r="AB92" s="21">
        <f>FEBRERO!AD92</f>
        <v>9603550</v>
      </c>
      <c r="AC92" s="457">
        <v>4625075</v>
      </c>
      <c r="AD92" s="18">
        <f>SUM(AB92:AC92)</f>
        <v>14228625</v>
      </c>
      <c r="AE92" s="21">
        <f>FEBRERO!AG92</f>
        <v>9603550</v>
      </c>
      <c r="AF92" s="457">
        <v>4625075</v>
      </c>
      <c r="AG92" s="18">
        <f>SUM(AE92:AF92)</f>
        <v>14228625</v>
      </c>
      <c r="AH92" s="21">
        <f>X92-AA92</f>
        <v>58005950</v>
      </c>
      <c r="AI92" s="17">
        <f>X92-AD92</f>
        <v>58005950</v>
      </c>
      <c r="AJ92" s="18">
        <f>X92-AG92</f>
        <v>58005950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+IF(FEBRERO!A93=0,"",FEBRERO!A93)</f>
        <v>1130209</v>
      </c>
      <c r="B93" s="170" t="str">
        <f>+IF(FEBRERO!B93=0,"",FEBRERO!B93)</f>
        <v>OTROS</v>
      </c>
      <c r="C93" s="172">
        <f t="shared" ref="C93:N93" si="94">SUM(C94:C97)</f>
        <v>111626604</v>
      </c>
      <c r="D93" s="172">
        <f t="shared" si="94"/>
        <v>0</v>
      </c>
      <c r="E93" s="172">
        <f t="shared" si="94"/>
        <v>0</v>
      </c>
      <c r="F93" s="173">
        <f t="shared" si="94"/>
        <v>111626604</v>
      </c>
      <c r="G93" s="171">
        <f t="shared" si="94"/>
        <v>62411179</v>
      </c>
      <c r="H93" s="172">
        <f t="shared" si="94"/>
        <v>3041211</v>
      </c>
      <c r="I93" s="173">
        <f t="shared" si="94"/>
        <v>65452390</v>
      </c>
      <c r="J93" s="171">
        <f t="shared" si="94"/>
        <v>62411179</v>
      </c>
      <c r="K93" s="172">
        <f t="shared" si="94"/>
        <v>3041211</v>
      </c>
      <c r="L93" s="173">
        <f t="shared" si="94"/>
        <v>65452390</v>
      </c>
      <c r="M93" s="171">
        <f t="shared" si="94"/>
        <v>46174214</v>
      </c>
      <c r="N93" s="173">
        <f t="shared" si="94"/>
        <v>46174214</v>
      </c>
      <c r="O93" s="467"/>
      <c r="P93" s="171">
        <f>SUM(P94:P97)</f>
        <v>0</v>
      </c>
      <c r="Q93" s="173">
        <f>SUM(Q94:Q97)</f>
        <v>0</v>
      </c>
      <c r="R93" s="32"/>
      <c r="S93" s="156" t="str">
        <f>+IF(FEBRERO!S93=0,"",FEBRERO!S93)</f>
        <v>1020301-2</v>
      </c>
      <c r="T93" s="251" t="str">
        <f>+IF(FEBRERO!T93=0,"",FEBRERO!T93)</f>
        <v>Aportes Fondos Pensionales - Sin Sit. Fondos</v>
      </c>
      <c r="U93" s="31">
        <f>+ENERO!U93</f>
        <v>78026691</v>
      </c>
      <c r="V93" s="17">
        <f>FEBRERO!V93+MARZO!AL93</f>
        <v>0</v>
      </c>
      <c r="W93" s="17">
        <f>FEBRERO!W93+MARZO!AM93</f>
        <v>0</v>
      </c>
      <c r="X93" s="20">
        <f>SUM(U93:W93)</f>
        <v>78026691</v>
      </c>
      <c r="Y93" s="21">
        <f>FEBRERO!AA93</f>
        <v>13558900</v>
      </c>
      <c r="Z93" s="457">
        <v>6529220</v>
      </c>
      <c r="AA93" s="18">
        <f>SUM(Y93:Z93)</f>
        <v>20088120</v>
      </c>
      <c r="AB93" s="21">
        <f>FEBRERO!AD93</f>
        <v>13558900</v>
      </c>
      <c r="AC93" s="457">
        <v>6529220</v>
      </c>
      <c r="AD93" s="18">
        <f>SUM(AB93:AC93)</f>
        <v>20088120</v>
      </c>
      <c r="AE93" s="21">
        <f>FEBRERO!AG93</f>
        <v>13558900</v>
      </c>
      <c r="AF93" s="457">
        <v>6529220</v>
      </c>
      <c r="AG93" s="18">
        <f>SUM(AE93:AF93)</f>
        <v>20088120</v>
      </c>
      <c r="AH93" s="21">
        <f>X93-AA93</f>
        <v>57938571</v>
      </c>
      <c r="AI93" s="17">
        <f>X93-AD93</f>
        <v>57938571</v>
      </c>
      <c r="AJ93" s="18">
        <f>X93-AG93</f>
        <v>57938571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+IF(FEBRERO!A94=0,"",FEBRERO!A94)</f>
        <v>1130209 - 1</v>
      </c>
      <c r="B94" s="58" t="str">
        <f>+IF(FEBRERO!B94=0,"",FEBRERO!B94)</f>
        <v>Bienestar Social</v>
      </c>
      <c r="C94" s="456">
        <f>+ENERO!C94</f>
        <v>6347410</v>
      </c>
      <c r="D94" s="456">
        <f>FEBRERO!D94+MARZO!P94</f>
        <v>0</v>
      </c>
      <c r="E94" s="456">
        <f>FEBRERO!E94+MARZO!Q94</f>
        <v>0</v>
      </c>
      <c r="F94" s="170">
        <f>SUM(C94:E94)</f>
        <v>6347410</v>
      </c>
      <c r="G94" s="283">
        <f>FEBRERO!I94</f>
        <v>0</v>
      </c>
      <c r="H94" s="457">
        <v>0</v>
      </c>
      <c r="I94" s="170">
        <f>SUM(G94:H94)</f>
        <v>0</v>
      </c>
      <c r="J94" s="283">
        <f>FEBRERO!L94</f>
        <v>0</v>
      </c>
      <c r="K94" s="457">
        <v>0</v>
      </c>
      <c r="L94" s="170">
        <f>SUM(J94:K94)</f>
        <v>0</v>
      </c>
      <c r="M94" s="283">
        <f>F94-I94</f>
        <v>6347410</v>
      </c>
      <c r="N94" s="170">
        <f>F94-L94</f>
        <v>6347410</v>
      </c>
      <c r="O94" s="467"/>
      <c r="P94" s="455">
        <v>0</v>
      </c>
      <c r="Q94" s="458">
        <v>0</v>
      </c>
      <c r="R94" s="32"/>
      <c r="S94" s="156" t="str">
        <f>+IF(FEBRERO!S94=0,"",FEBRERO!S94)</f>
        <v>1020301-3</v>
      </c>
      <c r="T94" s="251" t="str">
        <f>+IF(FEBRERO!T94=0,"",FEBRERO!T94)</f>
        <v xml:space="preserve">Aportes a Fondos de Cesantia - Sin Sit. de Fondos </v>
      </c>
      <c r="U94" s="31">
        <f>+ENERO!U94</f>
        <v>15004488</v>
      </c>
      <c r="V94" s="17">
        <f>FEBRERO!V94+MARZO!AL94</f>
        <v>0</v>
      </c>
      <c r="W94" s="17">
        <f>FEBRERO!W94+MARZO!AM94</f>
        <v>0</v>
      </c>
      <c r="X94" s="20">
        <f>SUM(U94:W94)</f>
        <v>15004488</v>
      </c>
      <c r="Y94" s="21">
        <f>FEBRERO!AA94</f>
        <v>0</v>
      </c>
      <c r="Z94" s="457">
        <v>0</v>
      </c>
      <c r="AA94" s="18">
        <f>SUM(Y94:Z94)</f>
        <v>0</v>
      </c>
      <c r="AB94" s="21">
        <f>FEBRERO!AD94</f>
        <v>0</v>
      </c>
      <c r="AC94" s="457">
        <v>0</v>
      </c>
      <c r="AD94" s="18">
        <f>SUM(AB94:AC94)</f>
        <v>0</v>
      </c>
      <c r="AE94" s="21">
        <f>FEBRERO!AG94</f>
        <v>0</v>
      </c>
      <c r="AF94" s="457">
        <v>0</v>
      </c>
      <c r="AG94" s="18">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+IF(FEBRERO!A95=0,"",FEBRERO!A95)</f>
        <v>1130209 - 2</v>
      </c>
      <c r="B95" s="58" t="str">
        <f>+IF(FEBRERO!B95=0,"",FEBRERO!B95)</f>
        <v>Fondo de la Vivienda</v>
      </c>
      <c r="C95" s="456">
        <f>+ENERO!C95</f>
        <v>0</v>
      </c>
      <c r="D95" s="456">
        <f>FEBRERO!D95+MARZO!P95</f>
        <v>0</v>
      </c>
      <c r="E95" s="456">
        <f>FEBRERO!E95+MARZO!Q95</f>
        <v>0</v>
      </c>
      <c r="F95" s="170">
        <f>SUM(C95:E95)</f>
        <v>0</v>
      </c>
      <c r="G95" s="283">
        <f>FEBRERO!I95</f>
        <v>0</v>
      </c>
      <c r="H95" s="457">
        <v>0</v>
      </c>
      <c r="I95" s="170">
        <f>SUM(G95:H95)</f>
        <v>0</v>
      </c>
      <c r="J95" s="283">
        <f>FEBRERO!L95</f>
        <v>0</v>
      </c>
      <c r="K95" s="457">
        <v>0</v>
      </c>
      <c r="L95" s="170">
        <f>SUM(J95:K95)</f>
        <v>0</v>
      </c>
      <c r="M95" s="283">
        <f>F95-I95</f>
        <v>0</v>
      </c>
      <c r="N95" s="170">
        <f>F95-L95</f>
        <v>0</v>
      </c>
      <c r="O95" s="467"/>
      <c r="P95" s="455">
        <v>0</v>
      </c>
      <c r="Q95" s="458">
        <v>0</v>
      </c>
      <c r="R95" s="32"/>
      <c r="S95" s="156" t="str">
        <f>+IF(FEBRERO!S95=0,"",FEBRERO!S95)</f>
        <v>1020301-4</v>
      </c>
      <c r="T95" s="251" t="str">
        <f>+IF(FEBRERO!T95=0,"",FEBRERO!T95)</f>
        <v>Aporte a ARL. - Sin Sit. de Fondos</v>
      </c>
      <c r="U95" s="31">
        <f>+ENERO!U95</f>
        <v>1</v>
      </c>
      <c r="V95" s="17">
        <f>FEBRERO!V95+MARZO!AL95</f>
        <v>0</v>
      </c>
      <c r="W95" s="17">
        <f>FEBRERO!W95+MARZO!AM95</f>
        <v>0</v>
      </c>
      <c r="X95" s="20">
        <f>SUM(U95:W95)</f>
        <v>1</v>
      </c>
      <c r="Y95" s="21">
        <f>FEBRERO!AA95</f>
        <v>0</v>
      </c>
      <c r="Z95" s="457">
        <v>0</v>
      </c>
      <c r="AA95" s="18">
        <f>SUM(Y95:Z95)</f>
        <v>0</v>
      </c>
      <c r="AB95" s="21">
        <f>FEBRERO!AD95</f>
        <v>0</v>
      </c>
      <c r="AC95" s="457">
        <v>0</v>
      </c>
      <c r="AD95" s="18">
        <f>SUM(AB95:AC95)</f>
        <v>0</v>
      </c>
      <c r="AE95" s="21">
        <f>FEBRERO!AG95</f>
        <v>0</v>
      </c>
      <c r="AF95" s="457">
        <v>0</v>
      </c>
      <c r="AG95" s="18">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+IF(FEBRERO!A96=0,"",FEBRERO!A96)</f>
        <v>1130209 - 3</v>
      </c>
      <c r="B96" s="58" t="str">
        <f>+IF(FEBRERO!B96=0,"",FEBRERO!B96)</f>
        <v xml:space="preserve">Aprovechamientos </v>
      </c>
      <c r="C96" s="456">
        <f>+ENERO!C96</f>
        <v>105279194</v>
      </c>
      <c r="D96" s="456">
        <f>FEBRERO!D96+MARZO!P96</f>
        <v>0</v>
      </c>
      <c r="E96" s="456">
        <f>FEBRERO!E96+MARZO!Q96</f>
        <v>0</v>
      </c>
      <c r="F96" s="170">
        <f>SUM(C96:E96)</f>
        <v>105279194</v>
      </c>
      <c r="G96" s="283">
        <f>FEBRERO!I96</f>
        <v>62411179</v>
      </c>
      <c r="H96" s="457">
        <v>3041211</v>
      </c>
      <c r="I96" s="170">
        <f>SUM(G96:H96)</f>
        <v>65452390</v>
      </c>
      <c r="J96" s="283">
        <f>FEBRERO!L96</f>
        <v>62411179</v>
      </c>
      <c r="K96" s="457">
        <v>3041211</v>
      </c>
      <c r="L96" s="170">
        <f>SUM(J96:K96)</f>
        <v>65452390</v>
      </c>
      <c r="M96" s="283">
        <f>F96-I96</f>
        <v>39826804</v>
      </c>
      <c r="N96" s="170">
        <f>F96-L96</f>
        <v>39826804</v>
      </c>
      <c r="O96" s="467"/>
      <c r="P96" s="455">
        <v>0</v>
      </c>
      <c r="Q96" s="458">
        <v>0</v>
      </c>
      <c r="S96" s="155">
        <f>+IF(FEBRERO!S96=0,"",FEBRERO!S96)</f>
        <v>1020302</v>
      </c>
      <c r="T96" s="238" t="str">
        <f>+IF(FEBRERO!T96=0,"",FEBRERO!T96)</f>
        <v>Contribuciones - Otros</v>
      </c>
      <c r="U96" s="31">
        <f t="shared" ref="U96:AJ96" si="95">SUM(U97:U101)</f>
        <v>205975248</v>
      </c>
      <c r="V96" s="17">
        <f t="shared" si="95"/>
        <v>0</v>
      </c>
      <c r="W96" s="17">
        <f t="shared" si="95"/>
        <v>0</v>
      </c>
      <c r="X96" s="20">
        <f t="shared" si="95"/>
        <v>205975248</v>
      </c>
      <c r="Y96" s="21">
        <f t="shared" si="95"/>
        <v>74012019</v>
      </c>
      <c r="Z96" s="169">
        <f t="shared" si="95"/>
        <v>11254582</v>
      </c>
      <c r="AA96" s="18">
        <f t="shared" si="95"/>
        <v>85266601</v>
      </c>
      <c r="AB96" s="21">
        <f t="shared" si="95"/>
        <v>74012019</v>
      </c>
      <c r="AC96" s="169">
        <f t="shared" si="95"/>
        <v>11254582</v>
      </c>
      <c r="AD96" s="18">
        <f t="shared" si="95"/>
        <v>85266601</v>
      </c>
      <c r="AE96" s="21">
        <f t="shared" si="95"/>
        <v>63089959</v>
      </c>
      <c r="AF96" s="169">
        <f t="shared" si="95"/>
        <v>11102971</v>
      </c>
      <c r="AG96" s="18">
        <f t="shared" si="95"/>
        <v>74192930</v>
      </c>
      <c r="AH96" s="21">
        <f t="shared" si="95"/>
        <v>120708647</v>
      </c>
      <c r="AI96" s="17">
        <f t="shared" si="95"/>
        <v>120708647</v>
      </c>
      <c r="AJ96" s="18">
        <f t="shared" si="95"/>
        <v>131782318</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+IF(FEBRERO!A97=0,"",FEBRERO!A97)</f>
        <v>1130209 - 4</v>
      </c>
      <c r="B97" s="219" t="str">
        <f>+IF(FEBRERO!B97=0,"",FEBRERO!B97)</f>
        <v>Otros</v>
      </c>
      <c r="C97" s="564">
        <f>+ENERO!C97</f>
        <v>0</v>
      </c>
      <c r="D97" s="564">
        <f>FEBRERO!D97+MARZO!P97</f>
        <v>0</v>
      </c>
      <c r="E97" s="564">
        <f>FEBRERO!E97+MARZO!Q97</f>
        <v>0</v>
      </c>
      <c r="F97" s="565">
        <f>SUM(C97:E97)</f>
        <v>0</v>
      </c>
      <c r="G97" s="566">
        <f>FEBRERO!I97</f>
        <v>0</v>
      </c>
      <c r="H97" s="475">
        <v>0</v>
      </c>
      <c r="I97" s="565">
        <f>SUM(G97:H97)</f>
        <v>0</v>
      </c>
      <c r="J97" s="566">
        <f>FEBRERO!L97</f>
        <v>0</v>
      </c>
      <c r="K97" s="475">
        <v>0</v>
      </c>
      <c r="L97" s="565">
        <f>SUM(J97:K97)</f>
        <v>0</v>
      </c>
      <c r="M97" s="566">
        <f>F97-I97</f>
        <v>0</v>
      </c>
      <c r="N97" s="565">
        <f>F97-L97</f>
        <v>0</v>
      </c>
      <c r="O97" s="467"/>
      <c r="P97" s="471">
        <v>0</v>
      </c>
      <c r="Q97" s="476">
        <v>0</v>
      </c>
      <c r="R97" s="32"/>
      <c r="S97" s="156" t="str">
        <f>+IF(FEBRERO!S97=0,"",FEBRERO!S97)</f>
        <v>1020302-1</v>
      </c>
      <c r="T97" s="251" t="str">
        <f>+IF(FEBRERO!T97=0,"",FEBRERO!T97)</f>
        <v>Aportes a E.P.S.- Con sit. Fondos</v>
      </c>
      <c r="U97" s="31">
        <f>+ENERO!U97</f>
        <v>13794433</v>
      </c>
      <c r="V97" s="17">
        <f>FEBRERO!V97+MARZO!AL97</f>
        <v>0</v>
      </c>
      <c r="W97" s="17">
        <f>FEBRERO!W97+MARZO!AM97</f>
        <v>0</v>
      </c>
      <c r="X97" s="20">
        <f t="shared" ref="X97:X102" si="96">SUM(U97:W97)</f>
        <v>13794433</v>
      </c>
      <c r="Y97" s="21">
        <f>FEBRERO!AA97</f>
        <v>4468660</v>
      </c>
      <c r="Z97" s="457">
        <v>2299500</v>
      </c>
      <c r="AA97" s="18">
        <f t="shared" ref="AA97:AA102" si="97">SUM(Y97:Z97)</f>
        <v>6768160</v>
      </c>
      <c r="AB97" s="21">
        <f>FEBRERO!AD97</f>
        <v>4468660</v>
      </c>
      <c r="AC97" s="457">
        <v>2299500</v>
      </c>
      <c r="AD97" s="18">
        <f t="shared" ref="AD97:AD102" si="98">SUM(AB97:AC97)</f>
        <v>6768160</v>
      </c>
      <c r="AE97" s="21">
        <f>FEBRERO!AG97</f>
        <v>2068300</v>
      </c>
      <c r="AF97" s="457">
        <v>2400360</v>
      </c>
      <c r="AG97" s="18">
        <f t="shared" ref="AG97:AG102" si="99">SUM(AE97:AF97)</f>
        <v>4468660</v>
      </c>
      <c r="AH97" s="21">
        <f t="shared" ref="AH97:AH102" si="100">X97-AA97</f>
        <v>7026273</v>
      </c>
      <c r="AI97" s="17">
        <f t="shared" ref="AI97:AI102" si="101">X97-AD97</f>
        <v>7026273</v>
      </c>
      <c r="AJ97" s="18">
        <f t="shared" ref="AJ97:AJ102" si="102">X97-AG97</f>
        <v>9325773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+IF(FEBRERO!S98=0,"",FEBRERO!S98)</f>
        <v>1020302-2</v>
      </c>
      <c r="T98" s="251" t="str">
        <f>+IF(FEBRERO!T98=0,"",FEBRERO!T98)</f>
        <v>Aportes Fondos Pensionales - Con Sit. Fondos</v>
      </c>
      <c r="U98" s="31">
        <f>+ENERO!U98</f>
        <v>43426005</v>
      </c>
      <c r="V98" s="17">
        <f>FEBRERO!V98+MARZO!AL98</f>
        <v>0</v>
      </c>
      <c r="W98" s="17">
        <f>FEBRERO!W98+MARZO!AM98</f>
        <v>0</v>
      </c>
      <c r="X98" s="20">
        <f t="shared" si="96"/>
        <v>43426005</v>
      </c>
      <c r="Y98" s="21">
        <f>FEBRERO!AA98</f>
        <v>6429800</v>
      </c>
      <c r="Z98" s="457">
        <v>3721500</v>
      </c>
      <c r="AA98" s="18">
        <f t="shared" si="97"/>
        <v>10151300</v>
      </c>
      <c r="AB98" s="21">
        <f>FEBRERO!AD98</f>
        <v>6429800</v>
      </c>
      <c r="AC98" s="457">
        <v>3721500</v>
      </c>
      <c r="AD98" s="18">
        <f t="shared" si="98"/>
        <v>10151300</v>
      </c>
      <c r="AE98" s="21">
        <f>FEBRERO!AG98</f>
        <v>3068100</v>
      </c>
      <c r="AF98" s="457">
        <v>3361700</v>
      </c>
      <c r="AG98" s="18">
        <f t="shared" si="99"/>
        <v>6429800</v>
      </c>
      <c r="AH98" s="21">
        <f t="shared" si="100"/>
        <v>33274705</v>
      </c>
      <c r="AI98" s="17">
        <f t="shared" si="101"/>
        <v>33274705</v>
      </c>
      <c r="AJ98" s="18">
        <f t="shared" si="102"/>
        <v>36996205</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+IF(FEBRERO!A99=0,"",FEBRERO!A99)</f>
        <v>11303</v>
      </c>
      <c r="B99" s="570" t="str">
        <f>+IF(FEBRERO!B99=0,"",FEBRERO!B99)</f>
        <v>Aportes no ligados a venta servicios de salud</v>
      </c>
      <c r="C99" s="572">
        <f t="shared" ref="C99:N99" si="103">SUM(C100:C106)</f>
        <v>0</v>
      </c>
      <c r="D99" s="572">
        <f t="shared" si="103"/>
        <v>227076373</v>
      </c>
      <c r="E99" s="572">
        <f t="shared" si="103"/>
        <v>25449068</v>
      </c>
      <c r="F99" s="573">
        <f t="shared" si="103"/>
        <v>252525441</v>
      </c>
      <c r="G99" s="571">
        <f t="shared" si="103"/>
        <v>0</v>
      </c>
      <c r="H99" s="572">
        <f t="shared" si="103"/>
        <v>63131360</v>
      </c>
      <c r="I99" s="573">
        <f t="shared" si="103"/>
        <v>63131360</v>
      </c>
      <c r="J99" s="571">
        <f t="shared" si="103"/>
        <v>0</v>
      </c>
      <c r="K99" s="572">
        <f t="shared" si="103"/>
        <v>63131360</v>
      </c>
      <c r="L99" s="573">
        <f t="shared" si="103"/>
        <v>63131360</v>
      </c>
      <c r="M99" s="571">
        <f t="shared" si="103"/>
        <v>189394081</v>
      </c>
      <c r="N99" s="573">
        <f t="shared" si="103"/>
        <v>189394081</v>
      </c>
      <c r="P99" s="215">
        <f>SUM(P100:P106)</f>
        <v>227076373</v>
      </c>
      <c r="Q99" s="216">
        <f>SUM(Q100:Q106)</f>
        <v>25449068</v>
      </c>
      <c r="R99" s="32"/>
      <c r="S99" s="156" t="str">
        <f>+IF(FEBRERO!S99=0,"",FEBRERO!S99)</f>
        <v>1020302-3</v>
      </c>
      <c r="T99" s="251" t="str">
        <f>+IF(FEBRERO!T99=0,"",FEBRERO!T99)</f>
        <v xml:space="preserve">Aportes a Fondos de Cesantia - Con Sit. de Fondos </v>
      </c>
      <c r="U99" s="31">
        <f>+ENERO!U99</f>
        <v>78984976</v>
      </c>
      <c r="V99" s="17">
        <f>FEBRERO!V99+MARZO!AL99</f>
        <v>0</v>
      </c>
      <c r="W99" s="17">
        <f>FEBRERO!W99+MARZO!AM99</f>
        <v>0</v>
      </c>
      <c r="X99" s="20">
        <f t="shared" si="96"/>
        <v>78984976</v>
      </c>
      <c r="Y99" s="21">
        <f>FEBRERO!AA99</f>
        <v>52985759</v>
      </c>
      <c r="Z99" s="457">
        <v>318382</v>
      </c>
      <c r="AA99" s="18">
        <f t="shared" si="97"/>
        <v>53304141</v>
      </c>
      <c r="AB99" s="21">
        <f>FEBRERO!AD99</f>
        <v>52985759</v>
      </c>
      <c r="AC99" s="457">
        <v>318382</v>
      </c>
      <c r="AD99" s="18">
        <f t="shared" si="98"/>
        <v>53304141</v>
      </c>
      <c r="AE99" s="21">
        <f>FEBRERO!AG99</f>
        <v>52985759</v>
      </c>
      <c r="AF99" s="457">
        <v>180911</v>
      </c>
      <c r="AG99" s="18">
        <f t="shared" si="99"/>
        <v>53166670</v>
      </c>
      <c r="AH99" s="21">
        <f t="shared" si="100"/>
        <v>25680835</v>
      </c>
      <c r="AI99" s="17">
        <f t="shared" si="101"/>
        <v>25680835</v>
      </c>
      <c r="AJ99" s="18">
        <f t="shared" si="102"/>
        <v>25818306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+IF(FEBRERO!A100=0,"",FEBRERO!A100)</f>
        <v>11303-1</v>
      </c>
      <c r="B100" s="59" t="str">
        <f>+IF(FEBRERO!B100=0,"",FEBRERO!B100)</f>
        <v xml:space="preserve">NACION </v>
      </c>
      <c r="C100" s="574">
        <f>+ENERO!C100</f>
        <v>0</v>
      </c>
      <c r="D100" s="574">
        <f>FEBRERO!D100+MARZO!P100</f>
        <v>0</v>
      </c>
      <c r="E100" s="574">
        <f>FEBRERO!E100+MARZO!Q100</f>
        <v>0</v>
      </c>
      <c r="F100" s="575">
        <f t="shared" ref="F100:F106" si="104">SUM(C100:E100)</f>
        <v>0</v>
      </c>
      <c r="G100" s="576">
        <f>FEBRERO!I100</f>
        <v>0</v>
      </c>
      <c r="H100" s="457">
        <v>0</v>
      </c>
      <c r="I100" s="575">
        <f t="shared" ref="I100:I106" si="105">SUM(G100:H100)</f>
        <v>0</v>
      </c>
      <c r="J100" s="576">
        <f>FEBRERO!L100</f>
        <v>0</v>
      </c>
      <c r="K100" s="457">
        <v>0</v>
      </c>
      <c r="L100" s="575">
        <f t="shared" ref="L100:L106" si="106">SUM(J100:K100)</f>
        <v>0</v>
      </c>
      <c r="M100" s="576">
        <f t="shared" ref="M100:M106" si="107">F100-I100</f>
        <v>0</v>
      </c>
      <c r="N100" s="575">
        <f t="shared" ref="N100:N106" si="108">F100-L100</f>
        <v>0</v>
      </c>
      <c r="O100" s="562"/>
      <c r="P100" s="455">
        <v>0</v>
      </c>
      <c r="Q100" s="458">
        <v>0</v>
      </c>
      <c r="R100" s="10"/>
      <c r="S100" s="156" t="str">
        <f>+IF(FEBRERO!S100=0,"",FEBRERO!S100)</f>
        <v>1020302-4</v>
      </c>
      <c r="T100" s="251" t="str">
        <f>+IF(FEBRERO!T100=0,"",FEBRERO!T100)</f>
        <v>Aporte a ARL. - Con Sit. de Fondos</v>
      </c>
      <c r="U100" s="31">
        <f>+ENERO!U100</f>
        <v>24654894</v>
      </c>
      <c r="V100" s="17">
        <f>FEBRERO!V100+MARZO!AL100</f>
        <v>0</v>
      </c>
      <c r="W100" s="17">
        <f>FEBRERO!W100+MARZO!AM100</f>
        <v>0</v>
      </c>
      <c r="X100" s="20">
        <f t="shared" si="96"/>
        <v>24654894</v>
      </c>
      <c r="Y100" s="21">
        <f>FEBRERO!AA100</f>
        <v>3658000</v>
      </c>
      <c r="Z100" s="457">
        <v>1815400</v>
      </c>
      <c r="AA100" s="18">
        <f t="shared" si="97"/>
        <v>5473400</v>
      </c>
      <c r="AB100" s="21">
        <f>FEBRERO!AD100</f>
        <v>3658000</v>
      </c>
      <c r="AC100" s="457">
        <v>1815400</v>
      </c>
      <c r="AD100" s="18">
        <f t="shared" si="98"/>
        <v>5473400</v>
      </c>
      <c r="AE100" s="21">
        <f>FEBRERO!AG100</f>
        <v>1759700</v>
      </c>
      <c r="AF100" s="457">
        <v>1898300</v>
      </c>
      <c r="AG100" s="18">
        <f t="shared" si="99"/>
        <v>3658000</v>
      </c>
      <c r="AH100" s="21">
        <f t="shared" si="100"/>
        <v>19181494</v>
      </c>
      <c r="AI100" s="17">
        <f t="shared" si="101"/>
        <v>19181494</v>
      </c>
      <c r="AJ100" s="18">
        <f t="shared" si="102"/>
        <v>20996894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+IF(FEBRERO!A101=0,"",FEBRERO!A101)</f>
        <v>11303-2</v>
      </c>
      <c r="B101" s="59" t="str">
        <f>+IF(FEBRERO!B101=0,"",FEBRERO!B101)</f>
        <v>DEPARTAMENTO</v>
      </c>
      <c r="C101" s="574">
        <f>+ENERO!C101</f>
        <v>0</v>
      </c>
      <c r="D101" s="574">
        <f>FEBRERO!D101+MARZO!P101</f>
        <v>0</v>
      </c>
      <c r="E101" s="574">
        <f>FEBRERO!E101+MARZO!Q101</f>
        <v>0</v>
      </c>
      <c r="F101" s="575">
        <f t="shared" si="104"/>
        <v>0</v>
      </c>
      <c r="G101" s="576">
        <f>FEBRERO!I101</f>
        <v>0</v>
      </c>
      <c r="H101" s="457">
        <v>0</v>
      </c>
      <c r="I101" s="575">
        <f t="shared" si="105"/>
        <v>0</v>
      </c>
      <c r="J101" s="576">
        <f>FEBRERO!L101</f>
        <v>0</v>
      </c>
      <c r="K101" s="457">
        <v>0</v>
      </c>
      <c r="L101" s="575">
        <f t="shared" si="106"/>
        <v>0</v>
      </c>
      <c r="M101" s="576">
        <f t="shared" si="107"/>
        <v>0</v>
      </c>
      <c r="N101" s="575">
        <f t="shared" si="108"/>
        <v>0</v>
      </c>
      <c r="O101" s="562"/>
      <c r="P101" s="455">
        <v>0</v>
      </c>
      <c r="Q101" s="458">
        <v>0</v>
      </c>
      <c r="R101" s="10"/>
      <c r="S101" s="156" t="str">
        <f>+IF(FEBRERO!S101=0,"",FEBRERO!S101)</f>
        <v>1020302-5</v>
      </c>
      <c r="T101" s="251" t="str">
        <f>+IF(FEBRERO!T101=0,"",FEBRERO!T101)</f>
        <v>Aporte a Caja Compensación Familiar</v>
      </c>
      <c r="U101" s="31">
        <f>+ENERO!U101</f>
        <v>45114940</v>
      </c>
      <c r="V101" s="17">
        <f>FEBRERO!V101+MARZO!AL101</f>
        <v>0</v>
      </c>
      <c r="W101" s="17">
        <f>FEBRERO!W101+MARZO!AM101</f>
        <v>0</v>
      </c>
      <c r="X101" s="20">
        <f t="shared" si="96"/>
        <v>45114940</v>
      </c>
      <c r="Y101" s="21">
        <f>FEBRERO!AA101</f>
        <v>6469800</v>
      </c>
      <c r="Z101" s="457">
        <v>3099800</v>
      </c>
      <c r="AA101" s="18">
        <f t="shared" si="97"/>
        <v>9569600</v>
      </c>
      <c r="AB101" s="21">
        <f>FEBRERO!AD101</f>
        <v>6469800</v>
      </c>
      <c r="AC101" s="457">
        <v>3099800</v>
      </c>
      <c r="AD101" s="18">
        <f t="shared" si="98"/>
        <v>9569600</v>
      </c>
      <c r="AE101" s="21">
        <f>FEBRERO!AG101</f>
        <v>3208100</v>
      </c>
      <c r="AF101" s="457">
        <v>3261700</v>
      </c>
      <c r="AG101" s="18">
        <f t="shared" si="99"/>
        <v>6469800</v>
      </c>
      <c r="AH101" s="21">
        <f t="shared" si="100"/>
        <v>35545340</v>
      </c>
      <c r="AI101" s="17">
        <f t="shared" si="101"/>
        <v>35545340</v>
      </c>
      <c r="AJ101" s="18">
        <f t="shared" si="102"/>
        <v>38645140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+IF(FEBRERO!A102=0,"",FEBRERO!A102)</f>
        <v>11303-3</v>
      </c>
      <c r="B102" s="59" t="str">
        <f>+IF(FEBRERO!B102=0,"",FEBRERO!B102)</f>
        <v>MUNICIPIO</v>
      </c>
      <c r="C102" s="574">
        <f>+ENERO!C102</f>
        <v>0</v>
      </c>
      <c r="D102" s="574">
        <f>FEBRERO!D102+MARZO!P102</f>
        <v>0</v>
      </c>
      <c r="E102" s="574">
        <f>FEBRERO!E102+MARZO!Q102</f>
        <v>0</v>
      </c>
      <c r="F102" s="575">
        <f t="shared" si="104"/>
        <v>0</v>
      </c>
      <c r="G102" s="576">
        <f>FEBRERO!I102</f>
        <v>0</v>
      </c>
      <c r="H102" s="457">
        <v>0</v>
      </c>
      <c r="I102" s="575">
        <f t="shared" si="105"/>
        <v>0</v>
      </c>
      <c r="J102" s="576">
        <f>FEBRERO!L102</f>
        <v>0</v>
      </c>
      <c r="K102" s="457">
        <v>0</v>
      </c>
      <c r="L102" s="575">
        <f t="shared" si="106"/>
        <v>0</v>
      </c>
      <c r="M102" s="576">
        <f t="shared" si="107"/>
        <v>0</v>
      </c>
      <c r="N102" s="575">
        <f t="shared" si="108"/>
        <v>0</v>
      </c>
      <c r="O102" s="562"/>
      <c r="P102" s="455">
        <v>0</v>
      </c>
      <c r="Q102" s="458">
        <v>0</v>
      </c>
      <c r="R102" s="10"/>
      <c r="S102" s="155">
        <f>+IF(FEBRERO!S102=0,"",FEBRERO!S102)</f>
        <v>1020399</v>
      </c>
      <c r="T102" s="238" t="str">
        <f>+IF(FEBRERO!T102=0,"",FEBRERO!T102)</f>
        <v>Vigencias Anteriores</v>
      </c>
      <c r="U102" s="31">
        <f>+ENERO!U102</f>
        <v>0</v>
      </c>
      <c r="V102" s="17">
        <f>FEBRERO!V102+MARZO!AL102</f>
        <v>0</v>
      </c>
      <c r="W102" s="17">
        <f>FEBRERO!W102+MARZO!AM102</f>
        <v>5352587</v>
      </c>
      <c r="X102" s="20">
        <f t="shared" si="96"/>
        <v>5352587</v>
      </c>
      <c r="Y102" s="21">
        <f>FEBRERO!AA102</f>
        <v>5352587</v>
      </c>
      <c r="Z102" s="457">
        <v>0</v>
      </c>
      <c r="AA102" s="18">
        <f t="shared" si="97"/>
        <v>5352587</v>
      </c>
      <c r="AB102" s="21">
        <f>FEBRERO!AD102</f>
        <v>5352587</v>
      </c>
      <c r="AC102" s="457">
        <v>0</v>
      </c>
      <c r="AD102" s="18">
        <f t="shared" si="98"/>
        <v>5352587</v>
      </c>
      <c r="AE102" s="21">
        <f>FEBRERO!AG102</f>
        <v>5352587</v>
      </c>
      <c r="AF102" s="457">
        <v>0</v>
      </c>
      <c r="AG102" s="18">
        <f t="shared" si="99"/>
        <v>5352587</v>
      </c>
      <c r="AH102" s="21">
        <f t="shared" si="100"/>
        <v>0</v>
      </c>
      <c r="AI102" s="17">
        <f t="shared" si="101"/>
        <v>0</v>
      </c>
      <c r="AJ102" s="18">
        <f t="shared" si="102"/>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+IF(FEBRERO!A103=0,"",FEBRERO!A103)</f>
        <v>11303-4</v>
      </c>
      <c r="B103" s="59" t="str">
        <f>+IF(FEBRERO!B103=0,"",FEBRERO!B103)</f>
        <v>CONVENIOS (EMPRESTITO)</v>
      </c>
      <c r="C103" s="574">
        <f>+ENERO!C103</f>
        <v>0</v>
      </c>
      <c r="D103" s="574">
        <f>FEBRERO!D103+MARZO!P103</f>
        <v>0</v>
      </c>
      <c r="E103" s="574">
        <f>FEBRERO!E103+MARZO!Q103</f>
        <v>0</v>
      </c>
      <c r="F103" s="575">
        <f t="shared" si="104"/>
        <v>0</v>
      </c>
      <c r="G103" s="576">
        <f>FEBRERO!I103</f>
        <v>0</v>
      </c>
      <c r="H103" s="457">
        <v>0</v>
      </c>
      <c r="I103" s="575">
        <f t="shared" si="105"/>
        <v>0</v>
      </c>
      <c r="J103" s="576">
        <f>FEBRERO!L103</f>
        <v>0</v>
      </c>
      <c r="K103" s="457">
        <v>0</v>
      </c>
      <c r="L103" s="575">
        <f t="shared" si="106"/>
        <v>0</v>
      </c>
      <c r="M103" s="576">
        <f t="shared" si="107"/>
        <v>0</v>
      </c>
      <c r="N103" s="575">
        <f t="shared" si="108"/>
        <v>0</v>
      </c>
      <c r="O103" s="562"/>
      <c r="P103" s="455">
        <v>0</v>
      </c>
      <c r="Q103" s="458">
        <v>0</v>
      </c>
      <c r="R103" s="10"/>
      <c r="S103" s="448" t="str">
        <f>+IF(FEBRERO!S103=0,"",FEBRERO!S103)</f>
        <v/>
      </c>
      <c r="T103" s="649" t="str">
        <f>+IF(FEBRERO!T103=0,"",FEBRERO!T103)</f>
        <v/>
      </c>
      <c r="U103" s="450"/>
      <c r="V103" s="193"/>
      <c r="W103" s="193"/>
      <c r="X103" s="193"/>
      <c r="Y103" s="450"/>
      <c r="Z103" s="193"/>
      <c r="AA103" s="207"/>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+IF(FEBRERO!A104=0,"",FEBRERO!A104)</f>
        <v>11303-5</v>
      </c>
      <c r="B104" s="59" t="str">
        <f>+IF(FEBRERO!B104=0,"",FEBRERO!B104)</f>
        <v>OTROS CONVENIOS</v>
      </c>
      <c r="C104" s="574">
        <f>+ENERO!C104</f>
        <v>0</v>
      </c>
      <c r="D104" s="574">
        <f>FEBRERO!D104+MARZO!P104</f>
        <v>0</v>
      </c>
      <c r="E104" s="574">
        <f>FEBRERO!E104+MARZO!Q104</f>
        <v>0</v>
      </c>
      <c r="F104" s="575">
        <f t="shared" si="104"/>
        <v>0</v>
      </c>
      <c r="G104" s="576">
        <f>FEBRERO!I104</f>
        <v>0</v>
      </c>
      <c r="H104" s="457">
        <v>0</v>
      </c>
      <c r="I104" s="575">
        <f t="shared" si="105"/>
        <v>0</v>
      </c>
      <c r="J104" s="576">
        <f>FEBRERO!L104</f>
        <v>0</v>
      </c>
      <c r="K104" s="457">
        <v>0</v>
      </c>
      <c r="L104" s="575">
        <f t="shared" si="106"/>
        <v>0</v>
      </c>
      <c r="M104" s="576">
        <f t="shared" si="107"/>
        <v>0</v>
      </c>
      <c r="N104" s="575">
        <f t="shared" si="108"/>
        <v>0</v>
      </c>
      <c r="O104" s="562"/>
      <c r="P104" s="455">
        <v>0</v>
      </c>
      <c r="Q104" s="458">
        <v>0</v>
      </c>
      <c r="R104" s="10"/>
      <c r="S104" s="34">
        <f>+IF(FEBRERO!S104=0,"",FEBRERO!S104)</f>
        <v>1020400</v>
      </c>
      <c r="T104" s="237" t="str">
        <f>+IF(FEBRERO!T104=0,"",FEBRERO!T104)</f>
        <v>Contribuciones Inherentes nómina del Sector Publico</v>
      </c>
      <c r="U104" s="151">
        <f t="shared" ref="U104:AJ104" si="109">U105+U108</f>
        <v>56393675</v>
      </c>
      <c r="V104" s="144">
        <f t="shared" si="109"/>
        <v>0</v>
      </c>
      <c r="W104" s="144">
        <f t="shared" si="109"/>
        <v>0</v>
      </c>
      <c r="X104" s="152">
        <f t="shared" si="109"/>
        <v>56393675</v>
      </c>
      <c r="Y104" s="151">
        <f t="shared" si="109"/>
        <v>7938200</v>
      </c>
      <c r="Z104" s="144">
        <f t="shared" si="109"/>
        <v>3874200</v>
      </c>
      <c r="AA104" s="153">
        <f t="shared" si="109"/>
        <v>11812400</v>
      </c>
      <c r="AB104" s="151">
        <f t="shared" si="109"/>
        <v>7938200</v>
      </c>
      <c r="AC104" s="144">
        <f t="shared" si="109"/>
        <v>3874200</v>
      </c>
      <c r="AD104" s="153">
        <f t="shared" si="109"/>
        <v>11812400</v>
      </c>
      <c r="AE104" s="151">
        <f t="shared" si="109"/>
        <v>3770300</v>
      </c>
      <c r="AF104" s="144">
        <f t="shared" si="109"/>
        <v>4167900</v>
      </c>
      <c r="AG104" s="153">
        <f t="shared" si="109"/>
        <v>7938200</v>
      </c>
      <c r="AH104" s="151">
        <f t="shared" si="109"/>
        <v>44581275</v>
      </c>
      <c r="AI104" s="144">
        <f t="shared" si="109"/>
        <v>44581275</v>
      </c>
      <c r="AJ104" s="153">
        <f t="shared" si="109"/>
        <v>48455475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+IF(FEBRERO!A105=0,"",FEBRERO!A105)</f>
        <v>11303-6</v>
      </c>
      <c r="B105" s="59" t="str">
        <f>+IF(FEBRERO!B105=0,"",FEBRERO!B105)</f>
        <v>APORTES PATRONALES MUNICIPIO / DEPARTAMENTO</v>
      </c>
      <c r="C105" s="574">
        <f>+ENERO!C105</f>
        <v>0</v>
      </c>
      <c r="D105" s="574">
        <f>FEBRERO!D105+MARZO!P105</f>
        <v>227076373</v>
      </c>
      <c r="E105" s="574">
        <f>FEBRERO!E105+MARZO!Q105</f>
        <v>25449068</v>
      </c>
      <c r="F105" s="575">
        <f t="shared" si="104"/>
        <v>252525441</v>
      </c>
      <c r="G105" s="576">
        <f>FEBRERO!I105</f>
        <v>0</v>
      </c>
      <c r="H105" s="457">
        <v>63131360</v>
      </c>
      <c r="I105" s="575">
        <f t="shared" si="105"/>
        <v>63131360</v>
      </c>
      <c r="J105" s="576">
        <f>FEBRERO!L105</f>
        <v>0</v>
      </c>
      <c r="K105" s="457">
        <v>63131360</v>
      </c>
      <c r="L105" s="575">
        <f t="shared" si="106"/>
        <v>63131360</v>
      </c>
      <c r="M105" s="576">
        <f t="shared" si="107"/>
        <v>189394081</v>
      </c>
      <c r="N105" s="575">
        <f t="shared" si="108"/>
        <v>189394081</v>
      </c>
      <c r="O105" s="562"/>
      <c r="P105" s="455">
        <v>227076373</v>
      </c>
      <c r="Q105" s="458">
        <v>25449068</v>
      </c>
      <c r="R105" s="10"/>
      <c r="S105" s="155">
        <f>+IF(FEBRERO!S105=0,"",FEBRERO!S105)</f>
        <v>1020402</v>
      </c>
      <c r="T105" s="238" t="str">
        <f>+IF(FEBRERO!T105=0,"",FEBRERO!T105)</f>
        <v>Contribuciones - Otros</v>
      </c>
      <c r="U105" s="31">
        <f t="shared" ref="U105:AJ105" si="110">SUM(U106:U107)</f>
        <v>56393675</v>
      </c>
      <c r="V105" s="17">
        <f t="shared" si="110"/>
        <v>0</v>
      </c>
      <c r="W105" s="17">
        <f t="shared" si="110"/>
        <v>0</v>
      </c>
      <c r="X105" s="20">
        <f t="shared" si="110"/>
        <v>56393675</v>
      </c>
      <c r="Y105" s="21">
        <f t="shared" si="110"/>
        <v>7938200</v>
      </c>
      <c r="Z105" s="169">
        <f t="shared" si="110"/>
        <v>3874200</v>
      </c>
      <c r="AA105" s="18">
        <f t="shared" si="110"/>
        <v>11812400</v>
      </c>
      <c r="AB105" s="21">
        <f t="shared" si="110"/>
        <v>7938200</v>
      </c>
      <c r="AC105" s="169">
        <f t="shared" si="110"/>
        <v>3874200</v>
      </c>
      <c r="AD105" s="18">
        <f t="shared" si="110"/>
        <v>11812400</v>
      </c>
      <c r="AE105" s="21">
        <f t="shared" si="110"/>
        <v>3770300</v>
      </c>
      <c r="AF105" s="169">
        <f t="shared" si="110"/>
        <v>4167900</v>
      </c>
      <c r="AG105" s="18">
        <f t="shared" si="110"/>
        <v>7938200</v>
      </c>
      <c r="AH105" s="21">
        <f t="shared" si="110"/>
        <v>44581275</v>
      </c>
      <c r="AI105" s="17">
        <f t="shared" si="110"/>
        <v>44581275</v>
      </c>
      <c r="AJ105" s="18">
        <f t="shared" si="110"/>
        <v>48455475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+IF(FEBRERO!A106=0,"",FEBRERO!A106)</f>
        <v>11303-5</v>
      </c>
      <c r="B106" s="578" t="str">
        <f>+IF(FEBRERO!B106=0,"",FEBRERO!B106)</f>
        <v>Vigencias Anteriores</v>
      </c>
      <c r="C106" s="564">
        <f>+ENERO!C106</f>
        <v>0</v>
      </c>
      <c r="D106" s="564">
        <f>FEBRERO!D106+MARZO!P106</f>
        <v>0</v>
      </c>
      <c r="E106" s="564">
        <f>FEBRERO!E106+MARZO!Q106</f>
        <v>0</v>
      </c>
      <c r="F106" s="565">
        <f t="shared" si="104"/>
        <v>0</v>
      </c>
      <c r="G106" s="566">
        <f>FEBRERO!I106</f>
        <v>0</v>
      </c>
      <c r="H106" s="475">
        <v>0</v>
      </c>
      <c r="I106" s="565">
        <f t="shared" si="105"/>
        <v>0</v>
      </c>
      <c r="J106" s="566">
        <f>FEBRERO!L106</f>
        <v>0</v>
      </c>
      <c r="K106" s="475">
        <v>0</v>
      </c>
      <c r="L106" s="565">
        <f t="shared" si="106"/>
        <v>0</v>
      </c>
      <c r="M106" s="566">
        <f t="shared" si="107"/>
        <v>0</v>
      </c>
      <c r="N106" s="565">
        <f t="shared" si="108"/>
        <v>0</v>
      </c>
      <c r="O106" s="562"/>
      <c r="P106" s="471">
        <v>0</v>
      </c>
      <c r="Q106" s="476">
        <v>0</v>
      </c>
      <c r="R106" s="10"/>
      <c r="S106" s="156" t="str">
        <f>+IF(FEBRERO!S106=0,"",FEBRERO!S106)</f>
        <v>1020402-1</v>
      </c>
      <c r="T106" s="238" t="str">
        <f>+IF(FEBRERO!T106=0,"",FEBRERO!T106)</f>
        <v>S.E.N.A.</v>
      </c>
      <c r="U106" s="31">
        <f>+ENERO!U106</f>
        <v>22557470</v>
      </c>
      <c r="V106" s="17">
        <f>FEBRERO!V106+MARZO!AL106</f>
        <v>0</v>
      </c>
      <c r="W106" s="17">
        <f>FEBRERO!W106+MARZO!AM106</f>
        <v>0</v>
      </c>
      <c r="X106" s="20">
        <f>SUM(U106:W106)</f>
        <v>22557470</v>
      </c>
      <c r="Y106" s="21">
        <f>FEBRERO!AA106</f>
        <v>3216900</v>
      </c>
      <c r="Z106" s="457">
        <v>1549600</v>
      </c>
      <c r="AA106" s="18">
        <f>SUM(Y106:Z106)</f>
        <v>4766500</v>
      </c>
      <c r="AB106" s="21">
        <f>FEBRERO!AD106</f>
        <v>3216900</v>
      </c>
      <c r="AC106" s="457">
        <v>1549600</v>
      </c>
      <c r="AD106" s="18">
        <f>SUM(AB106:AC106)</f>
        <v>4766500</v>
      </c>
      <c r="AE106" s="21">
        <f>FEBRERO!AG106</f>
        <v>1586500</v>
      </c>
      <c r="AF106" s="457">
        <v>1630400</v>
      </c>
      <c r="AG106" s="18">
        <f>SUM(AE106:AF106)</f>
        <v>3216900</v>
      </c>
      <c r="AH106" s="21">
        <f>X106-AA106</f>
        <v>17790970</v>
      </c>
      <c r="AI106" s="17">
        <f>X106-AD106</f>
        <v>17790970</v>
      </c>
      <c r="AJ106" s="18">
        <f>X106-AG106</f>
        <v>19340570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+IF(FEBRERO!S107=0,"",FEBRERO!S107)</f>
        <v>1020402-2</v>
      </c>
      <c r="T107" s="238" t="str">
        <f>+IF(FEBRERO!T107=0,"",FEBRERO!T107)</f>
        <v>I.C.B.F.</v>
      </c>
      <c r="U107" s="31">
        <f>+ENERO!U107</f>
        <v>33836205</v>
      </c>
      <c r="V107" s="17">
        <f>FEBRERO!V107+MARZO!AL107</f>
        <v>0</v>
      </c>
      <c r="W107" s="17">
        <f>FEBRERO!W107+MARZO!AM107</f>
        <v>0</v>
      </c>
      <c r="X107" s="20">
        <f>SUM(U107:W107)</f>
        <v>33836205</v>
      </c>
      <c r="Y107" s="21">
        <f>FEBRERO!AA107</f>
        <v>4721300</v>
      </c>
      <c r="Z107" s="457">
        <v>2324600</v>
      </c>
      <c r="AA107" s="18">
        <f>SUM(Y107:Z107)</f>
        <v>7045900</v>
      </c>
      <c r="AB107" s="21">
        <f>FEBRERO!AD107</f>
        <v>4721300</v>
      </c>
      <c r="AC107" s="457">
        <v>2324600</v>
      </c>
      <c r="AD107" s="18">
        <f>SUM(AB107:AC107)</f>
        <v>7045900</v>
      </c>
      <c r="AE107" s="21">
        <f>FEBRERO!AG107</f>
        <v>2183800</v>
      </c>
      <c r="AF107" s="457">
        <v>2537500</v>
      </c>
      <c r="AG107" s="18">
        <f>SUM(AE107:AF107)</f>
        <v>4721300</v>
      </c>
      <c r="AH107" s="21">
        <f>X107-AA107</f>
        <v>26790305</v>
      </c>
      <c r="AI107" s="17">
        <f>X107-AD107</f>
        <v>26790305</v>
      </c>
      <c r="AJ107" s="18">
        <f>X107-AG107</f>
        <v>29114905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+IF(FEBRERO!A108=0,"",FEBRERO!A108)</f>
        <v>2000</v>
      </c>
      <c r="B108" s="439" t="str">
        <f>+IF(FEBRERO!B108=0,"",FEBRERO!B108)</f>
        <v>INGRESOS DE CAPITAL</v>
      </c>
      <c r="C108" s="215">
        <f t="shared" ref="C108:N108" si="111">SUM(C109:C117)</f>
        <v>1452387</v>
      </c>
      <c r="D108" s="435">
        <f t="shared" si="111"/>
        <v>0</v>
      </c>
      <c r="E108" s="435">
        <f t="shared" si="111"/>
        <v>0</v>
      </c>
      <c r="F108" s="437">
        <f t="shared" si="111"/>
        <v>1452387</v>
      </c>
      <c r="G108" s="215">
        <f t="shared" si="111"/>
        <v>736688</v>
      </c>
      <c r="H108" s="435">
        <f t="shared" si="111"/>
        <v>403947</v>
      </c>
      <c r="I108" s="437">
        <f t="shared" si="111"/>
        <v>1140635</v>
      </c>
      <c r="J108" s="215">
        <f t="shared" si="111"/>
        <v>736688</v>
      </c>
      <c r="K108" s="435">
        <f t="shared" si="111"/>
        <v>403947</v>
      </c>
      <c r="L108" s="216">
        <f t="shared" si="111"/>
        <v>1140635</v>
      </c>
      <c r="M108" s="436">
        <f t="shared" si="111"/>
        <v>311752</v>
      </c>
      <c r="N108" s="216">
        <f t="shared" si="111"/>
        <v>311752</v>
      </c>
      <c r="O108" s="562"/>
      <c r="P108" s="215">
        <f>SUM(P109:P117)</f>
        <v>0</v>
      </c>
      <c r="Q108" s="216">
        <f>SUM(Q109:Q117)</f>
        <v>0</v>
      </c>
      <c r="R108" s="10"/>
      <c r="S108" s="155">
        <f>+IF(FEBRERO!S108=0,"",FEBRERO!S108)</f>
        <v>1020499</v>
      </c>
      <c r="T108" s="238" t="str">
        <f>+IF(FEBRERO!T108=0,"",FEBRERO!T108)</f>
        <v>Vigencias Anteriores</v>
      </c>
      <c r="U108" s="31">
        <f>+ENERO!U108</f>
        <v>0</v>
      </c>
      <c r="V108" s="17">
        <f>FEBRERO!V108+MARZO!AL108</f>
        <v>0</v>
      </c>
      <c r="W108" s="17">
        <f>FEBRERO!W108+MARZO!AM108</f>
        <v>0</v>
      </c>
      <c r="X108" s="20">
        <f>SUM(U108:W108)</f>
        <v>0</v>
      </c>
      <c r="Y108" s="21">
        <f>FEBRERO!AA108</f>
        <v>0</v>
      </c>
      <c r="Z108" s="457">
        <v>0</v>
      </c>
      <c r="AA108" s="18">
        <f>SUM(Y108:Z108)</f>
        <v>0</v>
      </c>
      <c r="AB108" s="21">
        <f>FEBRERO!AD108</f>
        <v>0</v>
      </c>
      <c r="AC108" s="457">
        <v>0</v>
      </c>
      <c r="AD108" s="18">
        <f>SUM(AB108:AC108)</f>
        <v>0</v>
      </c>
      <c r="AE108" s="21">
        <f>FEBRERO!AG108</f>
        <v>0</v>
      </c>
      <c r="AF108" s="457">
        <v>0</v>
      </c>
      <c r="AG108" s="18">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+IF(FEBRERO!A109=0,"",FEBRERO!A109)</f>
        <v>2100</v>
      </c>
      <c r="B109" s="56" t="str">
        <f>+IF(FEBRERO!B109=0,"",FEBRERO!B109)</f>
        <v>CREDITO INTERNO</v>
      </c>
      <c r="C109" s="576">
        <f>+ENERO!C109</f>
        <v>0</v>
      </c>
      <c r="D109" s="574">
        <f>FEBRERO!D109+MARZO!P109</f>
        <v>0</v>
      </c>
      <c r="E109" s="574">
        <f>FEBRERO!E109+MARZO!Q109</f>
        <v>0</v>
      </c>
      <c r="F109" s="584">
        <f t="shared" ref="F109:F116" si="112">SUM(C109:E109)</f>
        <v>0</v>
      </c>
      <c r="G109" s="576">
        <f>FEBRERO!I109</f>
        <v>0</v>
      </c>
      <c r="H109" s="457">
        <v>0</v>
      </c>
      <c r="I109" s="584">
        <f t="shared" ref="I109:I116" si="113">SUM(G109:H109)</f>
        <v>0</v>
      </c>
      <c r="J109" s="576">
        <f>FEBRERO!L109</f>
        <v>0</v>
      </c>
      <c r="K109" s="457">
        <v>0</v>
      </c>
      <c r="L109" s="575">
        <f t="shared" ref="L109:L116" si="114">SUM(J109:K109)</f>
        <v>0</v>
      </c>
      <c r="M109" s="585">
        <f t="shared" ref="M109:M116" si="115">F109-I109</f>
        <v>0</v>
      </c>
      <c r="N109" s="575">
        <f t="shared" ref="N109:N116" si="116">F109-L109</f>
        <v>0</v>
      </c>
      <c r="O109" s="562"/>
      <c r="P109" s="455">
        <v>0</v>
      </c>
      <c r="Q109" s="458">
        <v>0</v>
      </c>
      <c r="R109" s="10"/>
      <c r="S109" s="448" t="str">
        <f>+IF(FEBRERO!S109=0,"",FEBRERO!S109)</f>
        <v/>
      </c>
      <c r="T109" s="649" t="str">
        <f>+IF(FEBRERO!T109=0,"",FEBRERO!T109)</f>
        <v/>
      </c>
      <c r="U109" s="450"/>
      <c r="V109" s="193"/>
      <c r="W109" s="193"/>
      <c r="X109" s="193"/>
      <c r="Y109" s="450"/>
      <c r="Z109" s="193"/>
      <c r="AA109" s="207"/>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+IF(FEBRERO!A110=0,"",FEBRERO!A110)</f>
        <v>2100-1</v>
      </c>
      <c r="B110" s="563" t="s">
        <v>482</v>
      </c>
      <c r="C110" s="576">
        <f>+ENERO!C110</f>
        <v>0</v>
      </c>
      <c r="D110" s="574">
        <f>FEBRERO!D110+MARZO!P110</f>
        <v>0</v>
      </c>
      <c r="E110" s="574">
        <f>FEBRERO!E110+MARZO!Q110</f>
        <v>0</v>
      </c>
      <c r="F110" s="584">
        <f t="shared" si="112"/>
        <v>0</v>
      </c>
      <c r="G110" s="576">
        <f>FEBRERO!I110</f>
        <v>0</v>
      </c>
      <c r="H110" s="457">
        <v>0</v>
      </c>
      <c r="I110" s="584">
        <f t="shared" si="113"/>
        <v>0</v>
      </c>
      <c r="J110" s="576">
        <f>FEBRERO!L110</f>
        <v>0</v>
      </c>
      <c r="K110" s="457">
        <v>0</v>
      </c>
      <c r="L110" s="575">
        <f t="shared" si="114"/>
        <v>0</v>
      </c>
      <c r="M110" s="585">
        <f t="shared" si="115"/>
        <v>0</v>
      </c>
      <c r="N110" s="575">
        <f t="shared" si="116"/>
        <v>0</v>
      </c>
      <c r="O110" s="562"/>
      <c r="P110" s="455">
        <v>0</v>
      </c>
      <c r="Q110" s="458">
        <v>0</v>
      </c>
      <c r="R110" s="10"/>
      <c r="S110" s="469">
        <f>+IF(FEBRERO!S110=0,"",FEBRERO!S110)</f>
        <v>2000000</v>
      </c>
      <c r="T110" s="680" t="str">
        <f>+IF(FEBRERO!T110=0,"",FEBRERO!T110)</f>
        <v>GASTOS GENERALES</v>
      </c>
      <c r="U110" s="464">
        <f t="shared" ref="U110:AJ110" si="117">U112+U145</f>
        <v>576550123</v>
      </c>
      <c r="V110" s="590">
        <f t="shared" si="117"/>
        <v>-746499</v>
      </c>
      <c r="W110" s="590">
        <f t="shared" si="117"/>
        <v>20751005</v>
      </c>
      <c r="X110" s="591">
        <f t="shared" si="117"/>
        <v>596554629</v>
      </c>
      <c r="Y110" s="464">
        <f t="shared" si="117"/>
        <v>100870673</v>
      </c>
      <c r="Z110" s="590">
        <f t="shared" si="117"/>
        <v>45174386</v>
      </c>
      <c r="AA110" s="465">
        <f t="shared" si="117"/>
        <v>146045059</v>
      </c>
      <c r="AB110" s="464">
        <f t="shared" si="117"/>
        <v>100870672</v>
      </c>
      <c r="AC110" s="590">
        <f t="shared" si="117"/>
        <v>45174386</v>
      </c>
      <c r="AD110" s="465">
        <f t="shared" si="117"/>
        <v>146045058</v>
      </c>
      <c r="AE110" s="464">
        <f t="shared" si="117"/>
        <v>63007594</v>
      </c>
      <c r="AF110" s="590">
        <f t="shared" si="117"/>
        <v>37842814</v>
      </c>
      <c r="AG110" s="465">
        <f t="shared" si="117"/>
        <v>100850408</v>
      </c>
      <c r="AH110" s="464">
        <f t="shared" si="117"/>
        <v>450509570</v>
      </c>
      <c r="AI110" s="590">
        <f t="shared" si="117"/>
        <v>450509571</v>
      </c>
      <c r="AJ110" s="465">
        <f t="shared" si="117"/>
        <v>495704221</v>
      </c>
      <c r="AK110" s="12"/>
      <c r="AL110" s="151">
        <f>AL112+AL145</f>
        <v>0</v>
      </c>
      <c r="AM110" s="153">
        <f>AM112+AM145</f>
        <v>6001000</v>
      </c>
      <c r="AN110" s="10"/>
      <c r="AO110" s="365"/>
      <c r="AP110" s="365"/>
      <c r="AQ110" s="365"/>
      <c r="AR110" s="365"/>
      <c r="AS110" s="365"/>
      <c r="AT110" s="365"/>
      <c r="AU110" s="365"/>
      <c r="AV110" s="365"/>
      <c r="AW110" s="365"/>
      <c r="AX110" s="365"/>
      <c r="AY110" s="365"/>
      <c r="AZ110" s="365"/>
    </row>
    <row r="111" spans="1:70" s="467" customFormat="1" ht="15.75" x14ac:dyDescent="0.2">
      <c r="A111" s="47">
        <f>+IF(FEBRERO!A111=0,"",FEBRERO!A111)</f>
        <v>2200</v>
      </c>
      <c r="B111" s="56" t="str">
        <f>+IF(FEBRERO!B111=0,"",FEBRERO!B111)</f>
        <v>CREDITO EXTERNO</v>
      </c>
      <c r="C111" s="576">
        <f>+ENERO!C111</f>
        <v>0</v>
      </c>
      <c r="D111" s="574">
        <f>FEBRERO!D111+MARZO!P111</f>
        <v>0</v>
      </c>
      <c r="E111" s="574">
        <f>FEBRERO!E111+MARZO!Q111</f>
        <v>0</v>
      </c>
      <c r="F111" s="584">
        <f t="shared" si="112"/>
        <v>0</v>
      </c>
      <c r="G111" s="576">
        <f>FEBRERO!I111</f>
        <v>0</v>
      </c>
      <c r="H111" s="457">
        <v>0</v>
      </c>
      <c r="I111" s="584">
        <f t="shared" si="113"/>
        <v>0</v>
      </c>
      <c r="J111" s="576">
        <f>FEBRERO!L111</f>
        <v>0</v>
      </c>
      <c r="K111" s="457">
        <v>0</v>
      </c>
      <c r="L111" s="575">
        <f t="shared" si="114"/>
        <v>0</v>
      </c>
      <c r="M111" s="585">
        <f t="shared" si="115"/>
        <v>0</v>
      </c>
      <c r="N111" s="575">
        <f t="shared" si="116"/>
        <v>0</v>
      </c>
      <c r="O111" s="562"/>
      <c r="P111" s="455">
        <v>0</v>
      </c>
      <c r="Q111" s="458">
        <v>0</v>
      </c>
      <c r="R111" s="10"/>
      <c r="S111" s="448" t="str">
        <f>+IF(FEBRERO!S111=0,"",FEBRERO!S111)</f>
        <v/>
      </c>
      <c r="T111" s="649" t="str">
        <f>+IF(FEBRERO!T111=0,"",FEBRERO!T111)</f>
        <v/>
      </c>
      <c r="U111" s="450"/>
      <c r="V111" s="193"/>
      <c r="W111" s="193"/>
      <c r="X111" s="193"/>
      <c r="Y111" s="450"/>
      <c r="Z111" s="193"/>
      <c r="AA111" s="207"/>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+IF(FEBRERO!A112=0,"",FEBRERO!A112)</f>
        <v>2200-1</v>
      </c>
      <c r="B112" s="563" t="s">
        <v>482</v>
      </c>
      <c r="C112" s="576">
        <f>+ENERO!C112</f>
        <v>0</v>
      </c>
      <c r="D112" s="574">
        <f>FEBRERO!D112+MARZO!P112</f>
        <v>0</v>
      </c>
      <c r="E112" s="574">
        <f>FEBRERO!E112+MARZO!Q112</f>
        <v>0</v>
      </c>
      <c r="F112" s="584">
        <f t="shared" si="112"/>
        <v>0</v>
      </c>
      <c r="G112" s="576">
        <f>FEBRERO!I112</f>
        <v>0</v>
      </c>
      <c r="H112" s="457">
        <v>0</v>
      </c>
      <c r="I112" s="584">
        <f t="shared" si="113"/>
        <v>0</v>
      </c>
      <c r="J112" s="576">
        <f>FEBRERO!L112</f>
        <v>0</v>
      </c>
      <c r="K112" s="457">
        <v>0</v>
      </c>
      <c r="L112" s="575">
        <f t="shared" si="114"/>
        <v>0</v>
      </c>
      <c r="M112" s="585">
        <f t="shared" si="115"/>
        <v>0</v>
      </c>
      <c r="N112" s="575">
        <f t="shared" si="116"/>
        <v>0</v>
      </c>
      <c r="O112" s="562"/>
      <c r="P112" s="455">
        <v>0</v>
      </c>
      <c r="Q112" s="458">
        <v>0</v>
      </c>
      <c r="R112" s="10"/>
      <c r="S112" s="469">
        <f>+IF(FEBRERO!S112=0,"",FEBRERO!S112)</f>
        <v>2010000</v>
      </c>
      <c r="T112" s="676" t="str">
        <f>+IF(FEBRERO!T112=0,"",FEBRERO!T112)</f>
        <v>Gastos de Administración</v>
      </c>
      <c r="U112" s="151">
        <f t="shared" ref="U112:AJ112" si="118">U114+U123+U141</f>
        <v>198386660</v>
      </c>
      <c r="V112" s="144">
        <f t="shared" si="118"/>
        <v>0</v>
      </c>
      <c r="W112" s="144">
        <f t="shared" si="118"/>
        <v>6463473</v>
      </c>
      <c r="X112" s="152">
        <f t="shared" si="118"/>
        <v>204850133</v>
      </c>
      <c r="Y112" s="151">
        <f t="shared" si="118"/>
        <v>37866027</v>
      </c>
      <c r="Z112" s="144">
        <f t="shared" si="118"/>
        <v>19652996</v>
      </c>
      <c r="AA112" s="153">
        <f t="shared" si="118"/>
        <v>57519023</v>
      </c>
      <c r="AB112" s="151">
        <f t="shared" si="118"/>
        <v>37866026</v>
      </c>
      <c r="AC112" s="144">
        <f t="shared" si="118"/>
        <v>19652996</v>
      </c>
      <c r="AD112" s="153">
        <f t="shared" si="118"/>
        <v>57519022</v>
      </c>
      <c r="AE112" s="151">
        <f t="shared" si="118"/>
        <v>29204485</v>
      </c>
      <c r="AF112" s="144">
        <f t="shared" si="118"/>
        <v>14863971</v>
      </c>
      <c r="AG112" s="153">
        <f t="shared" si="118"/>
        <v>44068456</v>
      </c>
      <c r="AH112" s="151">
        <f t="shared" si="118"/>
        <v>147331110</v>
      </c>
      <c r="AI112" s="144">
        <f t="shared" si="118"/>
        <v>147331111</v>
      </c>
      <c r="AJ112" s="153">
        <f t="shared" si="118"/>
        <v>160781677</v>
      </c>
      <c r="AK112" s="10"/>
      <c r="AL112" s="151">
        <f>AL114+AL123+AL141</f>
        <v>0</v>
      </c>
      <c r="AM112" s="153">
        <f>AM114+AM123+AM141</f>
        <v>1001000</v>
      </c>
      <c r="AN112" s="10"/>
      <c r="AO112" s="365"/>
      <c r="AP112" s="365"/>
      <c r="AQ112" s="365"/>
      <c r="AR112" s="365"/>
      <c r="AS112" s="365"/>
      <c r="AT112" s="365"/>
      <c r="AU112" s="365"/>
      <c r="AV112" s="365"/>
      <c r="AW112" s="365"/>
      <c r="AX112" s="365"/>
      <c r="AY112" s="365"/>
      <c r="AZ112" s="365"/>
    </row>
    <row r="113" spans="1:52" s="467" customFormat="1" ht="15.75" x14ac:dyDescent="0.2">
      <c r="A113" s="47">
        <f>+IF(FEBRERO!A113=0,"",FEBRERO!A113)</f>
        <v>2300</v>
      </c>
      <c r="B113" s="56" t="str">
        <f>+IF(FEBRERO!B113=0,"",FEBRERO!B113)</f>
        <v>RENDIMIENTOS FINANCIEROS</v>
      </c>
      <c r="C113" s="576">
        <f>+ENERO!C113</f>
        <v>305317</v>
      </c>
      <c r="D113" s="574">
        <f>FEBRERO!D113+MARZO!P113</f>
        <v>0</v>
      </c>
      <c r="E113" s="574">
        <f>FEBRERO!E113+MARZO!Q113</f>
        <v>0</v>
      </c>
      <c r="F113" s="584">
        <f t="shared" si="112"/>
        <v>305317</v>
      </c>
      <c r="G113" s="576">
        <f>FEBRERO!I113</f>
        <v>110820</v>
      </c>
      <c r="H113" s="457">
        <v>31847</v>
      </c>
      <c r="I113" s="584">
        <f t="shared" si="113"/>
        <v>142667</v>
      </c>
      <c r="J113" s="576">
        <f>FEBRERO!L113</f>
        <v>110820</v>
      </c>
      <c r="K113" s="457">
        <v>31847</v>
      </c>
      <c r="L113" s="575">
        <f t="shared" si="114"/>
        <v>142667</v>
      </c>
      <c r="M113" s="585">
        <f t="shared" si="115"/>
        <v>162650</v>
      </c>
      <c r="N113" s="575">
        <f t="shared" si="116"/>
        <v>162650</v>
      </c>
      <c r="O113" s="562"/>
      <c r="P113" s="455">
        <v>0</v>
      </c>
      <c r="Q113" s="458">
        <v>0</v>
      </c>
      <c r="R113" s="10"/>
      <c r="S113" s="448" t="str">
        <f>+IF(FEBRERO!S113=0,"",FEBRERO!S113)</f>
        <v/>
      </c>
      <c r="T113" s="649" t="str">
        <f>+IF(FEBRERO!T113=0,"",FEBRERO!T113)</f>
        <v/>
      </c>
      <c r="U113" s="450"/>
      <c r="V113" s="193"/>
      <c r="W113" s="193"/>
      <c r="X113" s="193"/>
      <c r="Y113" s="450"/>
      <c r="Z113" s="193"/>
      <c r="AA113" s="207"/>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+IF(FEBRERO!A114=0,"",FEBRERO!A114)</f>
        <v>2400</v>
      </c>
      <c r="B114" s="55" t="str">
        <f>+IF(FEBRERO!B114=0,"",FEBRERO!B114)</f>
        <v>VENTA DE ACTIVOS</v>
      </c>
      <c r="C114" s="283">
        <f>+ENERO!C114</f>
        <v>0</v>
      </c>
      <c r="D114" s="456">
        <f>FEBRERO!D114+MARZO!P114</f>
        <v>0</v>
      </c>
      <c r="E114" s="456">
        <f>FEBRERO!E114+MARZO!Q114</f>
        <v>0</v>
      </c>
      <c r="F114" s="593">
        <f t="shared" si="112"/>
        <v>0</v>
      </c>
      <c r="G114" s="283">
        <f>FEBRERO!I114</f>
        <v>0</v>
      </c>
      <c r="H114" s="457">
        <v>0</v>
      </c>
      <c r="I114" s="593">
        <f t="shared" si="113"/>
        <v>0</v>
      </c>
      <c r="J114" s="283">
        <f>FEBRERO!L114</f>
        <v>0</v>
      </c>
      <c r="K114" s="457">
        <v>0</v>
      </c>
      <c r="L114" s="170">
        <f t="shared" si="114"/>
        <v>0</v>
      </c>
      <c r="M114" s="535">
        <f t="shared" si="115"/>
        <v>0</v>
      </c>
      <c r="N114" s="170">
        <f t="shared" si="116"/>
        <v>0</v>
      </c>
      <c r="O114" s="562"/>
      <c r="P114" s="455">
        <v>0</v>
      </c>
      <c r="Q114" s="458">
        <v>0</v>
      </c>
      <c r="R114" s="10"/>
      <c r="S114" s="34">
        <f>+IF(FEBRERO!S114=0,"",FEBRERO!S114)</f>
        <v>2010100</v>
      </c>
      <c r="T114" s="237" t="str">
        <f>+IF(FEBRERO!T114=0,"",FEBRERO!T114)</f>
        <v>Adquisición de bienes</v>
      </c>
      <c r="U114" s="151">
        <f t="shared" ref="U114:AJ114" si="119">SUM(U115:U121)</f>
        <v>67419307</v>
      </c>
      <c r="V114" s="144">
        <f t="shared" si="119"/>
        <v>0</v>
      </c>
      <c r="W114" s="144">
        <f t="shared" si="119"/>
        <v>1397432</v>
      </c>
      <c r="X114" s="152">
        <f t="shared" si="119"/>
        <v>68816739</v>
      </c>
      <c r="Y114" s="151">
        <f t="shared" si="119"/>
        <v>10809289</v>
      </c>
      <c r="Z114" s="144">
        <f t="shared" si="119"/>
        <v>1055135</v>
      </c>
      <c r="AA114" s="153">
        <f t="shared" si="119"/>
        <v>11864424</v>
      </c>
      <c r="AB114" s="151">
        <f t="shared" si="119"/>
        <v>10809288</v>
      </c>
      <c r="AC114" s="144">
        <f t="shared" si="119"/>
        <v>1055135</v>
      </c>
      <c r="AD114" s="153">
        <f t="shared" si="119"/>
        <v>11864423</v>
      </c>
      <c r="AE114" s="151">
        <f t="shared" si="119"/>
        <v>2521791</v>
      </c>
      <c r="AF114" s="144">
        <f t="shared" si="119"/>
        <v>3624662</v>
      </c>
      <c r="AG114" s="153">
        <f t="shared" si="119"/>
        <v>6146453</v>
      </c>
      <c r="AH114" s="151">
        <f t="shared" si="119"/>
        <v>56952315</v>
      </c>
      <c r="AI114" s="144">
        <f t="shared" si="119"/>
        <v>56952316</v>
      </c>
      <c r="AJ114" s="153">
        <f t="shared" si="119"/>
        <v>62670286</v>
      </c>
      <c r="AK114" s="10"/>
      <c r="AL114" s="151">
        <f>SUM(AL115:AL121)</f>
        <v>0</v>
      </c>
      <c r="AM114" s="153">
        <f>SUM(AM115:AM121)</f>
        <v>1000</v>
      </c>
      <c r="AN114" s="10"/>
      <c r="AO114" s="365"/>
      <c r="AP114" s="365"/>
      <c r="AQ114" s="365"/>
      <c r="AR114" s="365"/>
      <c r="AS114" s="365"/>
      <c r="AT114" s="365"/>
      <c r="AU114" s="365"/>
      <c r="AV114" s="365"/>
      <c r="AW114" s="365"/>
      <c r="AX114" s="365"/>
      <c r="AY114" s="365"/>
      <c r="AZ114" s="365"/>
    </row>
    <row r="115" spans="1:52" s="467" customFormat="1" x14ac:dyDescent="0.2">
      <c r="A115" s="48">
        <f>+IF(FEBRERO!A115=0,"",FEBRERO!A115)</f>
        <v>2500</v>
      </c>
      <c r="B115" s="55" t="str">
        <f>+IF(FEBRERO!B115=0,"",FEBRERO!B115)</f>
        <v>DONACIONES</v>
      </c>
      <c r="C115" s="283">
        <f>+ENERO!C115</f>
        <v>0</v>
      </c>
      <c r="D115" s="456">
        <f>FEBRERO!D115+MARZO!P115</f>
        <v>0</v>
      </c>
      <c r="E115" s="456">
        <f>FEBRERO!E115+MARZO!Q115</f>
        <v>0</v>
      </c>
      <c r="F115" s="593">
        <f t="shared" si="112"/>
        <v>0</v>
      </c>
      <c r="G115" s="283">
        <f>FEBRERO!I115</f>
        <v>0</v>
      </c>
      <c r="H115" s="457">
        <v>0</v>
      </c>
      <c r="I115" s="593">
        <f t="shared" si="113"/>
        <v>0</v>
      </c>
      <c r="J115" s="283">
        <f>FEBRERO!L115</f>
        <v>0</v>
      </c>
      <c r="K115" s="457">
        <v>0</v>
      </c>
      <c r="L115" s="170">
        <f t="shared" si="114"/>
        <v>0</v>
      </c>
      <c r="M115" s="535">
        <f t="shared" si="115"/>
        <v>0</v>
      </c>
      <c r="N115" s="170">
        <f t="shared" si="116"/>
        <v>0</v>
      </c>
      <c r="P115" s="455">
        <v>0</v>
      </c>
      <c r="Q115" s="458">
        <v>0</v>
      </c>
      <c r="R115" s="10"/>
      <c r="S115" s="155" t="str">
        <f>+IF(FEBRERO!S115=0,"",FEBRERO!S115)</f>
        <v>2010100-1</v>
      </c>
      <c r="T115" s="238" t="str">
        <f>+IF(FEBRERO!T115=0,"",FEBRERO!T115)</f>
        <v>Compra de Equipos</v>
      </c>
      <c r="U115" s="31">
        <f>+ENERO!U115</f>
        <v>42018487</v>
      </c>
      <c r="V115" s="17">
        <f>FEBRERO!V115+MARZO!AL115</f>
        <v>0</v>
      </c>
      <c r="W115" s="17">
        <f>FEBRERO!W115+MARZO!AM115</f>
        <v>0</v>
      </c>
      <c r="X115" s="20">
        <f t="shared" ref="X115:X121" si="120">SUM(U115:W115)</f>
        <v>42018487</v>
      </c>
      <c r="Y115" s="21">
        <f>FEBRERO!AA115</f>
        <v>3545040</v>
      </c>
      <c r="Z115" s="457">
        <v>0</v>
      </c>
      <c r="AA115" s="18">
        <f t="shared" ref="AA115:AA121" si="121">SUM(Y115:Z115)</f>
        <v>3545040</v>
      </c>
      <c r="AB115" s="21">
        <f>FEBRERO!AD115</f>
        <v>3545040</v>
      </c>
      <c r="AC115" s="457">
        <v>0</v>
      </c>
      <c r="AD115" s="18">
        <f t="shared" ref="AD115:AD121" si="122">SUM(AB115:AC115)</f>
        <v>3545040</v>
      </c>
      <c r="AE115" s="21">
        <f>FEBRERO!AG115</f>
        <v>676512</v>
      </c>
      <c r="AF115" s="457">
        <v>1580000</v>
      </c>
      <c r="AG115" s="18">
        <f t="shared" ref="AG115:AG121" si="123">SUM(AE115:AF115)</f>
        <v>2256512</v>
      </c>
      <c r="AH115" s="21">
        <f t="shared" ref="AH115:AH121" si="124">X115-AA115</f>
        <v>38473447</v>
      </c>
      <c r="AI115" s="17">
        <f t="shared" ref="AI115:AI121" si="125">X115-AD115</f>
        <v>38473447</v>
      </c>
      <c r="AJ115" s="18">
        <f t="shared" ref="AJ115:AJ121" si="126">X115-AG115</f>
        <v>39761975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+IF(FEBRERO!A116=0,"",FEBRERO!A116)</f>
        <v>2600</v>
      </c>
      <c r="B116" s="55" t="str">
        <f>+IF(FEBRERO!B116=0,"",FEBRERO!B116)</f>
        <v>RECUPERACIÓN DE CARTERA (AÑO 2012 Y ANTERIORES)</v>
      </c>
      <c r="C116" s="283">
        <f>+ENERO!C116</f>
        <v>1147070</v>
      </c>
      <c r="D116" s="456">
        <f>FEBRERO!D116+MARZO!P116</f>
        <v>0</v>
      </c>
      <c r="E116" s="456">
        <f>FEBRERO!E116+MARZO!Q116</f>
        <v>0</v>
      </c>
      <c r="F116" s="593">
        <f t="shared" si="112"/>
        <v>1147070</v>
      </c>
      <c r="G116" s="283">
        <f>FEBRERO!I116</f>
        <v>625868</v>
      </c>
      <c r="H116" s="457">
        <v>372100</v>
      </c>
      <c r="I116" s="593">
        <f t="shared" si="113"/>
        <v>997968</v>
      </c>
      <c r="J116" s="283">
        <f>FEBRERO!L116</f>
        <v>625868</v>
      </c>
      <c r="K116" s="457">
        <v>372100</v>
      </c>
      <c r="L116" s="170">
        <f t="shared" si="114"/>
        <v>997968</v>
      </c>
      <c r="M116" s="535">
        <f t="shared" si="115"/>
        <v>149102</v>
      </c>
      <c r="N116" s="170">
        <f t="shared" si="116"/>
        <v>149102</v>
      </c>
      <c r="P116" s="455">
        <v>0</v>
      </c>
      <c r="Q116" s="458">
        <v>0</v>
      </c>
      <c r="R116" s="10"/>
      <c r="S116" s="155" t="str">
        <f>+IF(FEBRERO!S116=0,"",FEBRERO!S116)</f>
        <v>2010100-2</v>
      </c>
      <c r="T116" s="238" t="str">
        <f>+IF(FEBRERO!T116=0,"",FEBRERO!T116)</f>
        <v>Materiales</v>
      </c>
      <c r="U116" s="31">
        <f>+ENERO!U116</f>
        <v>23400820</v>
      </c>
      <c r="V116" s="17">
        <f>FEBRERO!V116+MARZO!AL116</f>
        <v>0</v>
      </c>
      <c r="W116" s="17">
        <f>FEBRERO!W116+MARZO!AM116</f>
        <v>0</v>
      </c>
      <c r="X116" s="20">
        <f t="shared" si="120"/>
        <v>23400820</v>
      </c>
      <c r="Y116" s="21">
        <f>FEBRERO!AA116</f>
        <v>3867817</v>
      </c>
      <c r="Z116" s="457">
        <v>1055135</v>
      </c>
      <c r="AA116" s="18">
        <f t="shared" si="121"/>
        <v>4922952</v>
      </c>
      <c r="AB116" s="21">
        <f>FEBRERO!AD116</f>
        <v>3867816</v>
      </c>
      <c r="AC116" s="457">
        <v>1055135</v>
      </c>
      <c r="AD116" s="18">
        <f t="shared" si="122"/>
        <v>4922951</v>
      </c>
      <c r="AE116" s="21">
        <f>FEBRERO!AG116</f>
        <v>294847</v>
      </c>
      <c r="AF116" s="457">
        <v>1503662</v>
      </c>
      <c r="AG116" s="18">
        <f t="shared" si="123"/>
        <v>1798509</v>
      </c>
      <c r="AH116" s="21">
        <f t="shared" si="124"/>
        <v>18477868</v>
      </c>
      <c r="AI116" s="17">
        <f t="shared" si="125"/>
        <v>18477869</v>
      </c>
      <c r="AJ116" s="18">
        <f t="shared" si="126"/>
        <v>21602311</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+IF(FEBRERO!A117=0,"",FEBRERO!A117)</f>
        <v>2700</v>
      </c>
      <c r="B117" s="55" t="str">
        <f>+IF(FEBRERO!B117=0,"",FEBRERO!B117)</f>
        <v>OTROS INGRESOS DE CAPITAL</v>
      </c>
      <c r="C117" s="283">
        <f>SUM(C118:C119)</f>
        <v>0</v>
      </c>
      <c r="D117" s="456">
        <f t="shared" ref="D117:Q117" si="127">SUM(D118:D119)</f>
        <v>0</v>
      </c>
      <c r="E117" s="456">
        <f t="shared" si="127"/>
        <v>0</v>
      </c>
      <c r="F117" s="593">
        <f t="shared" si="127"/>
        <v>0</v>
      </c>
      <c r="G117" s="283">
        <f t="shared" si="127"/>
        <v>0</v>
      </c>
      <c r="H117" s="694">
        <f t="shared" si="127"/>
        <v>0</v>
      </c>
      <c r="I117" s="593">
        <f t="shared" si="127"/>
        <v>0</v>
      </c>
      <c r="J117" s="283">
        <f t="shared" si="127"/>
        <v>0</v>
      </c>
      <c r="K117" s="694">
        <f t="shared" si="127"/>
        <v>0</v>
      </c>
      <c r="L117" s="170">
        <f t="shared" si="127"/>
        <v>0</v>
      </c>
      <c r="M117" s="535">
        <f t="shared" si="127"/>
        <v>0</v>
      </c>
      <c r="N117" s="170">
        <f t="shared" si="127"/>
        <v>0</v>
      </c>
      <c r="P117" s="283">
        <f t="shared" si="127"/>
        <v>0</v>
      </c>
      <c r="Q117" s="170">
        <f t="shared" si="127"/>
        <v>0</v>
      </c>
      <c r="R117" s="10"/>
      <c r="S117" s="155" t="str">
        <f>+IF(FEBRERO!S117=0,"",FEBRERO!S117)</f>
        <v>2010100-3</v>
      </c>
      <c r="T117" s="238" t="str">
        <f>+IF(FEBRERO!T117=0,"",FEBRERO!T117)</f>
        <v>Salud Ocupacional</v>
      </c>
      <c r="U117" s="31">
        <f>+ENERO!U117</f>
        <v>0</v>
      </c>
      <c r="V117" s="17">
        <f>FEBRERO!V117+MARZO!AL117</f>
        <v>0</v>
      </c>
      <c r="W117" s="17">
        <f>FEBRERO!W117+MARZO!AM117</f>
        <v>0</v>
      </c>
      <c r="X117" s="20">
        <f t="shared" si="120"/>
        <v>0</v>
      </c>
      <c r="Y117" s="21">
        <f>FEBRERO!AA117</f>
        <v>0</v>
      </c>
      <c r="Z117" s="457">
        <v>0</v>
      </c>
      <c r="AA117" s="18">
        <f t="shared" si="121"/>
        <v>0</v>
      </c>
      <c r="AB117" s="21">
        <f>FEBRERO!AD117</f>
        <v>0</v>
      </c>
      <c r="AC117" s="457">
        <v>0</v>
      </c>
      <c r="AD117" s="18">
        <f t="shared" si="122"/>
        <v>0</v>
      </c>
      <c r="AE117" s="21">
        <f>FEBRERO!AG117</f>
        <v>0</v>
      </c>
      <c r="AF117" s="457">
        <v>0</v>
      </c>
      <c r="AG117" s="18">
        <f t="shared" si="123"/>
        <v>0</v>
      </c>
      <c r="AH117" s="21">
        <f t="shared" si="124"/>
        <v>0</v>
      </c>
      <c r="AI117" s="17">
        <f t="shared" si="125"/>
        <v>0</v>
      </c>
      <c r="AJ117" s="18">
        <f t="shared" si="126"/>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+IF(FEBRERO!A118=0,"",FEBRERO!A118)</f>
        <v>2700-1</v>
      </c>
      <c r="B118" s="58" t="str">
        <f>+IF(FEBRERO!B118=0,"",FEBRERO!B118)</f>
        <v>Descuentos por pronto pago</v>
      </c>
      <c r="C118" s="283">
        <f>+ENERO!C118</f>
        <v>0</v>
      </c>
      <c r="D118" s="456">
        <f>FEBRERO!D118+MARZO!P118</f>
        <v>0</v>
      </c>
      <c r="E118" s="456">
        <f>FEBRERO!E118+MARZO!Q118</f>
        <v>0</v>
      </c>
      <c r="F118" s="593">
        <f>SUM(C118:E118)</f>
        <v>0</v>
      </c>
      <c r="G118" s="283">
        <f>FEBRERO!I118</f>
        <v>0</v>
      </c>
      <c r="H118" s="457">
        <v>0</v>
      </c>
      <c r="I118" s="593">
        <f>SUM(G118:H118)</f>
        <v>0</v>
      </c>
      <c r="J118" s="283">
        <f>FEBRERO!L118</f>
        <v>0</v>
      </c>
      <c r="K118" s="457">
        <v>0</v>
      </c>
      <c r="L118" s="170">
        <f>SUM(J118:K118)</f>
        <v>0</v>
      </c>
      <c r="M118" s="535">
        <f>F118-I118</f>
        <v>0</v>
      </c>
      <c r="N118" s="170">
        <f>F118-L118</f>
        <v>0</v>
      </c>
      <c r="P118" s="455">
        <v>0</v>
      </c>
      <c r="Q118" s="458">
        <v>0</v>
      </c>
      <c r="R118" s="10"/>
      <c r="S118" s="155" t="str">
        <f>+IF(FEBRERO!S118=0,"",FEBRERO!S118)</f>
        <v>2010100-4</v>
      </c>
      <c r="T118" s="238" t="str">
        <f>+IF(FEBRERO!T118=0,"",FEBRERO!T118)</f>
        <v/>
      </c>
      <c r="U118" s="31">
        <f>+ENERO!U118</f>
        <v>0</v>
      </c>
      <c r="V118" s="17">
        <f>FEBRERO!V118+MARZO!AL118</f>
        <v>0</v>
      </c>
      <c r="W118" s="17">
        <f>FEBRERO!W118+MARZO!AM118</f>
        <v>0</v>
      </c>
      <c r="X118" s="20">
        <f t="shared" si="120"/>
        <v>0</v>
      </c>
      <c r="Y118" s="21">
        <f>FEBRERO!AA118</f>
        <v>0</v>
      </c>
      <c r="Z118" s="457">
        <v>0</v>
      </c>
      <c r="AA118" s="18">
        <f t="shared" si="121"/>
        <v>0</v>
      </c>
      <c r="AB118" s="21">
        <f>FEBRERO!AD118</f>
        <v>0</v>
      </c>
      <c r="AC118" s="457">
        <v>0</v>
      </c>
      <c r="AD118" s="18">
        <f t="shared" si="122"/>
        <v>0</v>
      </c>
      <c r="AE118" s="21">
        <f>FEBRERO!AG118</f>
        <v>0</v>
      </c>
      <c r="AF118" s="457">
        <v>0</v>
      </c>
      <c r="AG118" s="18">
        <f t="shared" si="123"/>
        <v>0</v>
      </c>
      <c r="AH118" s="21">
        <f t="shared" si="124"/>
        <v>0</v>
      </c>
      <c r="AI118" s="17">
        <f t="shared" si="125"/>
        <v>0</v>
      </c>
      <c r="AJ118" s="18">
        <f t="shared" si="126"/>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+IF(FEBRERO!A119=0,"",FEBRERO!A119)</f>
        <v>2700-2</v>
      </c>
      <c r="B119" s="219" t="str">
        <f>+IF(FEBRERO!B119=0,"",FEBRERO!B119)</f>
        <v>Otros</v>
      </c>
      <c r="C119" s="474">
        <f>+ENERO!C119</f>
        <v>0</v>
      </c>
      <c r="D119" s="472">
        <f>FEBRERO!D119+MARZO!P119</f>
        <v>0</v>
      </c>
      <c r="E119" s="472">
        <f>FEBRERO!E119+MARZO!Q119</f>
        <v>0</v>
      </c>
      <c r="F119" s="596">
        <f>SUM(C119:E119)</f>
        <v>0</v>
      </c>
      <c r="G119" s="474">
        <f>FEBRERO!I119</f>
        <v>0</v>
      </c>
      <c r="H119" s="475">
        <v>0</v>
      </c>
      <c r="I119" s="596">
        <f>SUM(G119:H119)</f>
        <v>0</v>
      </c>
      <c r="J119" s="474">
        <f>FEBRERO!L119</f>
        <v>0</v>
      </c>
      <c r="K119" s="475">
        <v>0</v>
      </c>
      <c r="L119" s="473">
        <f>SUM(J119:K119)</f>
        <v>0</v>
      </c>
      <c r="M119" s="597">
        <f>F119-I119</f>
        <v>0</v>
      </c>
      <c r="N119" s="473">
        <f>F119-L119</f>
        <v>0</v>
      </c>
      <c r="P119" s="471">
        <v>0</v>
      </c>
      <c r="Q119" s="476">
        <v>0</v>
      </c>
      <c r="R119" s="10"/>
      <c r="S119" s="155" t="str">
        <f>+IF(FEBRERO!S119=0,"",FEBRERO!S119)</f>
        <v>2010100-5</v>
      </c>
      <c r="T119" s="238" t="str">
        <f>+IF(FEBRERO!T119=0,"",FEBRERO!T119)</f>
        <v/>
      </c>
      <c r="U119" s="31">
        <f>+ENERO!U119</f>
        <v>0</v>
      </c>
      <c r="V119" s="17">
        <f>FEBRERO!V119+MARZO!AL119</f>
        <v>0</v>
      </c>
      <c r="W119" s="17">
        <f>FEBRERO!W119+MARZO!AM119</f>
        <v>0</v>
      </c>
      <c r="X119" s="20">
        <f t="shared" si="120"/>
        <v>0</v>
      </c>
      <c r="Y119" s="21">
        <f>FEBRERO!AA119</f>
        <v>0</v>
      </c>
      <c r="Z119" s="457">
        <v>0</v>
      </c>
      <c r="AA119" s="18">
        <f t="shared" si="121"/>
        <v>0</v>
      </c>
      <c r="AB119" s="21">
        <f>FEBRERO!AD119</f>
        <v>0</v>
      </c>
      <c r="AC119" s="457">
        <v>0</v>
      </c>
      <c r="AD119" s="18">
        <f t="shared" si="122"/>
        <v>0</v>
      </c>
      <c r="AE119" s="21">
        <f>FEBRERO!AG119</f>
        <v>0</v>
      </c>
      <c r="AF119" s="457">
        <v>0</v>
      </c>
      <c r="AG119" s="18">
        <f t="shared" si="123"/>
        <v>0</v>
      </c>
      <c r="AH119" s="21">
        <f t="shared" si="124"/>
        <v>0</v>
      </c>
      <c r="AI119" s="17">
        <f t="shared" si="125"/>
        <v>0</v>
      </c>
      <c r="AJ119" s="18">
        <f t="shared" si="126"/>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+IF(FEBRERO!S120=0,"",FEBRERO!S120)</f>
        <v>2010100-6</v>
      </c>
      <c r="T120" s="238" t="str">
        <f>+IF(FEBRERO!T120=0,"",FEBRERO!T120)</f>
        <v/>
      </c>
      <c r="U120" s="31">
        <f>+ENERO!U120</f>
        <v>0</v>
      </c>
      <c r="V120" s="17">
        <f>FEBRERO!V120+MARZO!AL120</f>
        <v>0</v>
      </c>
      <c r="W120" s="17">
        <f>FEBRERO!W120+MARZO!AM120</f>
        <v>0</v>
      </c>
      <c r="X120" s="20">
        <f t="shared" si="120"/>
        <v>0</v>
      </c>
      <c r="Y120" s="21">
        <f>FEBRERO!AA120</f>
        <v>0</v>
      </c>
      <c r="Z120" s="457">
        <v>0</v>
      </c>
      <c r="AA120" s="18">
        <f t="shared" si="121"/>
        <v>0</v>
      </c>
      <c r="AB120" s="21">
        <f>FEBRERO!AD120</f>
        <v>0</v>
      </c>
      <c r="AC120" s="457">
        <v>0</v>
      </c>
      <c r="AD120" s="18">
        <f t="shared" si="122"/>
        <v>0</v>
      </c>
      <c r="AE120" s="21">
        <f>FEBRERO!AG120</f>
        <v>0</v>
      </c>
      <c r="AF120" s="457">
        <v>0</v>
      </c>
      <c r="AG120" s="18">
        <f t="shared" si="123"/>
        <v>0</v>
      </c>
      <c r="AH120" s="21">
        <f t="shared" si="124"/>
        <v>0</v>
      </c>
      <c r="AI120" s="17">
        <f t="shared" si="125"/>
        <v>0</v>
      </c>
      <c r="AJ120" s="18">
        <f t="shared" si="126"/>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+IF(FEBRERO!A121=0,"",FEBRERO!A121)</f>
        <v>TOTAL INGRESOS DIFERENTES A CUENTAS POR COBRAR</v>
      </c>
      <c r="B121" s="682"/>
      <c r="C121" s="605">
        <f t="shared" ref="C121:N121" si="128">C8-C123</f>
        <v>3465783837</v>
      </c>
      <c r="D121" s="603">
        <f t="shared" si="128"/>
        <v>0</v>
      </c>
      <c r="E121" s="603">
        <f t="shared" si="128"/>
        <v>58523183</v>
      </c>
      <c r="F121" s="604">
        <f t="shared" si="128"/>
        <v>3524307020</v>
      </c>
      <c r="G121" s="602">
        <f t="shared" si="128"/>
        <v>670580853</v>
      </c>
      <c r="H121" s="603">
        <f t="shared" si="128"/>
        <v>323690832</v>
      </c>
      <c r="I121" s="604">
        <f t="shared" si="128"/>
        <v>994271685</v>
      </c>
      <c r="J121" s="602">
        <f t="shared" si="128"/>
        <v>554796828</v>
      </c>
      <c r="K121" s="603">
        <f t="shared" si="128"/>
        <v>261375633</v>
      </c>
      <c r="L121" s="604">
        <f t="shared" si="128"/>
        <v>816172461</v>
      </c>
      <c r="M121" s="602">
        <f t="shared" si="128"/>
        <v>2530035335</v>
      </c>
      <c r="N121" s="604">
        <f t="shared" si="128"/>
        <v>2708134559</v>
      </c>
      <c r="P121" s="605">
        <f>P8-P123</f>
        <v>0</v>
      </c>
      <c r="Q121" s="606">
        <f>Q8-Q123</f>
        <v>25449068</v>
      </c>
      <c r="R121" s="10"/>
      <c r="S121" s="155">
        <f>+IF(FEBRERO!S121=0,"",FEBRERO!S121)</f>
        <v>2010199</v>
      </c>
      <c r="T121" s="238" t="str">
        <f>+IF(FEBRERO!T121=0,"",FEBRERO!T121)</f>
        <v>Vigencias Anteriores</v>
      </c>
      <c r="U121" s="31">
        <f>+ENERO!U121</f>
        <v>2000000</v>
      </c>
      <c r="V121" s="17">
        <f>FEBRERO!V121+MARZO!AL121</f>
        <v>0</v>
      </c>
      <c r="W121" s="17">
        <f>FEBRERO!W121+MARZO!AM121</f>
        <v>1397432</v>
      </c>
      <c r="X121" s="20">
        <f t="shared" si="120"/>
        <v>3397432</v>
      </c>
      <c r="Y121" s="21">
        <f>FEBRERO!AA121</f>
        <v>3396432</v>
      </c>
      <c r="Z121" s="457">
        <v>0</v>
      </c>
      <c r="AA121" s="18">
        <f t="shared" si="121"/>
        <v>3396432</v>
      </c>
      <c r="AB121" s="21">
        <f>FEBRERO!AD121</f>
        <v>3396432</v>
      </c>
      <c r="AC121" s="457">
        <v>0</v>
      </c>
      <c r="AD121" s="18">
        <f t="shared" si="122"/>
        <v>3396432</v>
      </c>
      <c r="AE121" s="21">
        <f>FEBRERO!AG121</f>
        <v>1550432</v>
      </c>
      <c r="AF121" s="457">
        <v>541000</v>
      </c>
      <c r="AG121" s="18">
        <f t="shared" si="123"/>
        <v>2091432</v>
      </c>
      <c r="AH121" s="21">
        <f t="shared" si="124"/>
        <v>1000</v>
      </c>
      <c r="AI121" s="17">
        <f t="shared" si="125"/>
        <v>1000</v>
      </c>
      <c r="AJ121" s="18">
        <f t="shared" si="126"/>
        <v>1306000</v>
      </c>
      <c r="AK121" s="10"/>
      <c r="AL121" s="455">
        <v>0</v>
      </c>
      <c r="AM121" s="458">
        <v>1000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+IF(FEBRERO!S122=0,"",FEBRERO!S122)</f>
        <v/>
      </c>
      <c r="T122" s="649" t="str">
        <f>+IF(FEBRERO!T122=0,"",FEBRERO!T122)</f>
        <v/>
      </c>
      <c r="U122" s="450"/>
      <c r="V122" s="193"/>
      <c r="W122" s="193"/>
      <c r="X122" s="193"/>
      <c r="Y122" s="450"/>
      <c r="Z122" s="193"/>
      <c r="AA122" s="207"/>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+IF(FEBRERO!A123=0,"",FEBRERO!A123)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100722672</v>
      </c>
      <c r="H123" s="685">
        <f>SUMIF($B8:$B$117,$B$24,H8:H117)+H116</f>
        <v>79373019</v>
      </c>
      <c r="I123" s="686">
        <f>SUMIF($B8:$B$117,$B$24,I8:I117)+I116</f>
        <v>180095691</v>
      </c>
      <c r="J123" s="687">
        <f>SUMIF($B8:$B$117,$B$24,J8:J117)+J116</f>
        <v>100722672</v>
      </c>
      <c r="K123" s="685">
        <f>SUMIF($B8:$B$117,$B$24,K8:K117)+K116</f>
        <v>79373019</v>
      </c>
      <c r="L123" s="686">
        <f>SUMIF($B8:$B$117,$B$24,L8:L117)+L116</f>
        <v>180095691</v>
      </c>
      <c r="M123" s="687">
        <f>SUMIF($B8:$B$117,$B$24,M8:M117)+M116</f>
        <v>-14378516</v>
      </c>
      <c r="N123" s="686">
        <f>SUMIF($B8:$B$117,$B$24,N8:N117)+N116</f>
        <v>-14378516</v>
      </c>
      <c r="P123" s="614">
        <f>SUMIF($B8:$B$117,$B$24,P8:P117)+P116</f>
        <v>0</v>
      </c>
      <c r="Q123" s="616">
        <f>SUMIF($B8:$B$117,$B$24,Q8:Q117)+Q116</f>
        <v>0</v>
      </c>
      <c r="R123" s="10"/>
      <c r="S123" s="34">
        <f>+IF(FEBRERO!S123=0,"",FEBRERO!S123)</f>
        <v>2010200</v>
      </c>
      <c r="T123" s="237" t="str">
        <f>+IF(FEBRERO!T123=0,"",FEBRERO!T123)</f>
        <v>Adquisición de Servicios</v>
      </c>
      <c r="U123" s="151">
        <f t="shared" ref="U123:AJ123" si="129">SUM(U124:U139)</f>
        <v>130967353</v>
      </c>
      <c r="V123" s="144">
        <f t="shared" si="129"/>
        <v>0</v>
      </c>
      <c r="W123" s="144">
        <f t="shared" si="129"/>
        <v>4066041</v>
      </c>
      <c r="X123" s="152">
        <f t="shared" si="129"/>
        <v>135033394</v>
      </c>
      <c r="Y123" s="151">
        <f t="shared" si="129"/>
        <v>27056738</v>
      </c>
      <c r="Z123" s="144">
        <f t="shared" si="129"/>
        <v>18597861</v>
      </c>
      <c r="AA123" s="153">
        <f t="shared" si="129"/>
        <v>45654599</v>
      </c>
      <c r="AB123" s="151">
        <f t="shared" si="129"/>
        <v>27056738</v>
      </c>
      <c r="AC123" s="144">
        <f t="shared" si="129"/>
        <v>18597861</v>
      </c>
      <c r="AD123" s="153">
        <f t="shared" si="129"/>
        <v>45654599</v>
      </c>
      <c r="AE123" s="151">
        <f t="shared" si="129"/>
        <v>26682694</v>
      </c>
      <c r="AF123" s="144">
        <f t="shared" si="129"/>
        <v>11239309</v>
      </c>
      <c r="AG123" s="153">
        <f t="shared" si="129"/>
        <v>37922003</v>
      </c>
      <c r="AH123" s="151">
        <f t="shared" si="129"/>
        <v>89378795</v>
      </c>
      <c r="AI123" s="144">
        <f t="shared" si="129"/>
        <v>89378795</v>
      </c>
      <c r="AJ123" s="153">
        <f t="shared" si="129"/>
        <v>97111391</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+IF(FEBRERO!S124=0,"",FEBRERO!S124)</f>
        <v>2010200-1</v>
      </c>
      <c r="T124" s="238" t="str">
        <f>+IF(FEBRERO!T124=0,"",FEBRERO!T124)</f>
        <v>Seguros</v>
      </c>
      <c r="U124" s="31">
        <f>+ENERO!U124</f>
        <v>42767476</v>
      </c>
      <c r="V124" s="17">
        <f>FEBRERO!V124+MARZO!AL124</f>
        <v>0</v>
      </c>
      <c r="W124" s="17">
        <f>FEBRERO!W124+MARZO!AM124</f>
        <v>0</v>
      </c>
      <c r="X124" s="20">
        <f t="shared" ref="X124:X139" si="130">SUM(U124:W124)</f>
        <v>42767476</v>
      </c>
      <c r="Y124" s="21">
        <f>FEBRERO!AA124</f>
        <v>11407103</v>
      </c>
      <c r="Z124" s="457">
        <v>11412004</v>
      </c>
      <c r="AA124" s="18">
        <f t="shared" ref="AA124:AA139" si="131">SUM(Y124:Z124)</f>
        <v>22819107</v>
      </c>
      <c r="AB124" s="21">
        <f>FEBRERO!AD124</f>
        <v>11407103</v>
      </c>
      <c r="AC124" s="457">
        <v>11412004</v>
      </c>
      <c r="AD124" s="18">
        <f t="shared" ref="AD124:AD139" si="132">SUM(AB124:AC124)</f>
        <v>22819107</v>
      </c>
      <c r="AE124" s="21">
        <f>FEBRERO!AG124</f>
        <v>11407103</v>
      </c>
      <c r="AF124" s="457">
        <v>5706002</v>
      </c>
      <c r="AG124" s="18">
        <f t="shared" ref="AG124:AG139" si="133">SUM(AE124:AF124)</f>
        <v>17113105</v>
      </c>
      <c r="AH124" s="21">
        <f t="shared" ref="AH124:AH139" si="134">X124-AA124</f>
        <v>19948369</v>
      </c>
      <c r="AI124" s="17">
        <f t="shared" ref="AI124:AI139" si="135">X124-AD124</f>
        <v>19948369</v>
      </c>
      <c r="AJ124" s="18">
        <f t="shared" ref="AJ124:AJ139" si="136">X124-AG124</f>
        <v>25654371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+IF(FEBRERO!A125=0,"",FEBRERO!A125)</f>
        <v xml:space="preserve">TOTAL PRESUPUESTO DE INGRESOS </v>
      </c>
      <c r="B125" s="619"/>
      <c r="C125" s="605">
        <f t="shared" ref="C125:N125" si="137">C123+C121</f>
        <v>3631501012</v>
      </c>
      <c r="D125" s="621">
        <f t="shared" si="137"/>
        <v>0</v>
      </c>
      <c r="E125" s="621">
        <f t="shared" si="137"/>
        <v>58523183</v>
      </c>
      <c r="F125" s="622">
        <f t="shared" si="137"/>
        <v>3690024195</v>
      </c>
      <c r="G125" s="620">
        <f t="shared" si="137"/>
        <v>771303525</v>
      </c>
      <c r="H125" s="621">
        <f t="shared" si="137"/>
        <v>403063851</v>
      </c>
      <c r="I125" s="622">
        <f t="shared" si="137"/>
        <v>1174367376</v>
      </c>
      <c r="J125" s="620">
        <f t="shared" si="137"/>
        <v>655519500</v>
      </c>
      <c r="K125" s="621">
        <f t="shared" si="137"/>
        <v>340748652</v>
      </c>
      <c r="L125" s="622">
        <f t="shared" si="137"/>
        <v>996268152</v>
      </c>
      <c r="M125" s="620">
        <f t="shared" si="137"/>
        <v>2515656819</v>
      </c>
      <c r="N125" s="622">
        <f t="shared" si="137"/>
        <v>2693756043</v>
      </c>
      <c r="P125" s="605">
        <f>P123+P121</f>
        <v>0</v>
      </c>
      <c r="Q125" s="606">
        <f>Q123+Q121</f>
        <v>25449068</v>
      </c>
      <c r="R125" s="10"/>
      <c r="S125" s="155" t="str">
        <f>+IF(FEBRERO!S125=0,"",FEBRERO!S125)</f>
        <v>2010200-2</v>
      </c>
      <c r="T125" s="238" t="str">
        <f>+IF(FEBRERO!T125=0,"",FEBRERO!T125)</f>
        <v>Impresos y Publicaciones</v>
      </c>
      <c r="U125" s="31">
        <f>+ENERO!U125</f>
        <v>10257367</v>
      </c>
      <c r="V125" s="17">
        <f>FEBRERO!V125+MARZO!AL125</f>
        <v>0</v>
      </c>
      <c r="W125" s="17">
        <f>FEBRERO!W125+MARZO!AM125</f>
        <v>0</v>
      </c>
      <c r="X125" s="20">
        <f t="shared" si="130"/>
        <v>10257367</v>
      </c>
      <c r="Y125" s="21">
        <f>FEBRERO!AA125</f>
        <v>0</v>
      </c>
      <c r="Z125" s="457">
        <v>1158550</v>
      </c>
      <c r="AA125" s="18">
        <f t="shared" si="131"/>
        <v>1158550</v>
      </c>
      <c r="AB125" s="21">
        <f>FEBRERO!AD125</f>
        <v>0</v>
      </c>
      <c r="AC125" s="457">
        <v>1158550</v>
      </c>
      <c r="AD125" s="18">
        <f t="shared" si="132"/>
        <v>1158550</v>
      </c>
      <c r="AE125" s="21">
        <f>FEBRERO!AG125</f>
        <v>0</v>
      </c>
      <c r="AF125" s="457">
        <v>909000</v>
      </c>
      <c r="AG125" s="18">
        <f t="shared" si="133"/>
        <v>909000</v>
      </c>
      <c r="AH125" s="21">
        <f t="shared" si="134"/>
        <v>9098817</v>
      </c>
      <c r="AI125" s="17">
        <f t="shared" si="135"/>
        <v>9098817</v>
      </c>
      <c r="AJ125" s="18">
        <f t="shared" si="136"/>
        <v>9348367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+IF(FEBRERO!S126=0,"",FEBRERO!S126)</f>
        <v>2010200-3</v>
      </c>
      <c r="T126" s="238" t="str">
        <f>+IF(FEBRERO!T126=0,"",FEBRERO!T126)</f>
        <v xml:space="preserve">Servicios Públicos </v>
      </c>
      <c r="U126" s="31">
        <f>+ENERO!U126</f>
        <v>49280460</v>
      </c>
      <c r="V126" s="17">
        <f>FEBRERO!V126+MARZO!AL126</f>
        <v>0</v>
      </c>
      <c r="W126" s="17">
        <f>FEBRERO!W126+MARZO!AM126</f>
        <v>0</v>
      </c>
      <c r="X126" s="20">
        <f t="shared" si="130"/>
        <v>49280460</v>
      </c>
      <c r="Y126" s="21">
        <f>FEBRERO!AA126</f>
        <v>8495855</v>
      </c>
      <c r="Z126" s="457">
        <v>4308677</v>
      </c>
      <c r="AA126" s="18">
        <f t="shared" si="131"/>
        <v>12804532</v>
      </c>
      <c r="AB126" s="21">
        <f>FEBRERO!AD126</f>
        <v>8495855</v>
      </c>
      <c r="AC126" s="457">
        <v>4308677</v>
      </c>
      <c r="AD126" s="18">
        <f t="shared" si="132"/>
        <v>12804532</v>
      </c>
      <c r="AE126" s="21">
        <f>FEBRERO!AG126</f>
        <v>8472855</v>
      </c>
      <c r="AF126" s="457">
        <v>4308677</v>
      </c>
      <c r="AG126" s="18">
        <f t="shared" si="133"/>
        <v>12781532</v>
      </c>
      <c r="AH126" s="21">
        <f t="shared" si="134"/>
        <v>36475928</v>
      </c>
      <c r="AI126" s="17">
        <f t="shared" si="135"/>
        <v>36475928</v>
      </c>
      <c r="AJ126" s="18">
        <f t="shared" si="136"/>
        <v>36498928</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+IF(FEBRERO!S127=0,"",FEBRERO!S127)</f>
        <v>2010200-4</v>
      </c>
      <c r="T127" s="238" t="str">
        <f>+IF(FEBRERO!T127=0,"",FEBRERO!T127)</f>
        <v>Comunicaciones y Transportes</v>
      </c>
      <c r="U127" s="31">
        <f>+ENERO!U127</f>
        <v>8570980</v>
      </c>
      <c r="V127" s="17">
        <f>FEBRERO!V127+MARZO!AL127</f>
        <v>0</v>
      </c>
      <c r="W127" s="17">
        <f>FEBRERO!W127+MARZO!AM127</f>
        <v>0</v>
      </c>
      <c r="X127" s="20">
        <f t="shared" si="130"/>
        <v>8570980</v>
      </c>
      <c r="Y127" s="21">
        <f>FEBRERO!AA127</f>
        <v>0</v>
      </c>
      <c r="Z127" s="457">
        <v>747000</v>
      </c>
      <c r="AA127" s="18">
        <f t="shared" si="131"/>
        <v>747000</v>
      </c>
      <c r="AB127" s="21">
        <f>FEBRERO!AD127</f>
        <v>0</v>
      </c>
      <c r="AC127" s="457">
        <v>747000</v>
      </c>
      <c r="AD127" s="18">
        <f t="shared" si="132"/>
        <v>747000</v>
      </c>
      <c r="AE127" s="21">
        <f>FEBRERO!AG127</f>
        <v>0</v>
      </c>
      <c r="AF127" s="457">
        <v>0</v>
      </c>
      <c r="AG127" s="18">
        <f t="shared" si="133"/>
        <v>0</v>
      </c>
      <c r="AH127" s="21">
        <f t="shared" si="134"/>
        <v>7823980</v>
      </c>
      <c r="AI127" s="17">
        <f t="shared" si="135"/>
        <v>7823980</v>
      </c>
      <c r="AJ127" s="18">
        <f t="shared" si="136"/>
        <v>8570980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+IF(FEBRERO!S128=0,"",FEBRERO!S128)</f>
        <v>2010200-5</v>
      </c>
      <c r="T128" s="238" t="str">
        <f>+IF(FEBRERO!T128=0,"",FEBRERO!T128)</f>
        <v>Viáticos y Gastos de Viaje</v>
      </c>
      <c r="U128" s="31">
        <f>+ENERO!U128</f>
        <v>4306574</v>
      </c>
      <c r="V128" s="17">
        <f>FEBRERO!V128+MARZO!AL128</f>
        <v>0</v>
      </c>
      <c r="W128" s="17">
        <f>FEBRERO!W128+MARZO!AM128</f>
        <v>0</v>
      </c>
      <c r="X128" s="20">
        <f t="shared" si="130"/>
        <v>4306574</v>
      </c>
      <c r="Y128" s="21">
        <f>FEBRERO!AA128</f>
        <v>323400</v>
      </c>
      <c r="Z128" s="457">
        <v>27720</v>
      </c>
      <c r="AA128" s="18">
        <f t="shared" si="131"/>
        <v>351120</v>
      </c>
      <c r="AB128" s="21">
        <f>FEBRERO!AD128</f>
        <v>323400</v>
      </c>
      <c r="AC128" s="457">
        <v>27720</v>
      </c>
      <c r="AD128" s="18">
        <f t="shared" si="132"/>
        <v>351120</v>
      </c>
      <c r="AE128" s="21">
        <f>FEBRERO!AG128</f>
        <v>323400</v>
      </c>
      <c r="AF128" s="457">
        <v>27720</v>
      </c>
      <c r="AG128" s="18">
        <f t="shared" si="133"/>
        <v>351120</v>
      </c>
      <c r="AH128" s="21">
        <f t="shared" si="134"/>
        <v>3955454</v>
      </c>
      <c r="AI128" s="17">
        <f t="shared" si="135"/>
        <v>3955454</v>
      </c>
      <c r="AJ128" s="18">
        <f t="shared" si="136"/>
        <v>3955454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+IF(FEBRERO!S129=0,"",FEBRERO!S129)</f>
        <v>2010200-6</v>
      </c>
      <c r="T129" s="238" t="str">
        <f>+IF(FEBRERO!T129=0,"",FEBRERO!T129)</f>
        <v>Arrendamientos</v>
      </c>
      <c r="U129" s="31">
        <f>+ENERO!U129</f>
        <v>0</v>
      </c>
      <c r="V129" s="17">
        <f>FEBRERO!V129+MARZO!AL129</f>
        <v>0</v>
      </c>
      <c r="W129" s="17">
        <f>FEBRERO!W129+MARZO!AM129</f>
        <v>0</v>
      </c>
      <c r="X129" s="20">
        <f t="shared" si="130"/>
        <v>0</v>
      </c>
      <c r="Y129" s="21">
        <f>FEBRERO!AA129</f>
        <v>0</v>
      </c>
      <c r="Z129" s="457">
        <v>0</v>
      </c>
      <c r="AA129" s="18">
        <f t="shared" si="131"/>
        <v>0</v>
      </c>
      <c r="AB129" s="21">
        <f>FEBRERO!AD129</f>
        <v>0</v>
      </c>
      <c r="AC129" s="457">
        <v>0</v>
      </c>
      <c r="AD129" s="18">
        <f t="shared" si="132"/>
        <v>0</v>
      </c>
      <c r="AE129" s="21">
        <f>FEBRERO!AG129</f>
        <v>0</v>
      </c>
      <c r="AF129" s="457">
        <v>0</v>
      </c>
      <c r="AG129" s="18">
        <f t="shared" si="133"/>
        <v>0</v>
      </c>
      <c r="AH129" s="21">
        <f t="shared" si="134"/>
        <v>0</v>
      </c>
      <c r="AI129" s="17">
        <f t="shared" si="135"/>
        <v>0</v>
      </c>
      <c r="AJ129" s="18">
        <f t="shared" si="136"/>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+IF(FEBRERO!S130=0,"",FEBRERO!S130)</f>
        <v>2010200-7</v>
      </c>
      <c r="T130" s="238" t="str">
        <f>+IF(FEBRERO!T130=0,"",FEBRERO!T130)</f>
        <v>Vigilancia y Aseo</v>
      </c>
      <c r="U130" s="31">
        <f>+ENERO!U130</f>
        <v>0</v>
      </c>
      <c r="V130" s="17">
        <f>FEBRERO!V130+MARZO!AL130</f>
        <v>0</v>
      </c>
      <c r="W130" s="17">
        <f>FEBRERO!W130+MARZO!AM130</f>
        <v>0</v>
      </c>
      <c r="X130" s="20">
        <f t="shared" si="130"/>
        <v>0</v>
      </c>
      <c r="Y130" s="21">
        <f>FEBRERO!AA130</f>
        <v>0</v>
      </c>
      <c r="Z130" s="457">
        <v>0</v>
      </c>
      <c r="AA130" s="18">
        <f t="shared" si="131"/>
        <v>0</v>
      </c>
      <c r="AB130" s="21">
        <f>FEBRERO!AD130</f>
        <v>0</v>
      </c>
      <c r="AC130" s="457">
        <v>0</v>
      </c>
      <c r="AD130" s="18">
        <f t="shared" si="132"/>
        <v>0</v>
      </c>
      <c r="AE130" s="21">
        <f>FEBRERO!AG130</f>
        <v>0</v>
      </c>
      <c r="AF130" s="457">
        <v>0</v>
      </c>
      <c r="AG130" s="18">
        <f t="shared" si="133"/>
        <v>0</v>
      </c>
      <c r="AH130" s="21">
        <f t="shared" si="134"/>
        <v>0</v>
      </c>
      <c r="AI130" s="17">
        <f t="shared" si="135"/>
        <v>0</v>
      </c>
      <c r="AJ130" s="18">
        <f t="shared" si="136"/>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+IF(FEBRERO!S131=0,"",FEBRERO!S131)</f>
        <v>2010200-8</v>
      </c>
      <c r="T131" s="238" t="str">
        <f>+IF(FEBRERO!T131=0,"",FEBRERO!T131)</f>
        <v>Bienestar Social</v>
      </c>
      <c r="U131" s="31">
        <f>+ENERO!U131</f>
        <v>6347410</v>
      </c>
      <c r="V131" s="17">
        <f>FEBRERO!V131+MARZO!AL131</f>
        <v>0</v>
      </c>
      <c r="W131" s="17">
        <f>FEBRERO!W131+MARZO!AM131</f>
        <v>0</v>
      </c>
      <c r="X131" s="20">
        <f t="shared" si="130"/>
        <v>6347410</v>
      </c>
      <c r="Y131" s="21">
        <f>FEBRERO!AA131</f>
        <v>0</v>
      </c>
      <c r="Z131" s="457">
        <v>0</v>
      </c>
      <c r="AA131" s="18">
        <f t="shared" si="131"/>
        <v>0</v>
      </c>
      <c r="AB131" s="21">
        <f>FEBRERO!AD131</f>
        <v>0</v>
      </c>
      <c r="AC131" s="457">
        <v>0</v>
      </c>
      <c r="AD131" s="18">
        <f t="shared" si="132"/>
        <v>0</v>
      </c>
      <c r="AE131" s="21">
        <f>FEBRERO!AG131</f>
        <v>0</v>
      </c>
      <c r="AF131" s="457">
        <v>0</v>
      </c>
      <c r="AG131" s="18">
        <f t="shared" si="133"/>
        <v>0</v>
      </c>
      <c r="AH131" s="21">
        <f t="shared" si="134"/>
        <v>6347410</v>
      </c>
      <c r="AI131" s="17">
        <f t="shared" si="135"/>
        <v>6347410</v>
      </c>
      <c r="AJ131" s="18">
        <f t="shared" si="136"/>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+IF(FEBRERO!S132=0,"",FEBRERO!S132)</f>
        <v>2010200-9</v>
      </c>
      <c r="T132" s="238" t="str">
        <f>+IF(FEBRERO!T132=0,"",FEBRERO!T132)</f>
        <v>Capacitación, estimulos, incentivos, programa de calidad</v>
      </c>
      <c r="U132" s="31">
        <f>+ENERO!U132</f>
        <v>4142898</v>
      </c>
      <c r="V132" s="17">
        <f>FEBRERO!V132+MARZO!AL132</f>
        <v>0</v>
      </c>
      <c r="W132" s="17">
        <f>FEBRERO!W132+MARZO!AM132</f>
        <v>0</v>
      </c>
      <c r="X132" s="20">
        <f t="shared" si="130"/>
        <v>4142898</v>
      </c>
      <c r="Y132" s="21">
        <f>FEBRERO!AA132</f>
        <v>545200</v>
      </c>
      <c r="Z132" s="457">
        <v>748200</v>
      </c>
      <c r="AA132" s="18">
        <f t="shared" si="131"/>
        <v>1293400</v>
      </c>
      <c r="AB132" s="21">
        <f>FEBRERO!AD132</f>
        <v>545200</v>
      </c>
      <c r="AC132" s="457">
        <v>748200</v>
      </c>
      <c r="AD132" s="18">
        <f t="shared" si="132"/>
        <v>1293400</v>
      </c>
      <c r="AE132" s="21">
        <f>FEBRERO!AG132</f>
        <v>545200</v>
      </c>
      <c r="AF132" s="457">
        <v>0</v>
      </c>
      <c r="AG132" s="18">
        <f t="shared" si="133"/>
        <v>545200</v>
      </c>
      <c r="AH132" s="21">
        <f t="shared" si="134"/>
        <v>2849498</v>
      </c>
      <c r="AI132" s="17">
        <f t="shared" si="135"/>
        <v>2849498</v>
      </c>
      <c r="AJ132" s="18">
        <f t="shared" si="136"/>
        <v>3597698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+IF(FEBRERO!S133=0,"",FEBRERO!S133)</f>
        <v>2010200-10</v>
      </c>
      <c r="T133" s="238" t="str">
        <f>+IF(FEBRERO!T133=0,"",FEBRERO!T133)</f>
        <v>Pagos otras IPS</v>
      </c>
      <c r="U133" s="31">
        <f>+ENERO!U133</f>
        <v>0</v>
      </c>
      <c r="V133" s="17">
        <f>FEBRERO!V133+MARZO!AL133</f>
        <v>0</v>
      </c>
      <c r="W133" s="17">
        <f>FEBRERO!W133+MARZO!AM133</f>
        <v>0</v>
      </c>
      <c r="X133" s="20">
        <f t="shared" si="130"/>
        <v>0</v>
      </c>
      <c r="Y133" s="21">
        <f>FEBRERO!AA133</f>
        <v>0</v>
      </c>
      <c r="Z133" s="457">
        <v>0</v>
      </c>
      <c r="AA133" s="18">
        <f t="shared" si="131"/>
        <v>0</v>
      </c>
      <c r="AB133" s="21">
        <f>FEBRERO!AD133</f>
        <v>0</v>
      </c>
      <c r="AC133" s="457">
        <v>0</v>
      </c>
      <c r="AD133" s="18">
        <f t="shared" si="132"/>
        <v>0</v>
      </c>
      <c r="AE133" s="21">
        <f>FEBRERO!AG133</f>
        <v>0</v>
      </c>
      <c r="AF133" s="457">
        <v>0</v>
      </c>
      <c r="AG133" s="18">
        <f t="shared" si="133"/>
        <v>0</v>
      </c>
      <c r="AH133" s="21">
        <f t="shared" si="134"/>
        <v>0</v>
      </c>
      <c r="AI133" s="17">
        <f t="shared" si="135"/>
        <v>0</v>
      </c>
      <c r="AJ133" s="18">
        <f t="shared" si="136"/>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+IF(FEBRERO!S134=0,"",FEBRERO!S134)</f>
        <v>2010200-11</v>
      </c>
      <c r="T134" s="238" t="str">
        <f>+IF(FEBRERO!T134=0,"",FEBRERO!T134)</f>
        <v>Gastos financieros</v>
      </c>
      <c r="U134" s="31">
        <f>+ENERO!U134</f>
        <v>3294188</v>
      </c>
      <c r="V134" s="17">
        <f>FEBRERO!V134+MARZO!AL134</f>
        <v>0</v>
      </c>
      <c r="W134" s="17">
        <f>FEBRERO!W134+MARZO!AM134</f>
        <v>0</v>
      </c>
      <c r="X134" s="20">
        <f t="shared" si="130"/>
        <v>3294188</v>
      </c>
      <c r="Y134" s="21">
        <f>FEBRERO!AA134</f>
        <v>219139</v>
      </c>
      <c r="Z134" s="457">
        <v>195710</v>
      </c>
      <c r="AA134" s="18">
        <f t="shared" si="131"/>
        <v>414849</v>
      </c>
      <c r="AB134" s="21">
        <f>FEBRERO!AD134</f>
        <v>219139</v>
      </c>
      <c r="AC134" s="457">
        <v>195710</v>
      </c>
      <c r="AD134" s="18">
        <f t="shared" si="132"/>
        <v>414849</v>
      </c>
      <c r="AE134" s="21">
        <f>FEBRERO!AG134</f>
        <v>219139</v>
      </c>
      <c r="AF134" s="457">
        <v>195710</v>
      </c>
      <c r="AG134" s="18">
        <f t="shared" si="133"/>
        <v>414849</v>
      </c>
      <c r="AH134" s="21">
        <f t="shared" si="134"/>
        <v>2879339</v>
      </c>
      <c r="AI134" s="17">
        <f t="shared" si="135"/>
        <v>2879339</v>
      </c>
      <c r="AJ134" s="18">
        <f t="shared" si="136"/>
        <v>2879339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+IF(FEBRERO!S135=0,"",FEBRERO!S135)</f>
        <v>2010200-12</v>
      </c>
      <c r="T135" s="238" t="str">
        <f>+IF(FEBRERO!T135=0,"",FEBRERO!T135)</f>
        <v/>
      </c>
      <c r="U135" s="31">
        <f>+ENERO!U135</f>
        <v>0</v>
      </c>
      <c r="V135" s="17">
        <f>FEBRERO!V135+MARZO!AL135</f>
        <v>0</v>
      </c>
      <c r="W135" s="17">
        <f>FEBRERO!W135+MARZO!AM135</f>
        <v>0</v>
      </c>
      <c r="X135" s="20">
        <f t="shared" si="130"/>
        <v>0</v>
      </c>
      <c r="Y135" s="21">
        <f>FEBRERO!AA135</f>
        <v>0</v>
      </c>
      <c r="Z135" s="457">
        <v>0</v>
      </c>
      <c r="AA135" s="18">
        <f t="shared" si="131"/>
        <v>0</v>
      </c>
      <c r="AB135" s="21">
        <f>FEBRERO!AD135</f>
        <v>0</v>
      </c>
      <c r="AC135" s="457">
        <v>0</v>
      </c>
      <c r="AD135" s="18">
        <f t="shared" si="132"/>
        <v>0</v>
      </c>
      <c r="AE135" s="21">
        <f>FEBRERO!AG135</f>
        <v>0</v>
      </c>
      <c r="AF135" s="457">
        <v>0</v>
      </c>
      <c r="AG135" s="18">
        <f t="shared" si="133"/>
        <v>0</v>
      </c>
      <c r="AH135" s="21">
        <f t="shared" si="134"/>
        <v>0</v>
      </c>
      <c r="AI135" s="17">
        <f t="shared" si="135"/>
        <v>0</v>
      </c>
      <c r="AJ135" s="18">
        <f t="shared" si="136"/>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+IF(FEBRERO!S136=0,"",FEBRERO!S136)</f>
        <v>2010200-13</v>
      </c>
      <c r="T136" s="238" t="str">
        <f>+IF(FEBRERO!T136=0,"",FEBRERO!T136)</f>
        <v/>
      </c>
      <c r="U136" s="31">
        <f>+ENERO!U136</f>
        <v>0</v>
      </c>
      <c r="V136" s="17">
        <f>FEBRERO!V136+MARZO!AL136</f>
        <v>0</v>
      </c>
      <c r="W136" s="17">
        <f>FEBRERO!W136+MARZO!AM136</f>
        <v>0</v>
      </c>
      <c r="X136" s="20">
        <f t="shared" si="130"/>
        <v>0</v>
      </c>
      <c r="Y136" s="21">
        <f>FEBRERO!AA136</f>
        <v>0</v>
      </c>
      <c r="Z136" s="457">
        <v>0</v>
      </c>
      <c r="AA136" s="18">
        <f t="shared" si="131"/>
        <v>0</v>
      </c>
      <c r="AB136" s="21">
        <f>FEBRERO!AD136</f>
        <v>0</v>
      </c>
      <c r="AC136" s="457">
        <v>0</v>
      </c>
      <c r="AD136" s="18">
        <f t="shared" si="132"/>
        <v>0</v>
      </c>
      <c r="AE136" s="21">
        <f>FEBRERO!AG136</f>
        <v>0</v>
      </c>
      <c r="AF136" s="457">
        <v>0</v>
      </c>
      <c r="AG136" s="18">
        <f t="shared" si="133"/>
        <v>0</v>
      </c>
      <c r="AH136" s="21">
        <f t="shared" si="134"/>
        <v>0</v>
      </c>
      <c r="AI136" s="17">
        <f t="shared" si="135"/>
        <v>0</v>
      </c>
      <c r="AJ136" s="18">
        <f t="shared" si="136"/>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+IF(FEBRERO!S137=0,"",FEBRERO!S137)</f>
        <v>2010020-14</v>
      </c>
      <c r="T137" s="238" t="str">
        <f>+IF(FEBRERO!T137=0,"",FEBRERO!T137)</f>
        <v/>
      </c>
      <c r="U137" s="31">
        <f>+ENERO!U137</f>
        <v>0</v>
      </c>
      <c r="V137" s="17">
        <f>FEBRERO!V137+MARZO!AL137</f>
        <v>0</v>
      </c>
      <c r="W137" s="17">
        <f>FEBRERO!W137+MARZO!AM137</f>
        <v>0</v>
      </c>
      <c r="X137" s="20">
        <f t="shared" si="130"/>
        <v>0</v>
      </c>
      <c r="Y137" s="21">
        <f>FEBRERO!AA137</f>
        <v>0</v>
      </c>
      <c r="Z137" s="457">
        <v>0</v>
      </c>
      <c r="AA137" s="18">
        <f t="shared" si="131"/>
        <v>0</v>
      </c>
      <c r="AB137" s="21">
        <f>FEBRERO!AD137</f>
        <v>0</v>
      </c>
      <c r="AC137" s="457">
        <v>0</v>
      </c>
      <c r="AD137" s="18">
        <f t="shared" si="132"/>
        <v>0</v>
      </c>
      <c r="AE137" s="21">
        <f>FEBRERO!AG137</f>
        <v>0</v>
      </c>
      <c r="AF137" s="457">
        <v>0</v>
      </c>
      <c r="AG137" s="18">
        <f t="shared" si="133"/>
        <v>0</v>
      </c>
      <c r="AH137" s="21">
        <f t="shared" si="134"/>
        <v>0</v>
      </c>
      <c r="AI137" s="17">
        <f t="shared" si="135"/>
        <v>0</v>
      </c>
      <c r="AJ137" s="18">
        <f t="shared" si="136"/>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+IF(FEBRERO!S138=0,"",FEBRERO!S138)</f>
        <v>2010200-15</v>
      </c>
      <c r="T138" s="238" t="str">
        <f>+IF(FEBRERO!T138=0,"",FEBRERO!T138)</f>
        <v/>
      </c>
      <c r="U138" s="31">
        <f>+ENERO!U138</f>
        <v>0</v>
      </c>
      <c r="V138" s="17">
        <f>FEBRERO!V138+MARZO!AL138</f>
        <v>0</v>
      </c>
      <c r="W138" s="17">
        <f>FEBRERO!W138+MARZO!AM138</f>
        <v>0</v>
      </c>
      <c r="X138" s="20">
        <f t="shared" si="130"/>
        <v>0</v>
      </c>
      <c r="Y138" s="21">
        <f>FEBRERO!AA138</f>
        <v>0</v>
      </c>
      <c r="Z138" s="457">
        <v>0</v>
      </c>
      <c r="AA138" s="18">
        <f t="shared" si="131"/>
        <v>0</v>
      </c>
      <c r="AB138" s="21">
        <f>FEBRERO!AD138</f>
        <v>0</v>
      </c>
      <c r="AC138" s="457">
        <v>0</v>
      </c>
      <c r="AD138" s="18">
        <f t="shared" si="132"/>
        <v>0</v>
      </c>
      <c r="AE138" s="21">
        <f>FEBRERO!AG138</f>
        <v>0</v>
      </c>
      <c r="AF138" s="457">
        <v>0</v>
      </c>
      <c r="AG138" s="18">
        <f t="shared" si="133"/>
        <v>0</v>
      </c>
      <c r="AH138" s="21">
        <f t="shared" si="134"/>
        <v>0</v>
      </c>
      <c r="AI138" s="17">
        <f t="shared" si="135"/>
        <v>0</v>
      </c>
      <c r="AJ138" s="18">
        <f t="shared" si="136"/>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+IF(FEBRERO!S139=0,"",FEBRERO!S139)</f>
        <v>2010299</v>
      </c>
      <c r="T139" s="238" t="str">
        <f>+IF(FEBRERO!T139=0,"",FEBRERO!T139)</f>
        <v>Vigencias Anteriores</v>
      </c>
      <c r="U139" s="31">
        <f>+ENERO!U139</f>
        <v>2000000</v>
      </c>
      <c r="V139" s="17">
        <f>FEBRERO!V139+MARZO!AL139</f>
        <v>0</v>
      </c>
      <c r="W139" s="17">
        <f>FEBRERO!W139+MARZO!AM139</f>
        <v>4066041</v>
      </c>
      <c r="X139" s="20">
        <f t="shared" si="130"/>
        <v>6066041</v>
      </c>
      <c r="Y139" s="21">
        <f>FEBRERO!AA139</f>
        <v>6066041</v>
      </c>
      <c r="Z139" s="457">
        <v>0</v>
      </c>
      <c r="AA139" s="18">
        <f t="shared" si="131"/>
        <v>6066041</v>
      </c>
      <c r="AB139" s="21">
        <f>FEBRERO!AD139</f>
        <v>6066041</v>
      </c>
      <c r="AC139" s="457">
        <v>0</v>
      </c>
      <c r="AD139" s="18">
        <f t="shared" si="132"/>
        <v>6066041</v>
      </c>
      <c r="AE139" s="21">
        <f>FEBRERO!AG139</f>
        <v>5714997</v>
      </c>
      <c r="AF139" s="457">
        <v>92200</v>
      </c>
      <c r="AG139" s="18">
        <f t="shared" si="133"/>
        <v>5807197</v>
      </c>
      <c r="AH139" s="21">
        <f t="shared" si="134"/>
        <v>0</v>
      </c>
      <c r="AI139" s="17">
        <f t="shared" si="135"/>
        <v>0</v>
      </c>
      <c r="AJ139" s="18">
        <f t="shared" si="136"/>
        <v>258844</v>
      </c>
      <c r="AK139" s="10"/>
      <c r="AL139" s="455">
        <v>0</v>
      </c>
      <c r="AM139" s="458">
        <v>0</v>
      </c>
      <c r="AN139" s="10"/>
      <c r="AO139" s="365"/>
      <c r="AP139" s="365"/>
      <c r="AQ139" s="365"/>
    </row>
    <row r="140" spans="1:52" s="467" customFormat="1" ht="15.75" x14ac:dyDescent="0.2">
      <c r="A140" s="623"/>
      <c r="N140" s="10"/>
      <c r="R140" s="10"/>
      <c r="S140" s="448" t="str">
        <f>+IF(FEBRERO!S140=0,"",FEBRERO!S140)</f>
        <v/>
      </c>
      <c r="T140" s="649" t="str">
        <f>+IF(FEBRERO!T140=0,"",FEBRERO!T140)</f>
        <v/>
      </c>
      <c r="U140" s="450"/>
      <c r="V140" s="193"/>
      <c r="W140" s="193"/>
      <c r="X140" s="193"/>
      <c r="Y140" s="450"/>
      <c r="Z140" s="193"/>
      <c r="AA140" s="207"/>
      <c r="AB140" s="450"/>
      <c r="AC140" s="193"/>
      <c r="AD140" s="207"/>
      <c r="AE140" s="450"/>
      <c r="AF140" s="193"/>
      <c r="AG140" s="207"/>
      <c r="AH140" s="450"/>
      <c r="AI140" s="193"/>
      <c r="AJ140" s="207"/>
      <c r="AK140" s="12"/>
      <c r="AL140" s="213"/>
      <c r="AM140" s="214"/>
      <c r="AN140" s="10"/>
    </row>
    <row r="141" spans="1:52" s="467" customFormat="1" ht="15" x14ac:dyDescent="0.2">
      <c r="A141" s="623"/>
      <c r="N141" s="10"/>
      <c r="R141" s="10"/>
      <c r="S141" s="34">
        <f>+IF(FEBRERO!S141=0,"",FEBRERO!S141)</f>
        <v>2010300</v>
      </c>
      <c r="T141" s="237" t="str">
        <f>+IF(FEBRERO!T141=0,"",FEBRERO!T141)</f>
        <v>Impuestos y Multas</v>
      </c>
      <c r="U141" s="151">
        <f t="shared" ref="U141:AJ141" si="138">U142+U143</f>
        <v>0</v>
      </c>
      <c r="V141" s="144">
        <f t="shared" si="138"/>
        <v>0</v>
      </c>
      <c r="W141" s="144">
        <f t="shared" si="138"/>
        <v>1000000</v>
      </c>
      <c r="X141" s="152">
        <f t="shared" si="138"/>
        <v>1000000</v>
      </c>
      <c r="Y141" s="151">
        <f t="shared" si="138"/>
        <v>0</v>
      </c>
      <c r="Z141" s="144">
        <f t="shared" si="138"/>
        <v>0</v>
      </c>
      <c r="AA141" s="153">
        <f t="shared" si="138"/>
        <v>0</v>
      </c>
      <c r="AB141" s="151">
        <f t="shared" si="138"/>
        <v>0</v>
      </c>
      <c r="AC141" s="144">
        <f t="shared" si="138"/>
        <v>0</v>
      </c>
      <c r="AD141" s="153">
        <f t="shared" si="138"/>
        <v>0</v>
      </c>
      <c r="AE141" s="151">
        <f t="shared" si="138"/>
        <v>0</v>
      </c>
      <c r="AF141" s="144">
        <f t="shared" si="138"/>
        <v>0</v>
      </c>
      <c r="AG141" s="153">
        <f t="shared" si="138"/>
        <v>0</v>
      </c>
      <c r="AH141" s="151">
        <f t="shared" si="138"/>
        <v>1000000</v>
      </c>
      <c r="AI141" s="144">
        <f t="shared" si="138"/>
        <v>1000000</v>
      </c>
      <c r="AJ141" s="153">
        <f t="shared" si="138"/>
        <v>1000000</v>
      </c>
      <c r="AK141" s="12"/>
      <c r="AL141" s="151">
        <f>AL142+AL143</f>
        <v>0</v>
      </c>
      <c r="AM141" s="153">
        <f>AM142+AM143</f>
        <v>1000000</v>
      </c>
      <c r="AN141" s="10"/>
    </row>
    <row r="142" spans="1:52" s="467" customFormat="1" x14ac:dyDescent="0.2">
      <c r="A142" s="623"/>
      <c r="N142" s="10"/>
      <c r="R142" s="10"/>
      <c r="S142" s="155" t="str">
        <f>+IF(FEBRERO!S142=0,"",FEBRERO!S142)</f>
        <v>2010300-1</v>
      </c>
      <c r="T142" s="238" t="str">
        <f>+IF(FEBRERO!T142=0,"",FEBRERO!T142)</f>
        <v>Impuestos (Predial, Vehiculos, Otros)</v>
      </c>
      <c r="U142" s="31">
        <f>+ENERO!U142</f>
        <v>0</v>
      </c>
      <c r="V142" s="17">
        <f>FEBRERO!V142+MARZO!AL142</f>
        <v>0</v>
      </c>
      <c r="W142" s="17">
        <f>FEBRERO!W142+MARZO!AM142</f>
        <v>1000000</v>
      </c>
      <c r="X142" s="20">
        <f>SUM(U142:W142)</f>
        <v>1000000</v>
      </c>
      <c r="Y142" s="21">
        <f>FEBRERO!AA142</f>
        <v>0</v>
      </c>
      <c r="Z142" s="457">
        <v>0</v>
      </c>
      <c r="AA142" s="18">
        <f>SUM(Y142:Z142)</f>
        <v>0</v>
      </c>
      <c r="AB142" s="21">
        <f>FEBRERO!AD142</f>
        <v>0</v>
      </c>
      <c r="AC142" s="457">
        <v>0</v>
      </c>
      <c r="AD142" s="18">
        <f>SUM(AB142:AC142)</f>
        <v>0</v>
      </c>
      <c r="AE142" s="21">
        <f>FEBRERO!AG142</f>
        <v>0</v>
      </c>
      <c r="AF142" s="457">
        <v>0</v>
      </c>
      <c r="AG142" s="18">
        <f>SUM(AE142:AF142)</f>
        <v>0</v>
      </c>
      <c r="AH142" s="21">
        <f>X142-AA142</f>
        <v>1000000</v>
      </c>
      <c r="AI142" s="17">
        <f>X142-AD142</f>
        <v>1000000</v>
      </c>
      <c r="AJ142" s="18">
        <f>X142-AG142</f>
        <v>1000000</v>
      </c>
      <c r="AK142" s="10"/>
      <c r="AL142" s="455">
        <v>0</v>
      </c>
      <c r="AM142" s="458">
        <v>1000000</v>
      </c>
      <c r="AN142" s="10"/>
    </row>
    <row r="143" spans="1:52" s="467" customFormat="1" x14ac:dyDescent="0.2">
      <c r="A143" s="623"/>
      <c r="N143" s="10"/>
      <c r="R143" s="10"/>
      <c r="S143" s="155">
        <f>+IF(FEBRERO!S143=0,"",FEBRERO!S143)</f>
        <v>2010399</v>
      </c>
      <c r="T143" s="238" t="str">
        <f>+IF(FEBRERO!T143=0,"",FEBRERO!T143)</f>
        <v>Vigencias Anteriores</v>
      </c>
      <c r="U143" s="31">
        <f>+ENERO!U143</f>
        <v>0</v>
      </c>
      <c r="V143" s="17">
        <f>FEBRERO!V143+MARZO!AL143</f>
        <v>0</v>
      </c>
      <c r="W143" s="17">
        <f>FEBRERO!W143+MARZO!AM143</f>
        <v>0</v>
      </c>
      <c r="X143" s="20">
        <f>SUM(U143:W143)</f>
        <v>0</v>
      </c>
      <c r="Y143" s="21">
        <f>FEBRERO!AA143</f>
        <v>0</v>
      </c>
      <c r="Z143" s="457">
        <v>0</v>
      </c>
      <c r="AA143" s="18">
        <f>SUM(Y143:Z143)</f>
        <v>0</v>
      </c>
      <c r="AB143" s="21">
        <f>FEBRERO!AD143</f>
        <v>0</v>
      </c>
      <c r="AC143" s="457">
        <v>0</v>
      </c>
      <c r="AD143" s="18">
        <f>SUM(AB143:AC143)</f>
        <v>0</v>
      </c>
      <c r="AE143" s="21">
        <f>FEBRERO!AG143</f>
        <v>0</v>
      </c>
      <c r="AF143" s="457">
        <v>0</v>
      </c>
      <c r="AG143" s="18">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+IF(FEBRERO!S144=0,"",FEBRERO!S144)</f>
        <v/>
      </c>
      <c r="T144" s="649" t="str">
        <f>+IF(FEBRERO!T144=0,"",FEBRERO!T144)</f>
        <v/>
      </c>
      <c r="U144" s="450"/>
      <c r="V144" s="193"/>
      <c r="W144" s="193"/>
      <c r="X144" s="193"/>
      <c r="Y144" s="450"/>
      <c r="Z144" s="193"/>
      <c r="AA144" s="207"/>
      <c r="AB144" s="450"/>
      <c r="AC144" s="193"/>
      <c r="AD144" s="207"/>
      <c r="AE144" s="450"/>
      <c r="AF144" s="193"/>
      <c r="AG144" s="207"/>
      <c r="AH144" s="450"/>
      <c r="AI144" s="193"/>
      <c r="AJ144" s="207"/>
      <c r="AK144" s="10"/>
      <c r="AL144" s="213"/>
      <c r="AM144" s="214"/>
      <c r="AN144" s="10"/>
    </row>
    <row r="145" spans="1:40" s="467" customFormat="1" ht="15.75" x14ac:dyDescent="0.2">
      <c r="A145" s="623"/>
      <c r="N145" s="10"/>
      <c r="R145" s="10"/>
      <c r="S145" s="469">
        <f>+IF(FEBRERO!S145=0,"",FEBRERO!S145)</f>
        <v>2020010</v>
      </c>
      <c r="T145" s="676" t="str">
        <f>+IF(FEBRERO!T145=0,"",FEBRERO!T145)</f>
        <v>Gastos de Operación</v>
      </c>
      <c r="U145" s="151">
        <f t="shared" ref="U145:AJ145" si="139">U147+U155</f>
        <v>378163463</v>
      </c>
      <c r="V145" s="144">
        <f t="shared" si="139"/>
        <v>-746499</v>
      </c>
      <c r="W145" s="144">
        <f t="shared" si="139"/>
        <v>14287532</v>
      </c>
      <c r="X145" s="152">
        <f t="shared" si="139"/>
        <v>391704496</v>
      </c>
      <c r="Y145" s="151">
        <f t="shared" si="139"/>
        <v>63004646</v>
      </c>
      <c r="Z145" s="144">
        <f t="shared" si="139"/>
        <v>25521390</v>
      </c>
      <c r="AA145" s="153">
        <f t="shared" si="139"/>
        <v>88526036</v>
      </c>
      <c r="AB145" s="151">
        <f t="shared" si="139"/>
        <v>63004646</v>
      </c>
      <c r="AC145" s="144">
        <f t="shared" si="139"/>
        <v>25521390</v>
      </c>
      <c r="AD145" s="153">
        <f t="shared" si="139"/>
        <v>88526036</v>
      </c>
      <c r="AE145" s="151">
        <f t="shared" si="139"/>
        <v>33803109</v>
      </c>
      <c r="AF145" s="144">
        <f t="shared" si="139"/>
        <v>22978843</v>
      </c>
      <c r="AG145" s="153">
        <f t="shared" si="139"/>
        <v>56781952</v>
      </c>
      <c r="AH145" s="151">
        <f t="shared" si="139"/>
        <v>303178460</v>
      </c>
      <c r="AI145" s="144">
        <f t="shared" si="139"/>
        <v>303178460</v>
      </c>
      <c r="AJ145" s="153">
        <f t="shared" si="139"/>
        <v>334922544</v>
      </c>
      <c r="AK145" s="12"/>
      <c r="AL145" s="151">
        <f>AL147+AL155</f>
        <v>0</v>
      </c>
      <c r="AM145" s="153">
        <f>AM147+AM155</f>
        <v>5000000</v>
      </c>
      <c r="AN145" s="10"/>
    </row>
    <row r="146" spans="1:40" s="467" customFormat="1" x14ac:dyDescent="0.2">
      <c r="A146" s="623"/>
      <c r="N146" s="10"/>
      <c r="R146" s="10"/>
      <c r="S146" s="11" t="str">
        <f>+IF(FEBRERO!S146=0,"",FEBRERO!S146)</f>
        <v/>
      </c>
      <c r="T146" s="251" t="str">
        <f>+IF(FEBRERO!T146=0,"",FEBRERO!T146)</f>
        <v/>
      </c>
      <c r="U146" s="21"/>
      <c r="V146" s="17"/>
      <c r="W146" s="17"/>
      <c r="X146" s="20"/>
      <c r="Y146" s="21"/>
      <c r="Z146" s="17"/>
      <c r="AA146" s="18"/>
      <c r="AB146" s="21"/>
      <c r="AC146" s="17"/>
      <c r="AD146" s="18"/>
      <c r="AE146" s="21"/>
      <c r="AF146" s="17"/>
      <c r="AG146" s="18"/>
      <c r="AH146" s="21"/>
      <c r="AI146" s="17"/>
      <c r="AJ146" s="18"/>
      <c r="AK146" s="10"/>
      <c r="AL146" s="213"/>
      <c r="AM146" s="214"/>
      <c r="AN146" s="10"/>
    </row>
    <row r="147" spans="1:40" s="467" customFormat="1" ht="15" x14ac:dyDescent="0.2">
      <c r="A147" s="623"/>
      <c r="N147" s="10"/>
      <c r="R147" s="10"/>
      <c r="S147" s="34">
        <f>+IF(FEBRERO!S147=0,"",FEBRERO!S147)</f>
        <v>2020100</v>
      </c>
      <c r="T147" s="237" t="str">
        <f>+IF(FEBRERO!T147=0,"",FEBRERO!T147)</f>
        <v>Adquisición de bienes</v>
      </c>
      <c r="U147" s="151">
        <f t="shared" ref="U147:AJ147" si="140">SUM(U148:U149)+U153</f>
        <v>164034265</v>
      </c>
      <c r="V147" s="144">
        <f t="shared" si="140"/>
        <v>1294826</v>
      </c>
      <c r="W147" s="144">
        <f t="shared" si="140"/>
        <v>14287532</v>
      </c>
      <c r="X147" s="152">
        <f t="shared" si="140"/>
        <v>179616623</v>
      </c>
      <c r="Y147" s="151">
        <f t="shared" si="140"/>
        <v>37849646</v>
      </c>
      <c r="Z147" s="144">
        <f t="shared" si="140"/>
        <v>11741727</v>
      </c>
      <c r="AA147" s="153">
        <f t="shared" si="140"/>
        <v>49591373</v>
      </c>
      <c r="AB147" s="151">
        <f t="shared" si="140"/>
        <v>37849646</v>
      </c>
      <c r="AC147" s="144">
        <f t="shared" si="140"/>
        <v>11741727</v>
      </c>
      <c r="AD147" s="153">
        <f t="shared" si="140"/>
        <v>49591373</v>
      </c>
      <c r="AE147" s="151">
        <f t="shared" si="140"/>
        <v>22838561</v>
      </c>
      <c r="AF147" s="144">
        <f t="shared" si="140"/>
        <v>13179552</v>
      </c>
      <c r="AG147" s="153">
        <f t="shared" si="140"/>
        <v>36018113</v>
      </c>
      <c r="AH147" s="151">
        <f t="shared" si="140"/>
        <v>130025250</v>
      </c>
      <c r="AI147" s="144">
        <f t="shared" si="140"/>
        <v>130025250</v>
      </c>
      <c r="AJ147" s="153">
        <f t="shared" si="140"/>
        <v>143598510</v>
      </c>
      <c r="AK147" s="10"/>
      <c r="AL147" s="151">
        <f>SUM(AL148:AL149)+AL153</f>
        <v>0</v>
      </c>
      <c r="AM147" s="153">
        <f>SUM(AM148:AM149)+AM153</f>
        <v>5000000</v>
      </c>
      <c r="AN147" s="10"/>
    </row>
    <row r="148" spans="1:40" s="467" customFormat="1" x14ac:dyDescent="0.2">
      <c r="A148" s="623"/>
      <c r="N148" s="10"/>
      <c r="R148" s="10"/>
      <c r="S148" s="155">
        <f>+IF(FEBRERO!S148=0,"",FEBRERO!S148)</f>
        <v>2020101</v>
      </c>
      <c r="T148" s="238" t="str">
        <f>+IF(FEBRERO!T148=0,"",FEBRERO!T148)</f>
        <v>Mantenimiento Hospitalario</v>
      </c>
      <c r="U148" s="31">
        <f>+ENERO!U148</f>
        <v>73185858</v>
      </c>
      <c r="V148" s="17">
        <f>FEBRERO!V148+MARZO!AL148</f>
        <v>0</v>
      </c>
      <c r="W148" s="17">
        <f>FEBRERO!W148+MARZO!AM148</f>
        <v>0</v>
      </c>
      <c r="X148" s="20">
        <f>SUM(U148:W148)</f>
        <v>73185858</v>
      </c>
      <c r="Y148" s="21">
        <f>FEBRERO!AA148</f>
        <v>5328920</v>
      </c>
      <c r="Z148" s="457">
        <v>6728837</v>
      </c>
      <c r="AA148" s="18">
        <f>SUM(Y148:Z148)</f>
        <v>12057757</v>
      </c>
      <c r="AB148" s="21">
        <f>FEBRERO!AD148</f>
        <v>5328920</v>
      </c>
      <c r="AC148" s="457">
        <v>6728837</v>
      </c>
      <c r="AD148" s="18">
        <f>SUM(AB148:AC148)</f>
        <v>12057757</v>
      </c>
      <c r="AE148" s="21">
        <f>FEBRERO!AG148</f>
        <v>1489994</v>
      </c>
      <c r="AF148" s="457">
        <v>6789439</v>
      </c>
      <c r="AG148" s="18">
        <f>SUM(AE148:AF148)</f>
        <v>8279433</v>
      </c>
      <c r="AH148" s="21">
        <f>X148-AA148</f>
        <v>61128101</v>
      </c>
      <c r="AI148" s="17">
        <f>X148-AD148</f>
        <v>61128101</v>
      </c>
      <c r="AJ148" s="18">
        <f>X148-AG148</f>
        <v>64906425</v>
      </c>
      <c r="AK148" s="10"/>
      <c r="AL148" s="455">
        <v>0</v>
      </c>
      <c r="AM148" s="458">
        <v>0</v>
      </c>
      <c r="AN148" s="10"/>
    </row>
    <row r="149" spans="1:40" s="467" customFormat="1" x14ac:dyDescent="0.2">
      <c r="A149" s="623"/>
      <c r="N149" s="10"/>
      <c r="R149" s="10"/>
      <c r="S149" s="155">
        <f>+IF(FEBRERO!S149=0,"",FEBRERO!S149)</f>
        <v>2020102</v>
      </c>
      <c r="T149" s="238" t="str">
        <f>+IF(FEBRERO!T149=0,"",FEBRERO!T149)</f>
        <v>Otros</v>
      </c>
      <c r="U149" s="31">
        <f t="shared" ref="U149:AJ149" si="141">SUM(U150:U152)</f>
        <v>86848407</v>
      </c>
      <c r="V149" s="17">
        <f t="shared" si="141"/>
        <v>-3075665</v>
      </c>
      <c r="W149" s="17">
        <f t="shared" si="141"/>
        <v>5000000</v>
      </c>
      <c r="X149" s="20">
        <f t="shared" si="141"/>
        <v>88772742</v>
      </c>
      <c r="Y149" s="21">
        <f t="shared" si="141"/>
        <v>14862703</v>
      </c>
      <c r="Z149" s="169">
        <f t="shared" si="141"/>
        <v>5012890</v>
      </c>
      <c r="AA149" s="18">
        <f t="shared" si="141"/>
        <v>19875593</v>
      </c>
      <c r="AB149" s="21">
        <f t="shared" si="141"/>
        <v>14862703</v>
      </c>
      <c r="AC149" s="169">
        <f t="shared" si="141"/>
        <v>5012890</v>
      </c>
      <c r="AD149" s="18">
        <f t="shared" si="141"/>
        <v>19875593</v>
      </c>
      <c r="AE149" s="21">
        <f t="shared" si="141"/>
        <v>5290582</v>
      </c>
      <c r="AF149" s="169">
        <f t="shared" si="141"/>
        <v>5606439</v>
      </c>
      <c r="AG149" s="18">
        <f t="shared" si="141"/>
        <v>10897021</v>
      </c>
      <c r="AH149" s="21">
        <f t="shared" si="141"/>
        <v>68897149</v>
      </c>
      <c r="AI149" s="17">
        <f t="shared" si="141"/>
        <v>68897149</v>
      </c>
      <c r="AJ149" s="18">
        <f t="shared" si="141"/>
        <v>77875721</v>
      </c>
      <c r="AK149" s="10"/>
      <c r="AL149" s="31">
        <f>SUM(AL150:AL152)</f>
        <v>0</v>
      </c>
      <c r="AM149" s="28">
        <f>SUM(AM150:AM152)</f>
        <v>5000000</v>
      </c>
      <c r="AN149" s="10"/>
    </row>
    <row r="150" spans="1:40" s="467" customFormat="1" x14ac:dyDescent="0.2">
      <c r="A150" s="623"/>
      <c r="N150" s="10"/>
      <c r="R150" s="10"/>
      <c r="S150" s="156" t="str">
        <f>+IF(FEBRERO!S150=0,"",FEBRERO!S150)</f>
        <v>2020102-1</v>
      </c>
      <c r="T150" s="238" t="str">
        <f>+IF(FEBRERO!T150=0,"",FEBRERO!T150)</f>
        <v>Compra de Equipo e Instr. Mco. y Laborat.</v>
      </c>
      <c r="U150" s="31">
        <f>+ENERO!U150</f>
        <v>36341462</v>
      </c>
      <c r="V150" s="17">
        <f>FEBRERO!V150+MARZO!AL150</f>
        <v>-3075665</v>
      </c>
      <c r="W150" s="17">
        <f>FEBRERO!W150+MARZO!AM150</f>
        <v>5000000</v>
      </c>
      <c r="X150" s="20">
        <f>SUM(U150:W150)</f>
        <v>38265797</v>
      </c>
      <c r="Y150" s="21">
        <f>FEBRERO!AA150</f>
        <v>3074000</v>
      </c>
      <c r="Z150" s="457">
        <v>0</v>
      </c>
      <c r="AA150" s="18">
        <f>SUM(Y150:Z150)</f>
        <v>3074000</v>
      </c>
      <c r="AB150" s="21">
        <f>FEBRERO!AD150</f>
        <v>3074000</v>
      </c>
      <c r="AC150" s="457">
        <v>0</v>
      </c>
      <c r="AD150" s="18">
        <f>SUM(AB150:AC150)</f>
        <v>3074000</v>
      </c>
      <c r="AE150" s="21">
        <f>FEBRERO!AG150</f>
        <v>0</v>
      </c>
      <c r="AF150" s="457">
        <v>0</v>
      </c>
      <c r="AG150" s="18">
        <f>SUM(AE150:AF150)</f>
        <v>0</v>
      </c>
      <c r="AH150" s="21">
        <f>X150-AA150</f>
        <v>35191797</v>
      </c>
      <c r="AI150" s="17">
        <f>X150-AD150</f>
        <v>35191797</v>
      </c>
      <c r="AJ150" s="18">
        <f>X150-AG150</f>
        <v>38265797</v>
      </c>
      <c r="AK150" s="10"/>
      <c r="AL150" s="455">
        <v>0</v>
      </c>
      <c r="AM150" s="458">
        <v>5000000</v>
      </c>
      <c r="AN150" s="10"/>
    </row>
    <row r="151" spans="1:40" s="467" customFormat="1" x14ac:dyDescent="0.2">
      <c r="A151" s="623"/>
      <c r="N151" s="10"/>
      <c r="R151" s="10"/>
      <c r="S151" s="156" t="str">
        <f>+IF(FEBRERO!S151=0,"",FEBRERO!S151)</f>
        <v>2020102-2</v>
      </c>
      <c r="T151" s="238" t="str">
        <f>+IF(FEBRERO!T151=0,"",FEBRERO!T151)</f>
        <v>Materiales</v>
      </c>
      <c r="U151" s="31">
        <f>+ENERO!U151</f>
        <v>17885632</v>
      </c>
      <c r="V151" s="17">
        <f>FEBRERO!V151+MARZO!AL151</f>
        <v>0</v>
      </c>
      <c r="W151" s="17">
        <f>FEBRERO!W151+MARZO!AM151</f>
        <v>0</v>
      </c>
      <c r="X151" s="20">
        <f>SUM(U151:W151)</f>
        <v>17885632</v>
      </c>
      <c r="Y151" s="21">
        <f>FEBRERO!AA151</f>
        <v>4298260</v>
      </c>
      <c r="Z151" s="457">
        <v>216900</v>
      </c>
      <c r="AA151" s="18">
        <f>SUM(Y151:Z151)</f>
        <v>4515160</v>
      </c>
      <c r="AB151" s="21">
        <f>FEBRERO!AD151</f>
        <v>4298260</v>
      </c>
      <c r="AC151" s="457">
        <v>216900</v>
      </c>
      <c r="AD151" s="18">
        <f>SUM(AB151:AC151)</f>
        <v>4515160</v>
      </c>
      <c r="AE151" s="21">
        <f>FEBRERO!AG151</f>
        <v>1889995</v>
      </c>
      <c r="AF151" s="457">
        <v>1516583</v>
      </c>
      <c r="AG151" s="18">
        <f>SUM(AE151:AF151)</f>
        <v>3406578</v>
      </c>
      <c r="AH151" s="21">
        <f>X151-AA151</f>
        <v>13370472</v>
      </c>
      <c r="AI151" s="17">
        <f>X151-AD151</f>
        <v>13370472</v>
      </c>
      <c r="AJ151" s="18">
        <f>X151-AG151</f>
        <v>14479054</v>
      </c>
      <c r="AK151" s="10"/>
      <c r="AL151" s="455">
        <v>0</v>
      </c>
      <c r="AM151" s="458">
        <v>0</v>
      </c>
      <c r="AN151" s="10"/>
    </row>
    <row r="152" spans="1:40" s="467" customFormat="1" x14ac:dyDescent="0.2">
      <c r="A152" s="623"/>
      <c r="N152" s="10"/>
      <c r="R152" s="10"/>
      <c r="S152" s="156" t="str">
        <f>+IF(FEBRERO!S152=0,"",FEBRERO!S152)</f>
        <v>2020102-3</v>
      </c>
      <c r="T152" s="238" t="str">
        <f>+IF(FEBRERO!T152=0,"",FEBRERO!T152)</f>
        <v>Combustible</v>
      </c>
      <c r="U152" s="31">
        <f>+ENERO!U152</f>
        <v>32621313</v>
      </c>
      <c r="V152" s="17">
        <f>FEBRERO!V152+MARZO!AL152</f>
        <v>0</v>
      </c>
      <c r="W152" s="17">
        <f>FEBRERO!W152+MARZO!AM152</f>
        <v>0</v>
      </c>
      <c r="X152" s="20">
        <f>SUM(U152:W152)</f>
        <v>32621313</v>
      </c>
      <c r="Y152" s="21">
        <f>FEBRERO!AA152</f>
        <v>7490443</v>
      </c>
      <c r="Z152" s="457">
        <v>4795990</v>
      </c>
      <c r="AA152" s="18">
        <f>SUM(Y152:Z152)</f>
        <v>12286433</v>
      </c>
      <c r="AB152" s="21">
        <f>FEBRERO!AD152</f>
        <v>7490443</v>
      </c>
      <c r="AC152" s="457">
        <v>4795990</v>
      </c>
      <c r="AD152" s="18">
        <f>SUM(AB152:AC152)</f>
        <v>12286433</v>
      </c>
      <c r="AE152" s="21">
        <f>FEBRERO!AG152</f>
        <v>3400587</v>
      </c>
      <c r="AF152" s="457">
        <v>4089856</v>
      </c>
      <c r="AG152" s="18">
        <f>SUM(AE152:AF152)</f>
        <v>7490443</v>
      </c>
      <c r="AH152" s="21">
        <f>X152-AA152</f>
        <v>20334880</v>
      </c>
      <c r="AI152" s="17">
        <f>X152-AD152</f>
        <v>20334880</v>
      </c>
      <c r="AJ152" s="18">
        <f>X152-AG152</f>
        <v>25130870</v>
      </c>
      <c r="AK152" s="10"/>
      <c r="AL152" s="455">
        <v>0</v>
      </c>
      <c r="AM152" s="458">
        <v>0</v>
      </c>
      <c r="AN152" s="10"/>
    </row>
    <row r="153" spans="1:40" s="467" customFormat="1" x14ac:dyDescent="0.2">
      <c r="A153" s="623"/>
      <c r="N153" s="10"/>
      <c r="R153" s="10"/>
      <c r="S153" s="155">
        <f>+IF(FEBRERO!S153=0,"",FEBRERO!S153)</f>
        <v>2020199</v>
      </c>
      <c r="T153" s="238" t="str">
        <f>+IF(FEBRERO!T153=0,"",FEBRERO!T153)</f>
        <v>Vigencias Anteriores</v>
      </c>
      <c r="U153" s="31">
        <f>+ENERO!U153</f>
        <v>4000000</v>
      </c>
      <c r="V153" s="17">
        <f>FEBRERO!V153+MARZO!AL153</f>
        <v>4370491</v>
      </c>
      <c r="W153" s="17">
        <f>FEBRERO!W153+MARZO!AM153</f>
        <v>9287532</v>
      </c>
      <c r="X153" s="20">
        <f>SUM(U153:W153)</f>
        <v>17658023</v>
      </c>
      <c r="Y153" s="21">
        <f>FEBRERO!AA153</f>
        <v>17658023</v>
      </c>
      <c r="Z153" s="457">
        <v>0</v>
      </c>
      <c r="AA153" s="18">
        <f>SUM(Y153:Z153)</f>
        <v>17658023</v>
      </c>
      <c r="AB153" s="21">
        <f>FEBRERO!AD153</f>
        <v>17658023</v>
      </c>
      <c r="AC153" s="457">
        <v>0</v>
      </c>
      <c r="AD153" s="18">
        <f>SUM(AB153:AC153)</f>
        <v>17658023</v>
      </c>
      <c r="AE153" s="21">
        <f>FEBRERO!AG153</f>
        <v>16057985</v>
      </c>
      <c r="AF153" s="457">
        <v>783674</v>
      </c>
      <c r="AG153" s="18">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+IF(FEBRERO!S154=0,"",FEBRERO!S154)</f>
        <v/>
      </c>
      <c r="T154" s="649" t="str">
        <f>+IF(FEBRERO!T154=0,"",FEBRERO!T154)</f>
        <v/>
      </c>
      <c r="U154" s="450"/>
      <c r="V154" s="193"/>
      <c r="W154" s="193"/>
      <c r="X154" s="193"/>
      <c r="Y154" s="450"/>
      <c r="Z154" s="193"/>
      <c r="AA154" s="207"/>
      <c r="AB154" s="450"/>
      <c r="AC154" s="193"/>
      <c r="AD154" s="207"/>
      <c r="AE154" s="450"/>
      <c r="AF154" s="193"/>
      <c r="AG154" s="207"/>
      <c r="AH154" s="450"/>
      <c r="AI154" s="193"/>
      <c r="AJ154" s="207"/>
      <c r="AK154" s="10"/>
      <c r="AL154" s="213"/>
      <c r="AM154" s="214"/>
      <c r="AN154" s="10"/>
    </row>
    <row r="155" spans="1:40" s="467" customFormat="1" ht="15" x14ac:dyDescent="0.2">
      <c r="A155" s="623"/>
      <c r="N155" s="10"/>
      <c r="R155" s="10"/>
      <c r="S155" s="34">
        <f>+IF(FEBRERO!S155=0,"",FEBRERO!S155)</f>
        <v>2020200</v>
      </c>
      <c r="T155" s="237" t="str">
        <f>+IF(FEBRERO!T155=0,"",FEBRERO!T155)</f>
        <v>Adquisición de Servicios</v>
      </c>
      <c r="U155" s="151">
        <f t="shared" ref="U155:AJ155" si="142">SUM(U156:U157)+U168</f>
        <v>214129198</v>
      </c>
      <c r="V155" s="144">
        <f t="shared" si="142"/>
        <v>-2041325</v>
      </c>
      <c r="W155" s="144">
        <f t="shared" si="142"/>
        <v>0</v>
      </c>
      <c r="X155" s="152">
        <f t="shared" si="142"/>
        <v>212087873</v>
      </c>
      <c r="Y155" s="151">
        <f t="shared" si="142"/>
        <v>25155000</v>
      </c>
      <c r="Z155" s="144">
        <f t="shared" si="142"/>
        <v>13779663</v>
      </c>
      <c r="AA155" s="153">
        <f t="shared" si="142"/>
        <v>38934663</v>
      </c>
      <c r="AB155" s="151">
        <f t="shared" si="142"/>
        <v>25155000</v>
      </c>
      <c r="AC155" s="144">
        <f t="shared" si="142"/>
        <v>13779663</v>
      </c>
      <c r="AD155" s="153">
        <f t="shared" si="142"/>
        <v>38934663</v>
      </c>
      <c r="AE155" s="151">
        <f t="shared" si="142"/>
        <v>10964548</v>
      </c>
      <c r="AF155" s="144">
        <f t="shared" si="142"/>
        <v>9799291</v>
      </c>
      <c r="AG155" s="153">
        <f t="shared" si="142"/>
        <v>20763839</v>
      </c>
      <c r="AH155" s="151">
        <f t="shared" si="142"/>
        <v>173153210</v>
      </c>
      <c r="AI155" s="144">
        <f t="shared" si="142"/>
        <v>173153210</v>
      </c>
      <c r="AJ155" s="153">
        <f t="shared" si="142"/>
        <v>191324034</v>
      </c>
      <c r="AK155" s="10"/>
      <c r="AL155" s="151">
        <f>SUM(AL156:AL157)+AL168</f>
        <v>0</v>
      </c>
      <c r="AM155" s="153">
        <f>SUM(AM156:AM157)+AM168</f>
        <v>0</v>
      </c>
      <c r="AN155" s="10"/>
    </row>
    <row r="156" spans="1:40" s="467" customFormat="1" x14ac:dyDescent="0.2">
      <c r="A156" s="623"/>
      <c r="N156" s="10"/>
      <c r="P156" s="10"/>
      <c r="Q156" s="10"/>
      <c r="R156" s="10"/>
      <c r="S156" s="155">
        <f>+IF(FEBRERO!S156=0,"",FEBRERO!S156)</f>
        <v>2020201</v>
      </c>
      <c r="T156" s="238" t="str">
        <f>+IF(FEBRERO!T156=0,"",FEBRERO!T156)</f>
        <v>Mantenimiento Hospitalario</v>
      </c>
      <c r="U156" s="31">
        <f>+ENERO!U156</f>
        <v>89449384</v>
      </c>
      <c r="V156" s="17">
        <f>FEBRERO!V156+MARZO!AL156</f>
        <v>0</v>
      </c>
      <c r="W156" s="17">
        <f>FEBRERO!W156+MARZO!AM156</f>
        <v>0</v>
      </c>
      <c r="X156" s="20">
        <f>SUM(U156:W156)</f>
        <v>89449384</v>
      </c>
      <c r="Y156" s="21">
        <f>FEBRERO!AA156</f>
        <v>6087806</v>
      </c>
      <c r="Z156" s="457">
        <v>5228648</v>
      </c>
      <c r="AA156" s="18">
        <f>SUM(Y156:Z156)</f>
        <v>11316454</v>
      </c>
      <c r="AB156" s="21">
        <f>FEBRERO!AD156</f>
        <v>6087806</v>
      </c>
      <c r="AC156" s="457">
        <v>5228648</v>
      </c>
      <c r="AD156" s="18">
        <f>SUM(AB156:AC156)</f>
        <v>11316454</v>
      </c>
      <c r="AE156" s="21">
        <f>FEBRERO!AG156</f>
        <v>918000</v>
      </c>
      <c r="AF156" s="457">
        <v>4240664</v>
      </c>
      <c r="AG156" s="18">
        <f>SUM(AE156:AF156)</f>
        <v>5158664</v>
      </c>
      <c r="AH156" s="21">
        <f>X156-AA156</f>
        <v>78132930</v>
      </c>
      <c r="AI156" s="17">
        <f>X156-AD156</f>
        <v>78132930</v>
      </c>
      <c r="AJ156" s="18">
        <f>X156-AG156</f>
        <v>84290720</v>
      </c>
      <c r="AK156" s="10"/>
      <c r="AL156" s="455">
        <v>0</v>
      </c>
      <c r="AM156" s="458">
        <v>0</v>
      </c>
      <c r="AN156" s="10"/>
    </row>
    <row r="157" spans="1:40" s="467" customFormat="1" x14ac:dyDescent="0.2">
      <c r="A157" s="623"/>
      <c r="N157" s="10"/>
      <c r="P157" s="10"/>
      <c r="Q157" s="10"/>
      <c r="R157" s="10"/>
      <c r="S157" s="155">
        <f>+IF(FEBRERO!S157=0,"",FEBRERO!S157)</f>
        <v>2020202</v>
      </c>
      <c r="T157" s="238" t="str">
        <f>+IF(FEBRERO!T157=0,"",FEBRERO!T157)</f>
        <v>Otros</v>
      </c>
      <c r="U157" s="31">
        <f t="shared" ref="U157:AJ157" si="143">SUM(U158:U167)</f>
        <v>111949655</v>
      </c>
      <c r="V157" s="29">
        <f t="shared" si="143"/>
        <v>0</v>
      </c>
      <c r="W157" s="29">
        <f t="shared" si="143"/>
        <v>0</v>
      </c>
      <c r="X157" s="236">
        <f t="shared" si="143"/>
        <v>111949655</v>
      </c>
      <c r="Y157" s="31">
        <f t="shared" si="143"/>
        <v>8378360</v>
      </c>
      <c r="Z157" s="29">
        <f t="shared" si="143"/>
        <v>8551015</v>
      </c>
      <c r="AA157" s="212">
        <f t="shared" si="143"/>
        <v>16929375</v>
      </c>
      <c r="AB157" s="31">
        <f t="shared" si="143"/>
        <v>8378360</v>
      </c>
      <c r="AC157" s="29">
        <f t="shared" si="143"/>
        <v>8551015</v>
      </c>
      <c r="AD157" s="212">
        <f t="shared" si="143"/>
        <v>16929375</v>
      </c>
      <c r="AE157" s="31">
        <f t="shared" si="143"/>
        <v>3030674</v>
      </c>
      <c r="AF157" s="29">
        <f t="shared" si="143"/>
        <v>5558627</v>
      </c>
      <c r="AG157" s="212">
        <f t="shared" si="143"/>
        <v>8589301</v>
      </c>
      <c r="AH157" s="31">
        <f t="shared" si="143"/>
        <v>95020280</v>
      </c>
      <c r="AI157" s="29">
        <f t="shared" si="143"/>
        <v>95020280</v>
      </c>
      <c r="AJ157" s="212">
        <f t="shared" si="143"/>
        <v>103360354</v>
      </c>
      <c r="AK157" s="12"/>
      <c r="AL157" s="31">
        <f>SUM(AL158:AL167)</f>
        <v>0</v>
      </c>
      <c r="AM157" s="28">
        <f>SUM(AM158:AM167)</f>
        <v>0</v>
      </c>
      <c r="AN157" s="10"/>
    </row>
    <row r="158" spans="1:40" s="467" customFormat="1" x14ac:dyDescent="0.2">
      <c r="A158" s="623"/>
      <c r="N158" s="10"/>
      <c r="P158" s="10"/>
      <c r="Q158" s="10"/>
      <c r="R158" s="10"/>
      <c r="S158" s="156" t="str">
        <f>+IF(FEBRERO!S158=0,"",FEBRERO!S158)</f>
        <v>2020202-1</v>
      </c>
      <c r="T158" s="251" t="str">
        <f>+IF(FEBRERO!T158=0,"",FEBRERO!T158)</f>
        <v>Seguros</v>
      </c>
      <c r="U158" s="31">
        <f>+ENERO!U158</f>
        <v>10500000</v>
      </c>
      <c r="V158" s="17">
        <f>FEBRERO!V158+MARZO!AL158</f>
        <v>0</v>
      </c>
      <c r="W158" s="17">
        <f>FEBRERO!W158+MARZO!AM158</f>
        <v>0</v>
      </c>
      <c r="X158" s="20">
        <f t="shared" ref="X158:X168" si="144">SUM(U158:W158)</f>
        <v>10500000</v>
      </c>
      <c r="Y158" s="21">
        <f>FEBRERO!AA158</f>
        <v>0</v>
      </c>
      <c r="Z158" s="457">
        <v>782400</v>
      </c>
      <c r="AA158" s="18">
        <f t="shared" ref="AA158:AA168" si="145">SUM(Y158:Z158)</f>
        <v>782400</v>
      </c>
      <c r="AB158" s="21">
        <f>FEBRERO!AD158</f>
        <v>0</v>
      </c>
      <c r="AC158" s="457">
        <v>782400</v>
      </c>
      <c r="AD158" s="18">
        <f t="shared" ref="AD158:AD168" si="146">SUM(AB158:AC158)</f>
        <v>782400</v>
      </c>
      <c r="AE158" s="21">
        <f>FEBRERO!AG158</f>
        <v>0</v>
      </c>
      <c r="AF158" s="457">
        <v>782400</v>
      </c>
      <c r="AG158" s="18">
        <f t="shared" ref="AG158:AG168" si="147">SUM(AE158:AF158)</f>
        <v>782400</v>
      </c>
      <c r="AH158" s="21">
        <f t="shared" ref="AH158:AH168" si="148">X158-AA158</f>
        <v>9717600</v>
      </c>
      <c r="AI158" s="17">
        <f t="shared" ref="AI158:AI168" si="149">X158-AD158</f>
        <v>9717600</v>
      </c>
      <c r="AJ158" s="18">
        <f t="shared" ref="AJ158:AJ168" si="150">X158-AG158</f>
        <v>9717600</v>
      </c>
      <c r="AK158" s="10"/>
      <c r="AL158" s="455">
        <v>0</v>
      </c>
      <c r="AM158" s="458">
        <v>0</v>
      </c>
      <c r="AN158" s="10"/>
    </row>
    <row r="159" spans="1:40" s="467" customFormat="1" x14ac:dyDescent="0.2">
      <c r="A159" s="623"/>
      <c r="N159" s="10"/>
      <c r="P159" s="10"/>
      <c r="Q159" s="10"/>
      <c r="R159" s="10"/>
      <c r="S159" s="156" t="str">
        <f>+IF(FEBRERO!S159=0,"",FEBRERO!S159)</f>
        <v>2020202-2</v>
      </c>
      <c r="T159" s="251" t="str">
        <f>+IF(FEBRERO!T159=0,"",FEBRERO!T159)</f>
        <v>Impresos y Publicaciones</v>
      </c>
      <c r="U159" s="31">
        <f>+ENERO!U159</f>
        <v>6697601</v>
      </c>
      <c r="V159" s="17">
        <f>FEBRERO!V159+MARZO!AL159</f>
        <v>0</v>
      </c>
      <c r="W159" s="17">
        <f>FEBRERO!W159+MARZO!AM159</f>
        <v>0</v>
      </c>
      <c r="X159" s="20">
        <f t="shared" si="144"/>
        <v>6697601</v>
      </c>
      <c r="Y159" s="21">
        <f>FEBRERO!AA159</f>
        <v>132800</v>
      </c>
      <c r="Z159" s="457">
        <v>0</v>
      </c>
      <c r="AA159" s="18">
        <f t="shared" si="145"/>
        <v>132800</v>
      </c>
      <c r="AB159" s="21">
        <f>FEBRERO!AD159</f>
        <v>132800</v>
      </c>
      <c r="AC159" s="457">
        <v>0</v>
      </c>
      <c r="AD159" s="18">
        <f t="shared" si="146"/>
        <v>132800</v>
      </c>
      <c r="AE159" s="21">
        <f>FEBRERO!AG159</f>
        <v>0</v>
      </c>
      <c r="AF159" s="457">
        <v>132800</v>
      </c>
      <c r="AG159" s="18">
        <f t="shared" si="147"/>
        <v>132800</v>
      </c>
      <c r="AH159" s="21">
        <f t="shared" si="148"/>
        <v>6564801</v>
      </c>
      <c r="AI159" s="17">
        <f t="shared" si="149"/>
        <v>6564801</v>
      </c>
      <c r="AJ159" s="18">
        <f t="shared" si="150"/>
        <v>6564801</v>
      </c>
      <c r="AK159" s="10"/>
      <c r="AL159" s="455">
        <v>0</v>
      </c>
      <c r="AM159" s="458">
        <v>0</v>
      </c>
      <c r="AN159" s="10"/>
    </row>
    <row r="160" spans="1:40" s="467" customFormat="1" x14ac:dyDescent="0.2">
      <c r="A160" s="623"/>
      <c r="N160" s="10"/>
      <c r="P160" s="10"/>
      <c r="Q160" s="10"/>
      <c r="R160" s="10"/>
      <c r="S160" s="156" t="str">
        <f>+IF(FEBRERO!S160=0,"",FEBRERO!S160)</f>
        <v>2020202-3</v>
      </c>
      <c r="T160" s="251" t="str">
        <f>+IF(FEBRERO!T160=0,"",FEBRERO!T160)</f>
        <v>Pago a otras IPS</v>
      </c>
      <c r="U160" s="31">
        <f>+ENERO!U160</f>
        <v>11458020</v>
      </c>
      <c r="V160" s="17">
        <f>FEBRERO!V160+MARZO!AL160</f>
        <v>0</v>
      </c>
      <c r="W160" s="17">
        <f>FEBRERO!W160+MARZO!AM160</f>
        <v>0</v>
      </c>
      <c r="X160" s="20">
        <f t="shared" si="144"/>
        <v>11458020</v>
      </c>
      <c r="Y160" s="21">
        <f>FEBRERO!AA160</f>
        <v>436200</v>
      </c>
      <c r="Z160" s="457">
        <v>0</v>
      </c>
      <c r="AA160" s="18">
        <f t="shared" si="145"/>
        <v>436200</v>
      </c>
      <c r="AB160" s="21">
        <f>FEBRERO!AD160</f>
        <v>436200</v>
      </c>
      <c r="AC160" s="457">
        <v>0</v>
      </c>
      <c r="AD160" s="18">
        <f t="shared" si="146"/>
        <v>436200</v>
      </c>
      <c r="AE160" s="21">
        <f>FEBRERO!AG160</f>
        <v>0</v>
      </c>
      <c r="AF160" s="457">
        <v>0</v>
      </c>
      <c r="AG160" s="18">
        <f t="shared" si="147"/>
        <v>0</v>
      </c>
      <c r="AH160" s="21">
        <f t="shared" si="148"/>
        <v>11021820</v>
      </c>
      <c r="AI160" s="17">
        <f t="shared" si="149"/>
        <v>11021820</v>
      </c>
      <c r="AJ160" s="18">
        <f t="shared" si="150"/>
        <v>11458020</v>
      </c>
      <c r="AK160" s="10"/>
      <c r="AL160" s="455">
        <v>0</v>
      </c>
      <c r="AM160" s="458">
        <v>0</v>
      </c>
      <c r="AN160" s="10"/>
    </row>
    <row r="161" spans="1:40" s="467" customFormat="1" x14ac:dyDescent="0.2">
      <c r="A161" s="623"/>
      <c r="N161" s="10"/>
      <c r="P161" s="10"/>
      <c r="Q161" s="10"/>
      <c r="R161" s="10"/>
      <c r="S161" s="156" t="str">
        <f>+IF(FEBRERO!S161=0,"",FEBRERO!S161)</f>
        <v>2020202-4</v>
      </c>
      <c r="T161" s="251" t="str">
        <f>+IF(FEBRERO!T161=0,"",FEBRERO!T161)</f>
        <v>Comunicaciones y Transportes</v>
      </c>
      <c r="U161" s="31">
        <f>+ENERO!U161</f>
        <v>14340084</v>
      </c>
      <c r="V161" s="17">
        <f>FEBRERO!V161+MARZO!AL161</f>
        <v>0</v>
      </c>
      <c r="W161" s="17">
        <f>FEBRERO!W161+MARZO!AM161</f>
        <v>0</v>
      </c>
      <c r="X161" s="20">
        <f t="shared" si="144"/>
        <v>14340084</v>
      </c>
      <c r="Y161" s="21">
        <f>FEBRERO!AA161</f>
        <v>2117200</v>
      </c>
      <c r="Z161" s="457">
        <v>1773000</v>
      </c>
      <c r="AA161" s="18">
        <f t="shared" si="145"/>
        <v>3890200</v>
      </c>
      <c r="AB161" s="21">
        <f>FEBRERO!AD161</f>
        <v>2117200</v>
      </c>
      <c r="AC161" s="457">
        <v>1773000</v>
      </c>
      <c r="AD161" s="18">
        <f t="shared" si="146"/>
        <v>3890200</v>
      </c>
      <c r="AE161" s="21">
        <f>FEBRERO!AG161</f>
        <v>181800</v>
      </c>
      <c r="AF161" s="457">
        <v>1935400</v>
      </c>
      <c r="AG161" s="18">
        <f t="shared" si="147"/>
        <v>2117200</v>
      </c>
      <c r="AH161" s="21">
        <f t="shared" si="148"/>
        <v>10449884</v>
      </c>
      <c r="AI161" s="17">
        <f t="shared" si="149"/>
        <v>10449884</v>
      </c>
      <c r="AJ161" s="18">
        <f t="shared" si="150"/>
        <v>12222884</v>
      </c>
      <c r="AK161" s="10"/>
      <c r="AL161" s="455">
        <v>0</v>
      </c>
      <c r="AM161" s="458">
        <v>0</v>
      </c>
      <c r="AN161" s="10"/>
    </row>
    <row r="162" spans="1:40" s="467" customFormat="1" x14ac:dyDescent="0.2">
      <c r="A162" s="623"/>
      <c r="N162" s="10"/>
      <c r="P162" s="10"/>
      <c r="Q162" s="10"/>
      <c r="R162" s="10"/>
      <c r="S162" s="156" t="str">
        <f>+IF(FEBRERO!S162=0,"",FEBRERO!S162)</f>
        <v>2020202-5</v>
      </c>
      <c r="T162" s="251" t="str">
        <f>+IF(FEBRERO!T162=0,"",FEBRERO!T162)</f>
        <v>Viáticos y Gastos de Viaje</v>
      </c>
      <c r="U162" s="31">
        <f>+ENERO!U162</f>
        <v>23894636</v>
      </c>
      <c r="V162" s="17">
        <f>FEBRERO!V162+MARZO!AL162</f>
        <v>0</v>
      </c>
      <c r="W162" s="17">
        <f>FEBRERO!W162+MARZO!AM162</f>
        <v>0</v>
      </c>
      <c r="X162" s="20">
        <f t="shared" si="144"/>
        <v>23894636</v>
      </c>
      <c r="Y162" s="21">
        <f>FEBRERO!AA162</f>
        <v>3040874</v>
      </c>
      <c r="Z162" s="457">
        <v>2542147</v>
      </c>
      <c r="AA162" s="18">
        <f t="shared" si="145"/>
        <v>5583021</v>
      </c>
      <c r="AB162" s="21">
        <f>FEBRERO!AD162</f>
        <v>3040874</v>
      </c>
      <c r="AC162" s="457">
        <v>2542147</v>
      </c>
      <c r="AD162" s="18">
        <f t="shared" si="146"/>
        <v>5583021</v>
      </c>
      <c r="AE162" s="21">
        <f>FEBRERO!AG162</f>
        <v>2848874</v>
      </c>
      <c r="AF162" s="457">
        <v>2708027</v>
      </c>
      <c r="AG162" s="18">
        <f t="shared" si="147"/>
        <v>5556901</v>
      </c>
      <c r="AH162" s="21">
        <f t="shared" si="148"/>
        <v>18311615</v>
      </c>
      <c r="AI162" s="17">
        <f t="shared" si="149"/>
        <v>18311615</v>
      </c>
      <c r="AJ162" s="18">
        <f t="shared" si="150"/>
        <v>18337735</v>
      </c>
      <c r="AK162" s="10"/>
      <c r="AL162" s="455">
        <v>0</v>
      </c>
      <c r="AM162" s="458">
        <v>0</v>
      </c>
      <c r="AN162" s="10"/>
    </row>
    <row r="163" spans="1:40" s="467" customFormat="1" x14ac:dyDescent="0.2">
      <c r="A163" s="623"/>
      <c r="N163" s="10"/>
      <c r="P163" s="10"/>
      <c r="Q163" s="10"/>
      <c r="R163" s="10"/>
      <c r="S163" s="156" t="str">
        <f>+IF(FEBRERO!S163=0,"",FEBRERO!S163)</f>
        <v>2020202-6</v>
      </c>
      <c r="T163" s="251" t="str">
        <f>+IF(FEBRERO!T163=0,"",FEBRERO!T163)</f>
        <v>Plan Integral de Manejo de Residuos Sólidos Hospitalarios</v>
      </c>
      <c r="U163" s="31">
        <f>+ENERO!U163</f>
        <v>8565804</v>
      </c>
      <c r="V163" s="17">
        <f>FEBRERO!V163+MARZO!AL163</f>
        <v>0</v>
      </c>
      <c r="W163" s="17">
        <f>FEBRERO!W163+MARZO!AM163</f>
        <v>0</v>
      </c>
      <c r="X163" s="20">
        <f t="shared" si="144"/>
        <v>8565804</v>
      </c>
      <c r="Y163" s="21">
        <f>FEBRERO!AA163</f>
        <v>1095286</v>
      </c>
      <c r="Z163" s="457">
        <v>1294068</v>
      </c>
      <c r="AA163" s="18">
        <f t="shared" si="145"/>
        <v>2389354</v>
      </c>
      <c r="AB163" s="21">
        <f>FEBRERO!AD163</f>
        <v>1095286</v>
      </c>
      <c r="AC163" s="457">
        <v>1294068</v>
      </c>
      <c r="AD163" s="18">
        <f t="shared" si="146"/>
        <v>2389354</v>
      </c>
      <c r="AE163" s="21">
        <f>FEBRERO!AG163</f>
        <v>0</v>
      </c>
      <c r="AF163" s="457">
        <v>0</v>
      </c>
      <c r="AG163" s="18">
        <f t="shared" si="147"/>
        <v>0</v>
      </c>
      <c r="AH163" s="21">
        <f t="shared" si="148"/>
        <v>6176450</v>
      </c>
      <c r="AI163" s="17">
        <f t="shared" si="149"/>
        <v>6176450</v>
      </c>
      <c r="AJ163" s="18">
        <f t="shared" si="150"/>
        <v>8565804</v>
      </c>
      <c r="AK163" s="10"/>
      <c r="AL163" s="455">
        <v>0</v>
      </c>
      <c r="AM163" s="458">
        <v>0</v>
      </c>
      <c r="AN163" s="10"/>
    </row>
    <row r="164" spans="1:40" s="467" customFormat="1" x14ac:dyDescent="0.2">
      <c r="A164" s="623"/>
      <c r="N164" s="10"/>
      <c r="P164" s="10"/>
      <c r="Q164" s="10"/>
      <c r="R164" s="10"/>
      <c r="S164" s="156" t="str">
        <f>+IF(FEBRERO!S164=0,"",FEBRERO!S164)</f>
        <v>2020202-7</v>
      </c>
      <c r="T164" s="251" t="str">
        <f>+IF(FEBRERO!T164=0,"",FEBRERO!T164)</f>
        <v>Servicios de Laboratorio contratados con terceros</v>
      </c>
      <c r="U164" s="31">
        <f>+ENERO!U164</f>
        <v>12000000</v>
      </c>
      <c r="V164" s="17">
        <f>FEBRERO!V164+MARZO!AL164</f>
        <v>0</v>
      </c>
      <c r="W164" s="17">
        <f>FEBRERO!W164+MARZO!AM164</f>
        <v>0</v>
      </c>
      <c r="X164" s="20">
        <f t="shared" si="144"/>
        <v>12000000</v>
      </c>
      <c r="Y164" s="21">
        <f>FEBRERO!AA164</f>
        <v>236000</v>
      </c>
      <c r="Z164" s="457">
        <v>147400</v>
      </c>
      <c r="AA164" s="18">
        <f t="shared" si="145"/>
        <v>383400</v>
      </c>
      <c r="AB164" s="21">
        <f>FEBRERO!AD164</f>
        <v>236000</v>
      </c>
      <c r="AC164" s="457">
        <v>147400</v>
      </c>
      <c r="AD164" s="18">
        <f t="shared" si="146"/>
        <v>383400</v>
      </c>
      <c r="AE164" s="21">
        <f>FEBRERO!AG164</f>
        <v>0</v>
      </c>
      <c r="AF164" s="457">
        <v>0</v>
      </c>
      <c r="AG164" s="18">
        <f t="shared" si="147"/>
        <v>0</v>
      </c>
      <c r="AH164" s="21">
        <f t="shared" si="148"/>
        <v>11616600</v>
      </c>
      <c r="AI164" s="17">
        <f t="shared" si="149"/>
        <v>11616600</v>
      </c>
      <c r="AJ164" s="18">
        <f t="shared" si="150"/>
        <v>12000000</v>
      </c>
      <c r="AK164" s="10"/>
      <c r="AL164" s="455">
        <v>0</v>
      </c>
      <c r="AM164" s="458">
        <v>0</v>
      </c>
      <c r="AN164" s="10"/>
    </row>
    <row r="165" spans="1:40" s="467" customFormat="1" x14ac:dyDescent="0.2">
      <c r="A165" s="623"/>
      <c r="N165" s="10"/>
      <c r="P165" s="10"/>
      <c r="Q165" s="10"/>
      <c r="R165" s="10"/>
      <c r="S165" s="156" t="str">
        <f>+IF(FEBRERO!S165=0,"",FEBRERO!S165)</f>
        <v>2020202-8</v>
      </c>
      <c r="T165" s="251" t="str">
        <f>+IF(FEBRERO!T165=0,"",FEBRERO!T165)</f>
        <v>Servicios de Rayos X e Imaginología contratado con terceros</v>
      </c>
      <c r="U165" s="31">
        <f>+ENERO!U165</f>
        <v>19000000</v>
      </c>
      <c r="V165" s="17">
        <f>FEBRERO!V165+MARZO!AL165</f>
        <v>0</v>
      </c>
      <c r="W165" s="17">
        <f>FEBRERO!W165+MARZO!AM165</f>
        <v>0</v>
      </c>
      <c r="X165" s="20">
        <f t="shared" si="144"/>
        <v>19000000</v>
      </c>
      <c r="Y165" s="21">
        <f>FEBRERO!AA165</f>
        <v>0</v>
      </c>
      <c r="Z165" s="457">
        <v>1612000</v>
      </c>
      <c r="AA165" s="18">
        <f t="shared" si="145"/>
        <v>1612000</v>
      </c>
      <c r="AB165" s="21">
        <f>FEBRERO!AD165</f>
        <v>0</v>
      </c>
      <c r="AC165" s="457">
        <v>1612000</v>
      </c>
      <c r="AD165" s="18">
        <f t="shared" si="146"/>
        <v>1612000</v>
      </c>
      <c r="AE165" s="21">
        <f>FEBRERO!AG165</f>
        <v>0</v>
      </c>
      <c r="AF165" s="457">
        <v>0</v>
      </c>
      <c r="AG165" s="18">
        <f t="shared" si="147"/>
        <v>0</v>
      </c>
      <c r="AH165" s="21">
        <f t="shared" si="148"/>
        <v>17388000</v>
      </c>
      <c r="AI165" s="17">
        <f t="shared" si="149"/>
        <v>17388000</v>
      </c>
      <c r="AJ165" s="18">
        <f t="shared" si="150"/>
        <v>19000000</v>
      </c>
      <c r="AK165" s="10"/>
      <c r="AL165" s="455">
        <v>0</v>
      </c>
      <c r="AM165" s="458">
        <v>0</v>
      </c>
      <c r="AN165" s="10"/>
    </row>
    <row r="166" spans="1:40" s="467" customFormat="1" x14ac:dyDescent="0.2">
      <c r="A166" s="623"/>
      <c r="N166" s="10"/>
      <c r="P166" s="10"/>
      <c r="Q166" s="10"/>
      <c r="R166" s="10"/>
      <c r="S166" s="156" t="str">
        <f>+IF(FEBRERO!S166=0,"",FEBRERO!S166)</f>
        <v>2020202-9</v>
      </c>
      <c r="T166" s="251" t="str">
        <f>+IF(FEBRERO!T166=0,"",FEBRERO!T166)</f>
        <v>Arrendamientos</v>
      </c>
      <c r="U166" s="31">
        <f>+ENERO!U166</f>
        <v>5493510</v>
      </c>
      <c r="V166" s="17">
        <f>FEBRERO!V166+MARZO!AL166</f>
        <v>0</v>
      </c>
      <c r="W166" s="17">
        <f>FEBRERO!W166+MARZO!AM166</f>
        <v>0</v>
      </c>
      <c r="X166" s="20">
        <f t="shared" si="144"/>
        <v>5493510</v>
      </c>
      <c r="Y166" s="21">
        <f>FEBRERO!AA166</f>
        <v>1320000</v>
      </c>
      <c r="Z166" s="457">
        <v>400000</v>
      </c>
      <c r="AA166" s="18">
        <f t="shared" si="145"/>
        <v>1720000</v>
      </c>
      <c r="AB166" s="21">
        <f>FEBRERO!AD166</f>
        <v>1320000</v>
      </c>
      <c r="AC166" s="457">
        <v>400000</v>
      </c>
      <c r="AD166" s="18">
        <f t="shared" si="146"/>
        <v>1720000</v>
      </c>
      <c r="AE166" s="21">
        <f>FEBRERO!AG166</f>
        <v>0</v>
      </c>
      <c r="AF166" s="457">
        <v>0</v>
      </c>
      <c r="AG166" s="18">
        <f t="shared" si="147"/>
        <v>0</v>
      </c>
      <c r="AH166" s="21">
        <f t="shared" si="148"/>
        <v>3773510</v>
      </c>
      <c r="AI166" s="17">
        <f t="shared" si="149"/>
        <v>3773510</v>
      </c>
      <c r="AJ166" s="18">
        <f t="shared" si="150"/>
        <v>5493510</v>
      </c>
      <c r="AK166" s="10"/>
      <c r="AL166" s="455">
        <v>0</v>
      </c>
      <c r="AM166" s="458">
        <v>0</v>
      </c>
      <c r="AN166" s="10"/>
    </row>
    <row r="167" spans="1:40" s="467" customFormat="1" x14ac:dyDescent="0.2">
      <c r="A167" s="623"/>
      <c r="N167" s="10"/>
      <c r="P167" s="10"/>
      <c r="Q167" s="10"/>
      <c r="R167" s="10"/>
      <c r="S167" s="156" t="str">
        <f>+IF(FEBRERO!S167=0,"",FEBRERO!S167)</f>
        <v>2020202-10</v>
      </c>
      <c r="T167" s="251" t="str">
        <f>+IF(FEBRERO!T167=0,"",FEBRERO!T167)</f>
        <v>Servicios Públicos</v>
      </c>
      <c r="U167" s="31">
        <f>+ENERO!U167</f>
        <v>0</v>
      </c>
      <c r="V167" s="17">
        <f>FEBRERO!V167+MARZO!AL167</f>
        <v>0</v>
      </c>
      <c r="W167" s="17">
        <f>FEBRERO!W167+MARZO!AM167</f>
        <v>0</v>
      </c>
      <c r="X167" s="20">
        <f>SUM(U167:W167)</f>
        <v>0</v>
      </c>
      <c r="Y167" s="21">
        <f>FEBRERO!AA167</f>
        <v>0</v>
      </c>
      <c r="Z167" s="457">
        <v>0</v>
      </c>
      <c r="AA167" s="18">
        <f t="shared" si="145"/>
        <v>0</v>
      </c>
      <c r="AB167" s="21">
        <f>FEBRERO!AD167</f>
        <v>0</v>
      </c>
      <c r="AC167" s="457">
        <v>0</v>
      </c>
      <c r="AD167" s="18">
        <f>SUM(AB167:AC167)</f>
        <v>0</v>
      </c>
      <c r="AE167" s="21">
        <f>FEBRERO!AG167</f>
        <v>0</v>
      </c>
      <c r="AF167" s="457">
        <v>0</v>
      </c>
      <c r="AG167" s="18">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+IF(FEBRERO!S168=0,"",FEBRERO!S168)</f>
        <v>2020299</v>
      </c>
      <c r="T168" s="238" t="str">
        <f>+IF(FEBRERO!T168=0,"",FEBRERO!T168)</f>
        <v>Vigencias Anteriores</v>
      </c>
      <c r="U168" s="31">
        <f>+ENERO!U168</f>
        <v>12730159</v>
      </c>
      <c r="V168" s="17">
        <f>FEBRERO!V168+MARZO!AL168</f>
        <v>-2041325</v>
      </c>
      <c r="W168" s="17">
        <f>FEBRERO!W168+MARZO!AM168</f>
        <v>0</v>
      </c>
      <c r="X168" s="20">
        <f t="shared" si="144"/>
        <v>10688834</v>
      </c>
      <c r="Y168" s="21">
        <f>FEBRERO!AA168</f>
        <v>10688834</v>
      </c>
      <c r="Z168" s="457">
        <v>0</v>
      </c>
      <c r="AA168" s="18">
        <f t="shared" si="145"/>
        <v>10688834</v>
      </c>
      <c r="AB168" s="21">
        <f>FEBRERO!AD168</f>
        <v>10688834</v>
      </c>
      <c r="AC168" s="457">
        <v>0</v>
      </c>
      <c r="AD168" s="18">
        <f t="shared" si="146"/>
        <v>10688834</v>
      </c>
      <c r="AE168" s="21">
        <f>FEBRERO!AG168</f>
        <v>7015874</v>
      </c>
      <c r="AF168" s="457">
        <v>0</v>
      </c>
      <c r="AG168" s="18">
        <f t="shared" si="147"/>
        <v>7015874</v>
      </c>
      <c r="AH168" s="21">
        <f t="shared" si="148"/>
        <v>0</v>
      </c>
      <c r="AI168" s="17">
        <f t="shared" si="149"/>
        <v>0</v>
      </c>
      <c r="AJ168" s="18">
        <f t="shared" si="150"/>
        <v>3672960</v>
      </c>
      <c r="AK168" s="10"/>
      <c r="AL168" s="455">
        <v>0</v>
      </c>
      <c r="AM168" s="458">
        <v>0</v>
      </c>
      <c r="AN168" s="10"/>
    </row>
    <row r="169" spans="1:40" s="467" customFormat="1" ht="15.75" x14ac:dyDescent="0.2">
      <c r="A169" s="623"/>
      <c r="N169" s="10"/>
      <c r="P169" s="10"/>
      <c r="Q169" s="10"/>
      <c r="R169" s="10"/>
      <c r="S169" s="448" t="str">
        <f>+IF(FEBRERO!S169=0,"",FEBRERO!S169)</f>
        <v/>
      </c>
      <c r="T169" s="649" t="str">
        <f>+IF(FEBRERO!T169=0,"",FEBRERO!T169)</f>
        <v/>
      </c>
      <c r="U169" s="450"/>
      <c r="V169" s="193"/>
      <c r="W169" s="193"/>
      <c r="X169" s="193"/>
      <c r="Y169" s="450"/>
      <c r="Z169" s="193"/>
      <c r="AA169" s="207"/>
      <c r="AB169" s="450"/>
      <c r="AC169" s="193"/>
      <c r="AD169" s="207"/>
      <c r="AE169" s="450"/>
      <c r="AF169" s="193">
        <v>0</v>
      </c>
      <c r="AG169" s="207"/>
      <c r="AH169" s="450"/>
      <c r="AI169" s="193"/>
      <c r="AJ169" s="207"/>
      <c r="AK169" s="10"/>
      <c r="AL169" s="213"/>
      <c r="AM169" s="214"/>
      <c r="AN169" s="10"/>
    </row>
    <row r="170" spans="1:40" s="467" customFormat="1" ht="15.75" x14ac:dyDescent="0.2">
      <c r="A170" s="623"/>
      <c r="N170" s="10"/>
      <c r="P170" s="10"/>
      <c r="Q170" s="10"/>
      <c r="R170" s="10"/>
      <c r="S170" s="469">
        <f>+IF(FEBRERO!S170=0,"",FEBRERO!S170)</f>
        <v>3000000</v>
      </c>
      <c r="T170" s="680" t="str">
        <f>+IF(FEBRERO!T170=0,"",FEBRERO!T170)</f>
        <v>TRANSFERENCIAS CORRIENTES</v>
      </c>
      <c r="U170" s="464">
        <f t="shared" ref="U170:AJ170" si="151">U172+U176+U185</f>
        <v>217489235</v>
      </c>
      <c r="V170" s="590">
        <f t="shared" si="151"/>
        <v>-12907692</v>
      </c>
      <c r="W170" s="590">
        <f t="shared" si="151"/>
        <v>0</v>
      </c>
      <c r="X170" s="591">
        <f t="shared" si="151"/>
        <v>204581543</v>
      </c>
      <c r="Y170" s="464">
        <f t="shared" si="151"/>
        <v>27131011</v>
      </c>
      <c r="Z170" s="590">
        <f t="shared" si="151"/>
        <v>10135870</v>
      </c>
      <c r="AA170" s="465">
        <f t="shared" si="151"/>
        <v>37266881</v>
      </c>
      <c r="AB170" s="464">
        <f t="shared" si="151"/>
        <v>27131011</v>
      </c>
      <c r="AC170" s="590">
        <f t="shared" si="151"/>
        <v>10135870</v>
      </c>
      <c r="AD170" s="465">
        <f t="shared" si="151"/>
        <v>37266881</v>
      </c>
      <c r="AE170" s="464">
        <f t="shared" si="151"/>
        <v>23107324</v>
      </c>
      <c r="AF170" s="590">
        <f t="shared" si="151"/>
        <v>8833096</v>
      </c>
      <c r="AG170" s="465">
        <f t="shared" si="151"/>
        <v>31940420</v>
      </c>
      <c r="AH170" s="464">
        <f t="shared" si="151"/>
        <v>167314662</v>
      </c>
      <c r="AI170" s="590">
        <f t="shared" si="151"/>
        <v>167314662</v>
      </c>
      <c r="AJ170" s="465">
        <f t="shared" si="151"/>
        <v>172641123</v>
      </c>
      <c r="AK170" s="10"/>
      <c r="AL170" s="151">
        <f>AL172+AL176+AL185</f>
        <v>0</v>
      </c>
      <c r="AM170" s="153">
        <f>AM172+AM176+AM185</f>
        <v>0</v>
      </c>
      <c r="AN170" s="10"/>
    </row>
    <row r="171" spans="1:40" s="467" customFormat="1" ht="15.75" x14ac:dyDescent="0.2">
      <c r="A171" s="623"/>
      <c r="N171" s="10"/>
      <c r="P171" s="10"/>
      <c r="Q171" s="10"/>
      <c r="R171" s="10"/>
      <c r="S171" s="448" t="str">
        <f>+IF(FEBRERO!S171=0,"",FEBRERO!S171)</f>
        <v/>
      </c>
      <c r="T171" s="649" t="str">
        <f>+IF(FEBRERO!T171=0,"",FEBRERO!T171)</f>
        <v/>
      </c>
      <c r="U171" s="450"/>
      <c r="V171" s="193"/>
      <c r="W171" s="193"/>
      <c r="X171" s="193"/>
      <c r="Y171" s="450"/>
      <c r="Z171" s="193"/>
      <c r="AA171" s="207"/>
      <c r="AB171" s="450"/>
      <c r="AC171" s="193"/>
      <c r="AD171" s="207"/>
      <c r="AE171" s="450"/>
      <c r="AF171" s="193"/>
      <c r="AG171" s="207"/>
      <c r="AH171" s="450"/>
      <c r="AI171" s="193"/>
      <c r="AJ171" s="207"/>
      <c r="AK171" s="10"/>
      <c r="AL171" s="213"/>
      <c r="AM171" s="214"/>
      <c r="AN171" s="10"/>
    </row>
    <row r="172" spans="1:40" s="467" customFormat="1" ht="15" x14ac:dyDescent="0.2">
      <c r="A172" s="623"/>
      <c r="N172" s="10"/>
      <c r="P172" s="10"/>
      <c r="Q172" s="10"/>
      <c r="R172" s="10"/>
      <c r="S172" s="34">
        <f>+IF(FEBRERO!S172=0,"",FEBRERO!S172)</f>
        <v>3100000</v>
      </c>
      <c r="T172" s="237" t="str">
        <f>+IF(FEBRERO!T172=0,"",FEBRERO!T172)</f>
        <v>Transferencias al Sector Público</v>
      </c>
      <c r="U172" s="151">
        <f t="shared" ref="U172:AJ172" si="152">SUM(U173:U174)</f>
        <v>2689964</v>
      </c>
      <c r="V172" s="144">
        <f t="shared" si="152"/>
        <v>746499</v>
      </c>
      <c r="W172" s="144">
        <f t="shared" si="152"/>
        <v>0</v>
      </c>
      <c r="X172" s="152">
        <f t="shared" si="152"/>
        <v>3436463</v>
      </c>
      <c r="Y172" s="151">
        <f t="shared" si="152"/>
        <v>746499</v>
      </c>
      <c r="Z172" s="144">
        <f t="shared" si="152"/>
        <v>0</v>
      </c>
      <c r="AA172" s="153">
        <f t="shared" si="152"/>
        <v>746499</v>
      </c>
      <c r="AB172" s="151">
        <f t="shared" si="152"/>
        <v>746499</v>
      </c>
      <c r="AC172" s="144">
        <f t="shared" si="152"/>
        <v>0</v>
      </c>
      <c r="AD172" s="153">
        <f t="shared" si="152"/>
        <v>746499</v>
      </c>
      <c r="AE172" s="151">
        <f t="shared" si="152"/>
        <v>0</v>
      </c>
      <c r="AF172" s="144">
        <f t="shared" si="152"/>
        <v>746499</v>
      </c>
      <c r="AG172" s="153">
        <f t="shared" si="152"/>
        <v>746499</v>
      </c>
      <c r="AH172" s="151">
        <f t="shared" si="152"/>
        <v>2689964</v>
      </c>
      <c r="AI172" s="144">
        <f t="shared" si="152"/>
        <v>2689964</v>
      </c>
      <c r="AJ172" s="153">
        <f t="shared" si="152"/>
        <v>2689964</v>
      </c>
      <c r="AK172" s="10"/>
      <c r="AL172" s="151">
        <f>SUM(AL173:AL174)</f>
        <v>0</v>
      </c>
      <c r="AM172" s="153">
        <f>SUM(AM173:AM174)</f>
        <v>0</v>
      </c>
      <c r="AN172" s="10"/>
    </row>
    <row r="173" spans="1:40" s="467" customFormat="1" x14ac:dyDescent="0.2">
      <c r="A173" s="623"/>
      <c r="N173" s="10"/>
      <c r="P173" s="10"/>
      <c r="Q173" s="10"/>
      <c r="R173" s="10"/>
      <c r="S173" s="155">
        <f>+IF(FEBRERO!S173=0,"",FEBRERO!S173)</f>
        <v>3100003</v>
      </c>
      <c r="T173" s="238" t="str">
        <f>+IF(FEBRERO!T173=0,"",FEBRERO!T173)</f>
        <v>Entidades Públicas (Contraloria, Supersalud,…)</v>
      </c>
      <c r="U173" s="31">
        <f>+ENERO!U173</f>
        <v>2689964</v>
      </c>
      <c r="V173" s="17">
        <f>FEBRERO!V173+MARZO!AL173</f>
        <v>0</v>
      </c>
      <c r="W173" s="17">
        <f>FEBRERO!W173+MARZO!AM173</f>
        <v>0</v>
      </c>
      <c r="X173" s="20">
        <f>SUM(U173:W173)</f>
        <v>2689964</v>
      </c>
      <c r="Y173" s="21">
        <f>FEBRERO!AA173</f>
        <v>0</v>
      </c>
      <c r="Z173" s="457">
        <v>0</v>
      </c>
      <c r="AA173" s="18">
        <f>SUM(Y173:Z173)</f>
        <v>0</v>
      </c>
      <c r="AB173" s="21">
        <f>FEBRERO!AD173</f>
        <v>0</v>
      </c>
      <c r="AC173" s="457">
        <v>0</v>
      </c>
      <c r="AD173" s="18">
        <f>SUM(AB173:AC173)</f>
        <v>0</v>
      </c>
      <c r="AE173" s="21">
        <f>FEBRERO!AG173</f>
        <v>0</v>
      </c>
      <c r="AF173" s="457">
        <v>0</v>
      </c>
      <c r="AG173" s="18">
        <f>SUM(AE173:AF173)</f>
        <v>0</v>
      </c>
      <c r="AH173" s="21">
        <f>X173-AA173</f>
        <v>2689964</v>
      </c>
      <c r="AI173" s="17">
        <f>X173-AD173</f>
        <v>2689964</v>
      </c>
      <c r="AJ173" s="18">
        <f>X173-AG173</f>
        <v>2689964</v>
      </c>
      <c r="AK173" s="10"/>
      <c r="AL173" s="455">
        <v>0</v>
      </c>
      <c r="AM173" s="458">
        <v>0</v>
      </c>
      <c r="AN173" s="10"/>
    </row>
    <row r="174" spans="1:40" s="467" customFormat="1" x14ac:dyDescent="0.2">
      <c r="A174" s="623"/>
      <c r="N174" s="10"/>
      <c r="P174" s="10"/>
      <c r="Q174" s="10"/>
      <c r="R174" s="10"/>
      <c r="S174" s="155">
        <f>+IF(FEBRERO!S174=0,"",FEBRERO!S174)</f>
        <v>3199999</v>
      </c>
      <c r="T174" s="238" t="str">
        <f>+IF(FEBRERO!T174=0,"",FEBRERO!T174)</f>
        <v>Vigencias Anteriores</v>
      </c>
      <c r="U174" s="31">
        <f>+ENERO!U174</f>
        <v>0</v>
      </c>
      <c r="V174" s="17">
        <f>FEBRERO!V174+MARZO!AL174</f>
        <v>746499</v>
      </c>
      <c r="W174" s="17">
        <f>FEBRERO!W174+MARZO!AM174</f>
        <v>0</v>
      </c>
      <c r="X174" s="20">
        <f>SUM(U174:W174)</f>
        <v>746499</v>
      </c>
      <c r="Y174" s="21">
        <f>FEBRERO!AA174</f>
        <v>746499</v>
      </c>
      <c r="Z174" s="457">
        <v>0</v>
      </c>
      <c r="AA174" s="18">
        <f>SUM(Y174:Z174)</f>
        <v>746499</v>
      </c>
      <c r="AB174" s="21">
        <f>FEBRERO!AD174</f>
        <v>746499</v>
      </c>
      <c r="AC174" s="457">
        <v>0</v>
      </c>
      <c r="AD174" s="18">
        <f>SUM(AB174:AC174)</f>
        <v>746499</v>
      </c>
      <c r="AE174" s="21">
        <f>FEBRERO!AG174</f>
        <v>0</v>
      </c>
      <c r="AF174" s="457">
        <v>746499</v>
      </c>
      <c r="AG174" s="18">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+IF(FEBRERO!S175=0,"",FEBRERO!S175)</f>
        <v/>
      </c>
      <c r="T175" s="649" t="str">
        <f>+IF(FEBRERO!T175=0,"",FEBRERO!T175)</f>
        <v/>
      </c>
      <c r="U175" s="450"/>
      <c r="V175" s="193"/>
      <c r="W175" s="193"/>
      <c r="X175" s="193"/>
      <c r="Y175" s="450"/>
      <c r="Z175" s="193"/>
      <c r="AA175" s="207"/>
      <c r="AB175" s="450"/>
      <c r="AC175" s="193"/>
      <c r="AD175" s="207"/>
      <c r="AE175" s="450"/>
      <c r="AF175" s="193"/>
      <c r="AG175" s="207"/>
      <c r="AH175" s="450"/>
      <c r="AI175" s="193"/>
      <c r="AJ175" s="207"/>
      <c r="AK175" s="12"/>
      <c r="AL175" s="213"/>
      <c r="AM175" s="214"/>
      <c r="AN175" s="10"/>
    </row>
    <row r="176" spans="1:40" s="467" customFormat="1" ht="15" x14ac:dyDescent="0.2">
      <c r="A176" s="623"/>
      <c r="N176" s="10"/>
      <c r="P176" s="10"/>
      <c r="Q176" s="10"/>
      <c r="R176" s="10"/>
      <c r="S176" s="34">
        <f>+IF(FEBRERO!S176=0,"",FEBRERO!S176)</f>
        <v>320000</v>
      </c>
      <c r="T176" s="237" t="str">
        <f>+IF(FEBRERO!T176=0,"",FEBRERO!T176)</f>
        <v>Transf. Previsión y Seguridad Social</v>
      </c>
      <c r="U176" s="151">
        <f t="shared" ref="U176:AJ176" si="153">SUM(U177:U183)</f>
        <v>213299271</v>
      </c>
      <c r="V176" s="144">
        <f t="shared" si="153"/>
        <v>-14130741</v>
      </c>
      <c r="W176" s="144">
        <f t="shared" si="153"/>
        <v>0</v>
      </c>
      <c r="X176" s="152">
        <f t="shared" si="153"/>
        <v>199168530</v>
      </c>
      <c r="Y176" s="151">
        <f t="shared" si="153"/>
        <v>25907962</v>
      </c>
      <c r="Z176" s="144">
        <f t="shared" si="153"/>
        <v>10135870</v>
      </c>
      <c r="AA176" s="153">
        <f t="shared" si="153"/>
        <v>36043832</v>
      </c>
      <c r="AB176" s="151">
        <f t="shared" si="153"/>
        <v>25907962</v>
      </c>
      <c r="AC176" s="144">
        <f t="shared" si="153"/>
        <v>10135870</v>
      </c>
      <c r="AD176" s="153">
        <f t="shared" si="153"/>
        <v>36043832</v>
      </c>
      <c r="AE176" s="151">
        <f t="shared" si="153"/>
        <v>23107324</v>
      </c>
      <c r="AF176" s="144">
        <f t="shared" si="153"/>
        <v>7610047</v>
      </c>
      <c r="AG176" s="153">
        <f t="shared" si="153"/>
        <v>30717371</v>
      </c>
      <c r="AH176" s="151">
        <f t="shared" si="153"/>
        <v>163124698</v>
      </c>
      <c r="AI176" s="144">
        <f t="shared" si="153"/>
        <v>163124698</v>
      </c>
      <c r="AJ176" s="153">
        <f t="shared" si="153"/>
        <v>168451159</v>
      </c>
      <c r="AK176" s="10"/>
      <c r="AL176" s="151">
        <f>SUM(AL177:AL183)</f>
        <v>0</v>
      </c>
      <c r="AM176" s="153">
        <f>SUM(AM177:AM183)</f>
        <v>0</v>
      </c>
      <c r="AN176" s="10"/>
    </row>
    <row r="177" spans="1:40" s="467" customFormat="1" x14ac:dyDescent="0.2">
      <c r="A177" s="623"/>
      <c r="N177" s="10"/>
      <c r="P177" s="10"/>
      <c r="Q177" s="10"/>
      <c r="R177" s="10"/>
      <c r="S177" s="155">
        <f>+IF(FEBRERO!S177=0,"",FEBRERO!S177)</f>
        <v>3200100</v>
      </c>
      <c r="T177" s="238" t="str">
        <f>+IF(FEBRERO!T177=0,"",FEBRERO!T177)</f>
        <v>Pensiones y Jubilaciones (Pago Directo)</v>
      </c>
      <c r="U177" s="31">
        <f>+ENERO!U177</f>
        <v>104106866</v>
      </c>
      <c r="V177" s="17">
        <f>FEBRERO!V177+MARZO!AL177</f>
        <v>0</v>
      </c>
      <c r="W177" s="17">
        <f>FEBRERO!W177+MARZO!AM177</f>
        <v>0</v>
      </c>
      <c r="X177" s="20">
        <f t="shared" ref="X177:X183" si="154">SUM(U177:W177)</f>
        <v>104106866</v>
      </c>
      <c r="Y177" s="21">
        <f>FEBRERO!AA177</f>
        <v>14844422</v>
      </c>
      <c r="Z177" s="457">
        <v>7094205</v>
      </c>
      <c r="AA177" s="18">
        <f t="shared" ref="AA177:AA183" si="155">SUM(Y177:Z177)</f>
        <v>21938627</v>
      </c>
      <c r="AB177" s="21">
        <f>FEBRERO!AD177</f>
        <v>14844422</v>
      </c>
      <c r="AC177" s="457">
        <v>7094205</v>
      </c>
      <c r="AD177" s="18">
        <f t="shared" ref="AD177:AD183" si="156">SUM(AB177:AC177)</f>
        <v>21938627</v>
      </c>
      <c r="AE177" s="21">
        <f>FEBRERO!AG177</f>
        <v>13742330</v>
      </c>
      <c r="AF177" s="457">
        <v>7333977</v>
      </c>
      <c r="AG177" s="18">
        <f t="shared" ref="AG177:AG183" si="157">SUM(AE177:AF177)</f>
        <v>21076307</v>
      </c>
      <c r="AH177" s="21">
        <f t="shared" ref="AH177:AH183" si="158">X177-AA177</f>
        <v>82168239</v>
      </c>
      <c r="AI177" s="17">
        <f t="shared" ref="AI177:AI183" si="159">X177-AD177</f>
        <v>82168239</v>
      </c>
      <c r="AJ177" s="18">
        <f t="shared" ref="AJ177:AJ183" si="160">X177-AG177</f>
        <v>83030559</v>
      </c>
      <c r="AK177" s="10"/>
      <c r="AL177" s="455">
        <v>0</v>
      </c>
      <c r="AM177" s="458">
        <v>0</v>
      </c>
      <c r="AN177" s="10"/>
    </row>
    <row r="178" spans="1:40" s="467" customFormat="1" x14ac:dyDescent="0.2">
      <c r="A178" s="623"/>
      <c r="N178" s="10"/>
      <c r="P178" s="10"/>
      <c r="Q178" s="10"/>
      <c r="R178" s="10"/>
      <c r="S178" s="155">
        <f>+IF(FEBRERO!S178=0,"",FEBRERO!S178)</f>
        <v>3200200</v>
      </c>
      <c r="T178" s="238" t="str">
        <f>+IF(FEBRERO!T178=0,"",FEBRERO!T178)</f>
        <v>Cesantías Pago Directo (Pago Directo)</v>
      </c>
      <c r="U178" s="31">
        <f>+ENERO!U178</f>
        <v>22532311</v>
      </c>
      <c r="V178" s="17">
        <f>FEBRERO!V178+MARZO!AL178</f>
        <v>0</v>
      </c>
      <c r="W178" s="17">
        <f>FEBRERO!W178+MARZO!AM178</f>
        <v>0</v>
      </c>
      <c r="X178" s="20">
        <f t="shared" si="154"/>
        <v>22532311</v>
      </c>
      <c r="Y178" s="21">
        <f>FEBRERO!AA178</f>
        <v>5000000</v>
      </c>
      <c r="Z178" s="457">
        <v>0</v>
      </c>
      <c r="AA178" s="18">
        <f t="shared" si="155"/>
        <v>5000000</v>
      </c>
      <c r="AB178" s="21">
        <f>FEBRERO!AD178</f>
        <v>5000000</v>
      </c>
      <c r="AC178" s="457">
        <v>0</v>
      </c>
      <c r="AD178" s="18">
        <f t="shared" si="156"/>
        <v>5000000</v>
      </c>
      <c r="AE178" s="21">
        <f>FEBRERO!AG178</f>
        <v>5000000</v>
      </c>
      <c r="AF178" s="457">
        <v>0</v>
      </c>
      <c r="AG178" s="18">
        <f t="shared" si="157"/>
        <v>5000000</v>
      </c>
      <c r="AH178" s="21">
        <f t="shared" si="158"/>
        <v>17532311</v>
      </c>
      <c r="AI178" s="17">
        <f t="shared" si="159"/>
        <v>17532311</v>
      </c>
      <c r="AJ178" s="18">
        <f t="shared" si="160"/>
        <v>17532311</v>
      </c>
      <c r="AK178" s="10"/>
      <c r="AL178" s="455">
        <v>0</v>
      </c>
      <c r="AM178" s="458">
        <v>0</v>
      </c>
      <c r="AN178" s="10"/>
    </row>
    <row r="179" spans="1:40" s="467" customFormat="1" x14ac:dyDescent="0.2">
      <c r="A179" s="623"/>
      <c r="N179" s="10"/>
      <c r="P179" s="10"/>
      <c r="Q179" s="10"/>
      <c r="R179" s="10"/>
      <c r="S179" s="155">
        <f>+IF(FEBRERO!S179=0,"",FEBRERO!S179)</f>
        <v>3200300</v>
      </c>
      <c r="T179" s="238" t="str">
        <f>+IF(FEBRERO!T179=0,"",FEBRERO!T179)</f>
        <v>Bonos, Cuotas de Bonos y cuotas partes jubilatorias</v>
      </c>
      <c r="U179" s="31">
        <f>+ENERO!U179</f>
        <v>70000000</v>
      </c>
      <c r="V179" s="17">
        <f>FEBRERO!V179+MARZO!AL179</f>
        <v>-17721746</v>
      </c>
      <c r="W179" s="17">
        <f>FEBRERO!W179+MARZO!AM179</f>
        <v>0</v>
      </c>
      <c r="X179" s="20">
        <f t="shared" si="154"/>
        <v>52278254</v>
      </c>
      <c r="Y179" s="21">
        <f>FEBRERO!AA179</f>
        <v>472535</v>
      </c>
      <c r="Z179" s="457">
        <v>2462722</v>
      </c>
      <c r="AA179" s="18">
        <f t="shared" si="155"/>
        <v>2935257</v>
      </c>
      <c r="AB179" s="21">
        <f>FEBRERO!AD179</f>
        <v>472535</v>
      </c>
      <c r="AC179" s="457">
        <v>2462722</v>
      </c>
      <c r="AD179" s="18">
        <f t="shared" si="156"/>
        <v>2935257</v>
      </c>
      <c r="AE179" s="21">
        <f>FEBRERO!AG179</f>
        <v>0</v>
      </c>
      <c r="AF179" s="457">
        <v>0</v>
      </c>
      <c r="AG179" s="18">
        <f t="shared" si="157"/>
        <v>0</v>
      </c>
      <c r="AH179" s="21">
        <f t="shared" si="158"/>
        <v>49342997</v>
      </c>
      <c r="AI179" s="17">
        <f t="shared" si="159"/>
        <v>49342997</v>
      </c>
      <c r="AJ179" s="18">
        <f t="shared" si="160"/>
        <v>52278254</v>
      </c>
      <c r="AK179" s="10"/>
      <c r="AL179" s="455">
        <v>0</v>
      </c>
      <c r="AM179" s="458">
        <v>0</v>
      </c>
      <c r="AN179" s="10"/>
    </row>
    <row r="180" spans="1:40" s="467" customFormat="1" x14ac:dyDescent="0.2">
      <c r="A180" s="623"/>
      <c r="N180" s="10"/>
      <c r="P180" s="10"/>
      <c r="Q180" s="10"/>
      <c r="R180" s="10"/>
      <c r="S180" s="155">
        <f>+IF(FEBRERO!S180=0,"",FEBRERO!S180)</f>
        <v>3200400</v>
      </c>
      <c r="T180" s="238" t="str">
        <f>+IF(FEBRERO!T180=0,"",FEBRERO!T180)</f>
        <v>Intereses a las cesantias</v>
      </c>
      <c r="U180" s="31">
        <f>+ENERO!U180</f>
        <v>14660094</v>
      </c>
      <c r="V180" s="17">
        <f>FEBRERO!V180+MARZO!AL180</f>
        <v>0</v>
      </c>
      <c r="W180" s="17">
        <f>FEBRERO!W180+MARZO!AM180</f>
        <v>0</v>
      </c>
      <c r="X180" s="20">
        <f t="shared" si="154"/>
        <v>14660094</v>
      </c>
      <c r="Y180" s="21">
        <f>FEBRERO!AA180</f>
        <v>0</v>
      </c>
      <c r="Z180" s="457">
        <v>578943</v>
      </c>
      <c r="AA180" s="18">
        <f t="shared" si="155"/>
        <v>578943</v>
      </c>
      <c r="AB180" s="21">
        <f>FEBRERO!AD180</f>
        <v>0</v>
      </c>
      <c r="AC180" s="457">
        <v>578943</v>
      </c>
      <c r="AD180" s="18">
        <f t="shared" si="156"/>
        <v>578943</v>
      </c>
      <c r="AE180" s="21">
        <f>FEBRERO!AG180</f>
        <v>0</v>
      </c>
      <c r="AF180" s="457">
        <v>0</v>
      </c>
      <c r="AG180" s="18">
        <f t="shared" si="157"/>
        <v>0</v>
      </c>
      <c r="AH180" s="21">
        <f t="shared" si="158"/>
        <v>14081151</v>
      </c>
      <c r="AI180" s="17">
        <f t="shared" si="159"/>
        <v>14081151</v>
      </c>
      <c r="AJ180" s="18">
        <f t="shared" si="160"/>
        <v>14660094</v>
      </c>
      <c r="AK180" s="10"/>
      <c r="AL180" s="455">
        <v>0</v>
      </c>
      <c r="AM180" s="458">
        <v>0</v>
      </c>
      <c r="AN180" s="10"/>
    </row>
    <row r="181" spans="1:40" s="467" customFormat="1" x14ac:dyDescent="0.2">
      <c r="A181" s="623"/>
      <c r="N181" s="10"/>
      <c r="P181" s="10"/>
      <c r="Q181" s="10"/>
      <c r="R181" s="10"/>
      <c r="S181" s="155" t="str">
        <f>+IF(FEBRERO!S181=0,"",FEBRERO!S181)</f>
        <v/>
      </c>
      <c r="T181" s="238" t="str">
        <f>+IF(FEBRERO!T181=0,"",FEBRERO!T181)</f>
        <v/>
      </c>
      <c r="U181" s="31">
        <f>+ENERO!U181</f>
        <v>0</v>
      </c>
      <c r="V181" s="17">
        <f>FEBRERO!V181+MARZO!AL181</f>
        <v>0</v>
      </c>
      <c r="W181" s="17">
        <f>FEBRERO!W181+MARZO!AM181</f>
        <v>0</v>
      </c>
      <c r="X181" s="20">
        <f t="shared" si="154"/>
        <v>0</v>
      </c>
      <c r="Y181" s="21">
        <f>FEBRERO!AA181</f>
        <v>0</v>
      </c>
      <c r="Z181" s="457">
        <v>0</v>
      </c>
      <c r="AA181" s="18">
        <f t="shared" si="155"/>
        <v>0</v>
      </c>
      <c r="AB181" s="21">
        <f>FEBRERO!AD181</f>
        <v>0</v>
      </c>
      <c r="AC181" s="457">
        <v>0</v>
      </c>
      <c r="AD181" s="18">
        <f t="shared" si="156"/>
        <v>0</v>
      </c>
      <c r="AE181" s="21">
        <f>FEBRERO!AG181</f>
        <v>0</v>
      </c>
      <c r="AF181" s="457">
        <v>0</v>
      </c>
      <c r="AG181" s="18">
        <f t="shared" si="157"/>
        <v>0</v>
      </c>
      <c r="AH181" s="21">
        <f t="shared" si="158"/>
        <v>0</v>
      </c>
      <c r="AI181" s="17">
        <f t="shared" si="159"/>
        <v>0</v>
      </c>
      <c r="AJ181" s="18">
        <f t="shared" si="160"/>
        <v>0</v>
      </c>
      <c r="AK181" s="10"/>
      <c r="AL181" s="455">
        <v>0</v>
      </c>
      <c r="AM181" s="458">
        <v>0</v>
      </c>
      <c r="AN181" s="10"/>
    </row>
    <row r="182" spans="1:40" s="467" customFormat="1" x14ac:dyDescent="0.2">
      <c r="A182" s="623"/>
      <c r="N182" s="10"/>
      <c r="P182" s="10"/>
      <c r="Q182" s="10"/>
      <c r="R182" s="10"/>
      <c r="S182" s="155" t="str">
        <f>+IF(FEBRERO!S182=0,"",FEBRERO!S182)</f>
        <v/>
      </c>
      <c r="T182" s="238" t="str">
        <f>+IF(FEBRERO!T182=0,"",FEBRERO!T182)</f>
        <v/>
      </c>
      <c r="U182" s="31">
        <f>+ENERO!U182</f>
        <v>0</v>
      </c>
      <c r="V182" s="17">
        <f>FEBRERO!V182+MARZO!AL182</f>
        <v>0</v>
      </c>
      <c r="W182" s="17">
        <f>FEBRERO!W182+MARZO!AM182</f>
        <v>0</v>
      </c>
      <c r="X182" s="20">
        <f t="shared" si="154"/>
        <v>0</v>
      </c>
      <c r="Y182" s="21">
        <f>FEBRERO!AA182</f>
        <v>0</v>
      </c>
      <c r="Z182" s="457">
        <v>0</v>
      </c>
      <c r="AA182" s="18">
        <f t="shared" si="155"/>
        <v>0</v>
      </c>
      <c r="AB182" s="21">
        <f>FEBRERO!AD182</f>
        <v>0</v>
      </c>
      <c r="AC182" s="457">
        <v>0</v>
      </c>
      <c r="AD182" s="18">
        <f t="shared" si="156"/>
        <v>0</v>
      </c>
      <c r="AE182" s="21">
        <f>FEBRERO!AG182</f>
        <v>0</v>
      </c>
      <c r="AF182" s="457">
        <v>0</v>
      </c>
      <c r="AG182" s="18">
        <f t="shared" si="157"/>
        <v>0</v>
      </c>
      <c r="AH182" s="21">
        <f t="shared" si="158"/>
        <v>0</v>
      </c>
      <c r="AI182" s="17">
        <f t="shared" si="159"/>
        <v>0</v>
      </c>
      <c r="AJ182" s="18">
        <f t="shared" si="160"/>
        <v>0</v>
      </c>
      <c r="AK182" s="10"/>
      <c r="AL182" s="455">
        <v>0</v>
      </c>
      <c r="AM182" s="458">
        <v>0</v>
      </c>
      <c r="AN182" s="10"/>
    </row>
    <row r="183" spans="1:40" s="467" customFormat="1" x14ac:dyDescent="0.2">
      <c r="A183" s="623"/>
      <c r="N183" s="10"/>
      <c r="P183" s="10"/>
      <c r="Q183" s="10"/>
      <c r="R183" s="10"/>
      <c r="S183" s="155">
        <f>+IF(FEBRERO!S183=0,"",FEBRERO!S183)</f>
        <v>3299999</v>
      </c>
      <c r="T183" s="238" t="str">
        <f>+IF(FEBRERO!T183=0,"",FEBRERO!T183)</f>
        <v>Vigencias Anteriores</v>
      </c>
      <c r="U183" s="31">
        <f>+ENERO!U183</f>
        <v>2000000</v>
      </c>
      <c r="V183" s="17">
        <f>FEBRERO!V183+MARZO!AL183</f>
        <v>3591005</v>
      </c>
      <c r="W183" s="17">
        <f>FEBRERO!W183+MARZO!AM183</f>
        <v>0</v>
      </c>
      <c r="X183" s="20">
        <f t="shared" si="154"/>
        <v>5591005</v>
      </c>
      <c r="Y183" s="21">
        <f>FEBRERO!AA183</f>
        <v>5591005</v>
      </c>
      <c r="Z183" s="457">
        <v>0</v>
      </c>
      <c r="AA183" s="18">
        <f t="shared" si="155"/>
        <v>5591005</v>
      </c>
      <c r="AB183" s="21">
        <f>FEBRERO!AD183</f>
        <v>5591005</v>
      </c>
      <c r="AC183" s="457">
        <v>0</v>
      </c>
      <c r="AD183" s="18">
        <f t="shared" si="156"/>
        <v>5591005</v>
      </c>
      <c r="AE183" s="21">
        <f>FEBRERO!AG183</f>
        <v>4364994</v>
      </c>
      <c r="AF183" s="457">
        <v>276070</v>
      </c>
      <c r="AG183" s="18">
        <f t="shared" si="157"/>
        <v>4641064</v>
      </c>
      <c r="AH183" s="21">
        <f t="shared" si="158"/>
        <v>0</v>
      </c>
      <c r="AI183" s="17">
        <f t="shared" si="159"/>
        <v>0</v>
      </c>
      <c r="AJ183" s="18">
        <f t="shared" si="160"/>
        <v>949941</v>
      </c>
      <c r="AK183" s="10"/>
      <c r="AL183" s="455">
        <v>0</v>
      </c>
      <c r="AM183" s="458">
        <v>0</v>
      </c>
      <c r="AN183" s="10"/>
    </row>
    <row r="184" spans="1:40" s="467" customFormat="1" ht="15.75" x14ac:dyDescent="0.2">
      <c r="A184" s="623"/>
      <c r="N184" s="10"/>
      <c r="P184" s="10"/>
      <c r="Q184" s="10"/>
      <c r="R184" s="10"/>
      <c r="S184" s="448" t="str">
        <f>+IF(FEBRERO!S184=0,"",FEBRERO!S184)</f>
        <v/>
      </c>
      <c r="T184" s="649" t="str">
        <f>+IF(FEBRERO!T184=0,"",FEBRERO!T184)</f>
        <v/>
      </c>
      <c r="U184" s="450"/>
      <c r="V184" s="193"/>
      <c r="W184" s="193"/>
      <c r="X184" s="193"/>
      <c r="Y184" s="450"/>
      <c r="Z184" s="193"/>
      <c r="AA184" s="207"/>
      <c r="AB184" s="450"/>
      <c r="AC184" s="193"/>
      <c r="AD184" s="207"/>
      <c r="AE184" s="450"/>
      <c r="AF184" s="193"/>
      <c r="AG184" s="207"/>
      <c r="AH184" s="450"/>
      <c r="AI184" s="193"/>
      <c r="AJ184" s="207"/>
      <c r="AK184" s="10"/>
      <c r="AL184" s="213"/>
      <c r="AM184" s="214"/>
      <c r="AN184" s="10"/>
    </row>
    <row r="185" spans="1:40" s="467" customFormat="1" ht="15" x14ac:dyDescent="0.2">
      <c r="A185" s="623"/>
      <c r="N185" s="10"/>
      <c r="P185" s="10"/>
      <c r="Q185" s="10"/>
      <c r="R185" s="10"/>
      <c r="S185" s="34">
        <f>+IF(FEBRERO!S185=0,"",FEBRERO!S185)</f>
        <v>3300000</v>
      </c>
      <c r="T185" s="237" t="str">
        <f>+IF(FEBRERO!T185=0,"",FEBRERO!T185)</f>
        <v>Otras Transferencias</v>
      </c>
      <c r="U185" s="151">
        <f t="shared" ref="U185:AJ185" si="161">U186+U187+U191</f>
        <v>1500000</v>
      </c>
      <c r="V185" s="144">
        <f t="shared" si="161"/>
        <v>476550</v>
      </c>
      <c r="W185" s="144">
        <f t="shared" si="161"/>
        <v>0</v>
      </c>
      <c r="X185" s="152">
        <f t="shared" si="161"/>
        <v>1976550</v>
      </c>
      <c r="Y185" s="151">
        <f t="shared" si="161"/>
        <v>476550</v>
      </c>
      <c r="Z185" s="144">
        <f t="shared" si="161"/>
        <v>0</v>
      </c>
      <c r="AA185" s="153">
        <f t="shared" si="161"/>
        <v>476550</v>
      </c>
      <c r="AB185" s="151">
        <f t="shared" si="161"/>
        <v>476550</v>
      </c>
      <c r="AC185" s="144">
        <f t="shared" si="161"/>
        <v>0</v>
      </c>
      <c r="AD185" s="153">
        <f t="shared" si="161"/>
        <v>476550</v>
      </c>
      <c r="AE185" s="151">
        <f t="shared" si="161"/>
        <v>0</v>
      </c>
      <c r="AF185" s="144">
        <f t="shared" si="161"/>
        <v>476550</v>
      </c>
      <c r="AG185" s="153">
        <f t="shared" si="161"/>
        <v>476550</v>
      </c>
      <c r="AH185" s="151">
        <f t="shared" si="161"/>
        <v>1500000</v>
      </c>
      <c r="AI185" s="144">
        <f t="shared" si="161"/>
        <v>1500000</v>
      </c>
      <c r="AJ185" s="153">
        <f t="shared" si="161"/>
        <v>1500000</v>
      </c>
      <c r="AK185" s="10"/>
      <c r="AL185" s="151">
        <f>AL186+AL187+AL191</f>
        <v>0</v>
      </c>
      <c r="AM185" s="153">
        <f>AM186+AM187+AM191</f>
        <v>0</v>
      </c>
      <c r="AN185" s="10"/>
    </row>
    <row r="186" spans="1:40" s="467" customFormat="1" x14ac:dyDescent="0.2">
      <c r="A186" s="623"/>
      <c r="N186" s="10"/>
      <c r="P186" s="10"/>
      <c r="Q186" s="10"/>
      <c r="R186" s="10"/>
      <c r="S186" s="155">
        <f>+IF(FEBRERO!S186=0,"",FEBRERO!S186)</f>
        <v>3300100</v>
      </c>
      <c r="T186" s="238" t="str">
        <f>+IF(FEBRERO!T186=0,"",FEBRERO!T186)</f>
        <v>Sentencias y Conciliaciones</v>
      </c>
      <c r="U186" s="31">
        <f>+ENERO!U186</f>
        <v>0</v>
      </c>
      <c r="V186" s="17">
        <f>FEBRERO!V186+MARZO!AL186</f>
        <v>0</v>
      </c>
      <c r="W186" s="17">
        <f>FEBRERO!W186+MARZO!AM186</f>
        <v>0</v>
      </c>
      <c r="X186" s="20">
        <f>SUM(U186:W186)</f>
        <v>0</v>
      </c>
      <c r="Y186" s="21">
        <f>FEBRERO!AA186</f>
        <v>0</v>
      </c>
      <c r="Z186" s="457">
        <v>0</v>
      </c>
      <c r="AA186" s="18">
        <f>SUM(Y186:Z186)</f>
        <v>0</v>
      </c>
      <c r="AB186" s="21">
        <f>FEBRERO!AD186</f>
        <v>0</v>
      </c>
      <c r="AC186" s="457">
        <v>0</v>
      </c>
      <c r="AD186" s="18">
        <f>SUM(AB186:AC186)</f>
        <v>0</v>
      </c>
      <c r="AE186" s="21">
        <f>FEBRERO!AG186</f>
        <v>0</v>
      </c>
      <c r="AF186" s="457">
        <v>0</v>
      </c>
      <c r="AG186" s="18">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+IF(FEBRERO!S187=0,"",FEBRERO!S187)</f>
        <v>3300200</v>
      </c>
      <c r="T187" s="238" t="str">
        <f>+IF(FEBRERO!T187=0,"",FEBRERO!T187)</f>
        <v>Destinatarios de otras transferencias</v>
      </c>
      <c r="U187" s="31">
        <f t="shared" ref="U187:AM187" si="162">SUM(U188:U190)</f>
        <v>1500000</v>
      </c>
      <c r="V187" s="17">
        <f t="shared" si="162"/>
        <v>0</v>
      </c>
      <c r="W187" s="17">
        <f t="shared" si="162"/>
        <v>0</v>
      </c>
      <c r="X187" s="20">
        <f t="shared" si="162"/>
        <v>1500000</v>
      </c>
      <c r="Y187" s="21">
        <f t="shared" si="162"/>
        <v>0</v>
      </c>
      <c r="Z187" s="169">
        <f t="shared" si="162"/>
        <v>0</v>
      </c>
      <c r="AA187" s="18">
        <f t="shared" si="162"/>
        <v>0</v>
      </c>
      <c r="AB187" s="21">
        <f t="shared" si="162"/>
        <v>0</v>
      </c>
      <c r="AC187" s="169">
        <f t="shared" si="162"/>
        <v>0</v>
      </c>
      <c r="AD187" s="18">
        <f t="shared" si="162"/>
        <v>0</v>
      </c>
      <c r="AE187" s="21">
        <f t="shared" si="162"/>
        <v>0</v>
      </c>
      <c r="AF187" s="169">
        <f t="shared" si="162"/>
        <v>0</v>
      </c>
      <c r="AG187" s="18">
        <f t="shared" si="162"/>
        <v>0</v>
      </c>
      <c r="AH187" s="21">
        <f t="shared" si="162"/>
        <v>1500000</v>
      </c>
      <c r="AI187" s="17">
        <f t="shared" si="162"/>
        <v>1500000</v>
      </c>
      <c r="AJ187" s="18">
        <f t="shared" si="162"/>
        <v>1500000</v>
      </c>
      <c r="AK187" s="10"/>
      <c r="AL187" s="31">
        <f t="shared" si="162"/>
        <v>0</v>
      </c>
      <c r="AM187" s="28">
        <f t="shared" si="162"/>
        <v>0</v>
      </c>
      <c r="AN187" s="10"/>
    </row>
    <row r="188" spans="1:40" s="467" customFormat="1" x14ac:dyDescent="0.2">
      <c r="A188" s="623"/>
      <c r="B188" s="554"/>
      <c r="N188" s="10"/>
      <c r="P188" s="10"/>
      <c r="Q188" s="10"/>
      <c r="R188" s="10"/>
      <c r="S188" s="156" t="str">
        <f>+IF(FEBRERO!S188=0,"",FEBRERO!S188)</f>
        <v>3300200-1</v>
      </c>
      <c r="T188" s="238" t="str">
        <f>+IF(FEBRERO!T188=0,"",FEBRERO!T188)</f>
        <v>COHAN</v>
      </c>
      <c r="U188" s="31">
        <f>+ENERO!U188</f>
        <v>1500000</v>
      </c>
      <c r="V188" s="17">
        <f>FEBRERO!V188+MARZO!AL188</f>
        <v>0</v>
      </c>
      <c r="W188" s="17">
        <f>FEBRERO!W188+MARZO!AM188</f>
        <v>0</v>
      </c>
      <c r="X188" s="20">
        <f>SUM(U188:W188)</f>
        <v>1500000</v>
      </c>
      <c r="Y188" s="21">
        <f>FEBRERO!AA188</f>
        <v>0</v>
      </c>
      <c r="Z188" s="457">
        <v>0</v>
      </c>
      <c r="AA188" s="18">
        <f>SUM(Y188:Z188)</f>
        <v>0</v>
      </c>
      <c r="AB188" s="21">
        <f>FEBRERO!AD188</f>
        <v>0</v>
      </c>
      <c r="AC188" s="457">
        <v>0</v>
      </c>
      <c r="AD188" s="18">
        <f>SUM(AB188:AC188)</f>
        <v>0</v>
      </c>
      <c r="AE188" s="21">
        <f>FEBRERO!AG188</f>
        <v>0</v>
      </c>
      <c r="AF188" s="457">
        <v>0</v>
      </c>
      <c r="AG188" s="18">
        <f>SUM(AE188:AF188)</f>
        <v>0</v>
      </c>
      <c r="AH188" s="21">
        <f>X188-AA188</f>
        <v>1500000</v>
      </c>
      <c r="AI188" s="17">
        <f>X188-AD188</f>
        <v>1500000</v>
      </c>
      <c r="AJ188" s="18">
        <f>X188-AG188</f>
        <v>1500000</v>
      </c>
      <c r="AK188" s="10"/>
      <c r="AL188" s="455">
        <v>0</v>
      </c>
      <c r="AM188" s="458">
        <v>0</v>
      </c>
      <c r="AN188" s="10"/>
    </row>
    <row r="189" spans="1:40" s="467" customFormat="1" x14ac:dyDescent="0.2">
      <c r="A189" s="623"/>
      <c r="B189" s="554"/>
      <c r="N189" s="10"/>
      <c r="P189" s="10"/>
      <c r="Q189" s="10"/>
      <c r="R189" s="10"/>
      <c r="S189" s="156" t="str">
        <f>+IF(FEBRERO!S189=0,"",FEBRERO!S189)</f>
        <v>3300200-2</v>
      </c>
      <c r="T189" s="238" t="str">
        <f>+IF(FEBRERO!T189=0,"",FEBRERO!T189)</f>
        <v>AESA</v>
      </c>
      <c r="U189" s="31">
        <f>+ENERO!U189</f>
        <v>0</v>
      </c>
      <c r="V189" s="17">
        <f>FEBRERO!V189+MARZO!AL189</f>
        <v>0</v>
      </c>
      <c r="W189" s="17">
        <f>FEBRERO!W189+MARZO!AM189</f>
        <v>0</v>
      </c>
      <c r="X189" s="20">
        <f>SUM(U189:W189)</f>
        <v>0</v>
      </c>
      <c r="Y189" s="21">
        <f>FEBRERO!AA189</f>
        <v>0</v>
      </c>
      <c r="Z189" s="457">
        <v>0</v>
      </c>
      <c r="AA189" s="18">
        <f>SUM(Y189:Z189)</f>
        <v>0</v>
      </c>
      <c r="AB189" s="21">
        <f>FEBRERO!AD189</f>
        <v>0</v>
      </c>
      <c r="AC189" s="457">
        <v>0</v>
      </c>
      <c r="AD189" s="18">
        <f>SUM(AB189:AC189)</f>
        <v>0</v>
      </c>
      <c r="AE189" s="21">
        <f>FEBRERO!AG189</f>
        <v>0</v>
      </c>
      <c r="AF189" s="457">
        <v>0</v>
      </c>
      <c r="AG189" s="18">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+IF(FEBRERO!S190=0,"",FEBRERO!S190)</f>
        <v>3300200-3</v>
      </c>
      <c r="T190" s="238" t="str">
        <f>+IF(FEBRERO!T190=0,"",FEBRERO!T190)</f>
        <v xml:space="preserve">OTRAS </v>
      </c>
      <c r="U190" s="31">
        <f>+ENERO!U190</f>
        <v>0</v>
      </c>
      <c r="V190" s="17">
        <f>FEBRERO!V190+MARZO!AL190</f>
        <v>0</v>
      </c>
      <c r="W190" s="17">
        <f>FEBRERO!W190+MARZO!AM190</f>
        <v>0</v>
      </c>
      <c r="X190" s="20">
        <f>SUM(U190:W190)</f>
        <v>0</v>
      </c>
      <c r="Y190" s="21">
        <f>FEBRERO!AA190</f>
        <v>0</v>
      </c>
      <c r="Z190" s="457">
        <v>0</v>
      </c>
      <c r="AA190" s="18">
        <f>SUM(Y190:Z190)</f>
        <v>0</v>
      </c>
      <c r="AB190" s="21">
        <f>FEBRERO!AD190</f>
        <v>0</v>
      </c>
      <c r="AC190" s="457">
        <v>0</v>
      </c>
      <c r="AD190" s="18">
        <f>SUM(AB190:AC190)</f>
        <v>0</v>
      </c>
      <c r="AE190" s="21">
        <f>FEBRERO!AG190</f>
        <v>0</v>
      </c>
      <c r="AF190" s="457">
        <v>0</v>
      </c>
      <c r="AG190" s="18">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+IF(FEBRERO!S191=0,"",FEBRERO!S191)</f>
        <v>3399999</v>
      </c>
      <c r="T191" s="238" t="str">
        <f>+IF(FEBRERO!T191=0,"",FEBRERO!T191)</f>
        <v>Vigencias Anteriores</v>
      </c>
      <c r="U191" s="31">
        <f>+ENERO!U191</f>
        <v>0</v>
      </c>
      <c r="V191" s="17">
        <f>FEBRERO!V191+MARZO!AL191</f>
        <v>476550</v>
      </c>
      <c r="W191" s="17">
        <f>FEBRERO!W191+MARZO!AM191</f>
        <v>0</v>
      </c>
      <c r="X191" s="20">
        <f>SUM(U191:W191)</f>
        <v>476550</v>
      </c>
      <c r="Y191" s="21">
        <f>FEBRERO!AA191</f>
        <v>476550</v>
      </c>
      <c r="Z191" s="457">
        <v>0</v>
      </c>
      <c r="AA191" s="18">
        <f>SUM(Y191:Z191)</f>
        <v>476550</v>
      </c>
      <c r="AB191" s="21">
        <f>FEBRERO!AD191</f>
        <v>476550</v>
      </c>
      <c r="AC191" s="457">
        <v>0</v>
      </c>
      <c r="AD191" s="18">
        <f>SUM(AB191:AC191)</f>
        <v>476550</v>
      </c>
      <c r="AE191" s="21">
        <f>FEBRERO!AG191</f>
        <v>0</v>
      </c>
      <c r="AF191" s="457">
        <v>476550</v>
      </c>
      <c r="AG191" s="18">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+IF(FEBRERO!S192=0,"",FEBRERO!S192)</f>
        <v/>
      </c>
      <c r="T192" s="649" t="str">
        <f>+IF(FEBRERO!T192=0,"",FEBRERO!T192)</f>
        <v/>
      </c>
      <c r="U192" s="450"/>
      <c r="V192" s="193"/>
      <c r="W192" s="193"/>
      <c r="X192" s="193"/>
      <c r="Y192" s="450"/>
      <c r="Z192" s="193"/>
      <c r="AA192" s="207"/>
      <c r="AB192" s="450"/>
      <c r="AC192" s="193"/>
      <c r="AD192" s="207"/>
      <c r="AE192" s="450"/>
      <c r="AF192" s="193"/>
      <c r="AG192" s="207"/>
      <c r="AH192" s="450"/>
      <c r="AI192" s="193"/>
      <c r="AJ192" s="207"/>
      <c r="AK192" s="10"/>
      <c r="AL192" s="213"/>
      <c r="AM192" s="214"/>
      <c r="AN192" s="10"/>
    </row>
    <row r="193" spans="1:40" s="467" customFormat="1" ht="15.75" x14ac:dyDescent="0.2">
      <c r="A193" s="623"/>
      <c r="B193" s="554"/>
      <c r="N193" s="10"/>
      <c r="P193" s="10"/>
      <c r="Q193" s="10"/>
      <c r="R193" s="10"/>
      <c r="S193" s="469">
        <f>+IF(FEBRERO!S193=0,"",FEBRERO!S193)</f>
        <v>4000000</v>
      </c>
      <c r="T193" s="680" t="str">
        <f>+IF(FEBRERO!T193=0,"",FEBRERO!T193)</f>
        <v>GASTOS  DE PRESTACION DE SERVICIOS</v>
      </c>
      <c r="U193" s="464">
        <f t="shared" ref="U193:AJ193" si="163">U194</f>
        <v>355892858</v>
      </c>
      <c r="V193" s="590">
        <f t="shared" si="163"/>
        <v>15217291</v>
      </c>
      <c r="W193" s="590">
        <f t="shared" si="163"/>
        <v>17783068</v>
      </c>
      <c r="X193" s="591">
        <f t="shared" si="163"/>
        <v>388893217</v>
      </c>
      <c r="Y193" s="464">
        <f t="shared" si="163"/>
        <v>102646929</v>
      </c>
      <c r="Z193" s="590">
        <f t="shared" si="163"/>
        <v>18133871</v>
      </c>
      <c r="AA193" s="465">
        <f t="shared" si="163"/>
        <v>120780800</v>
      </c>
      <c r="AB193" s="464">
        <f t="shared" si="163"/>
        <v>102646929</v>
      </c>
      <c r="AC193" s="590">
        <f t="shared" si="163"/>
        <v>18106871</v>
      </c>
      <c r="AD193" s="465">
        <f t="shared" si="163"/>
        <v>120753800</v>
      </c>
      <c r="AE193" s="464">
        <f t="shared" si="163"/>
        <v>32902718</v>
      </c>
      <c r="AF193" s="590">
        <f t="shared" si="163"/>
        <v>24963049</v>
      </c>
      <c r="AG193" s="465">
        <f t="shared" si="163"/>
        <v>57865767</v>
      </c>
      <c r="AH193" s="464">
        <f t="shared" si="163"/>
        <v>268112417</v>
      </c>
      <c r="AI193" s="590">
        <f t="shared" si="163"/>
        <v>268139417</v>
      </c>
      <c r="AJ193" s="465">
        <f t="shared" si="163"/>
        <v>331027450</v>
      </c>
      <c r="AK193" s="10"/>
      <c r="AL193" s="151">
        <f>AL194</f>
        <v>0</v>
      </c>
      <c r="AM193" s="153">
        <f>AM194</f>
        <v>17783068</v>
      </c>
      <c r="AN193" s="10"/>
    </row>
    <row r="194" spans="1:40" s="467" customFormat="1" ht="15" x14ac:dyDescent="0.2">
      <c r="A194" s="623"/>
      <c r="B194" s="554"/>
      <c r="N194" s="10"/>
      <c r="P194" s="10"/>
      <c r="Q194" s="10"/>
      <c r="R194" s="10"/>
      <c r="S194" s="34">
        <f>+IF(FEBRERO!S194=0,"",FEBRERO!S194)</f>
        <v>4100000</v>
      </c>
      <c r="T194" s="237" t="str">
        <f>+IF(FEBRERO!T194=0,"",FEBRERO!T194)</f>
        <v>Insumos y Suministros Hospitalarios</v>
      </c>
      <c r="U194" s="151">
        <f t="shared" ref="U194:AJ194" si="164">U195+U203+U205</f>
        <v>355892858</v>
      </c>
      <c r="V194" s="144">
        <f t="shared" si="164"/>
        <v>15217291</v>
      </c>
      <c r="W194" s="144">
        <f t="shared" si="164"/>
        <v>17783068</v>
      </c>
      <c r="X194" s="152">
        <f t="shared" si="164"/>
        <v>388893217</v>
      </c>
      <c r="Y194" s="151">
        <f t="shared" si="164"/>
        <v>102646929</v>
      </c>
      <c r="Z194" s="144">
        <f t="shared" si="164"/>
        <v>18133871</v>
      </c>
      <c r="AA194" s="153">
        <f t="shared" si="164"/>
        <v>120780800</v>
      </c>
      <c r="AB194" s="151">
        <f t="shared" si="164"/>
        <v>102646929</v>
      </c>
      <c r="AC194" s="144">
        <f t="shared" si="164"/>
        <v>18106871</v>
      </c>
      <c r="AD194" s="153">
        <f t="shared" si="164"/>
        <v>120753800</v>
      </c>
      <c r="AE194" s="151">
        <f t="shared" si="164"/>
        <v>32902718</v>
      </c>
      <c r="AF194" s="144">
        <f t="shared" si="164"/>
        <v>24963049</v>
      </c>
      <c r="AG194" s="153">
        <f t="shared" si="164"/>
        <v>57865767</v>
      </c>
      <c r="AH194" s="151">
        <f t="shared" si="164"/>
        <v>268112417</v>
      </c>
      <c r="AI194" s="144">
        <f t="shared" si="164"/>
        <v>268139417</v>
      </c>
      <c r="AJ194" s="153">
        <f t="shared" si="164"/>
        <v>331027450</v>
      </c>
      <c r="AK194" s="12"/>
      <c r="AL194" s="151">
        <f>AL195+AL203+AL205</f>
        <v>0</v>
      </c>
      <c r="AM194" s="153">
        <f>AM195+AM203+AM205</f>
        <v>17783068</v>
      </c>
      <c r="AN194" s="10"/>
    </row>
    <row r="195" spans="1:40" s="467" customFormat="1" x14ac:dyDescent="0.2">
      <c r="A195" s="623"/>
      <c r="B195" s="554"/>
      <c r="N195" s="10"/>
      <c r="P195" s="10"/>
      <c r="Q195" s="10"/>
      <c r="R195" s="10"/>
      <c r="S195" s="155">
        <f>+IF(FEBRERO!S195=0,"",FEBRERO!S195)</f>
        <v>4100100</v>
      </c>
      <c r="T195" s="238" t="str">
        <f>+IF(FEBRERO!T195=0,"",FEBRERO!T195)</f>
        <v>Compra de Bienes para la Prestacion de servicios</v>
      </c>
      <c r="U195" s="31">
        <f t="shared" ref="U195:AJ195" si="165">SUM(U196:U202)</f>
        <v>282124359</v>
      </c>
      <c r="V195" s="17">
        <f t="shared" si="165"/>
        <v>0</v>
      </c>
      <c r="W195" s="17">
        <f t="shared" si="165"/>
        <v>17783068</v>
      </c>
      <c r="X195" s="20">
        <f t="shared" si="165"/>
        <v>299907427</v>
      </c>
      <c r="Y195" s="21">
        <f t="shared" si="165"/>
        <v>38711590</v>
      </c>
      <c r="Z195" s="169">
        <f t="shared" si="165"/>
        <v>16483430</v>
      </c>
      <c r="AA195" s="18">
        <f t="shared" si="165"/>
        <v>55195020</v>
      </c>
      <c r="AB195" s="21">
        <f t="shared" si="165"/>
        <v>38711590</v>
      </c>
      <c r="AC195" s="169">
        <f t="shared" si="165"/>
        <v>16456430</v>
      </c>
      <c r="AD195" s="18">
        <f t="shared" si="165"/>
        <v>55168020</v>
      </c>
      <c r="AE195" s="21">
        <f t="shared" si="165"/>
        <v>1063000</v>
      </c>
      <c r="AF195" s="169">
        <f t="shared" si="165"/>
        <v>700050</v>
      </c>
      <c r="AG195" s="18">
        <f t="shared" si="165"/>
        <v>1763050</v>
      </c>
      <c r="AH195" s="21">
        <f t="shared" si="165"/>
        <v>244712407</v>
      </c>
      <c r="AI195" s="17">
        <f t="shared" si="165"/>
        <v>244739407</v>
      </c>
      <c r="AJ195" s="18">
        <f t="shared" si="165"/>
        <v>298144377</v>
      </c>
      <c r="AK195" s="10"/>
      <c r="AL195" s="31">
        <f>SUM(AL196:AL202)</f>
        <v>0</v>
      </c>
      <c r="AM195" s="28">
        <f>SUM(AM196:AM202)</f>
        <v>17783068</v>
      </c>
      <c r="AN195" s="10"/>
    </row>
    <row r="196" spans="1:40" s="467" customFormat="1" x14ac:dyDescent="0.2">
      <c r="A196" s="623"/>
      <c r="B196" s="554"/>
      <c r="N196" s="10"/>
      <c r="P196" s="10"/>
      <c r="Q196" s="10"/>
      <c r="R196" s="10"/>
      <c r="S196" s="156" t="str">
        <f>+IF(FEBRERO!S196=0,"",FEBRERO!S196)</f>
        <v>4100100-1</v>
      </c>
      <c r="T196" s="251" t="str">
        <f>+IF(FEBRERO!T196=0,"",FEBRERO!T196)</f>
        <v>Productos Farmaceuticos</v>
      </c>
      <c r="U196" s="31">
        <f>+ENERO!U196</f>
        <v>185254982</v>
      </c>
      <c r="V196" s="17">
        <f>FEBRERO!V196+MARZO!AL196</f>
        <v>0</v>
      </c>
      <c r="W196" s="17">
        <f>FEBRERO!W196+MARZO!AM196</f>
        <v>17783068</v>
      </c>
      <c r="X196" s="20">
        <f t="shared" ref="X196:X202" si="166">SUM(U196:W196)</f>
        <v>203038050</v>
      </c>
      <c r="Y196" s="21">
        <f>FEBRERO!AA196</f>
        <v>25940008</v>
      </c>
      <c r="Z196" s="457">
        <v>10339720</v>
      </c>
      <c r="AA196" s="18">
        <f t="shared" ref="AA196:AA202" si="167">SUM(Y196:Z196)</f>
        <v>36279728</v>
      </c>
      <c r="AB196" s="21">
        <f>FEBRERO!AD196</f>
        <v>25940008</v>
      </c>
      <c r="AC196" s="457">
        <v>10312720</v>
      </c>
      <c r="AD196" s="18">
        <f t="shared" ref="AD196:AD202" si="168">SUM(AB196:AC196)</f>
        <v>36252728</v>
      </c>
      <c r="AE196" s="21">
        <f>FEBRERO!AG196</f>
        <v>463000</v>
      </c>
      <c r="AF196" s="457">
        <v>190050</v>
      </c>
      <c r="AG196" s="18">
        <f t="shared" ref="AG196:AG202" si="169">SUM(AE196:AF196)</f>
        <v>653050</v>
      </c>
      <c r="AH196" s="21">
        <f t="shared" ref="AH196:AH202" si="170">X196-AA196</f>
        <v>166758322</v>
      </c>
      <c r="AI196" s="17">
        <f t="shared" ref="AI196:AI202" si="171">X196-AD196</f>
        <v>166785322</v>
      </c>
      <c r="AJ196" s="18">
        <f t="shared" ref="AJ196:AJ202" si="172">X196-AG196</f>
        <v>202385000</v>
      </c>
      <c r="AK196" s="10"/>
      <c r="AL196" s="455">
        <v>0</v>
      </c>
      <c r="AM196" s="458">
        <v>17783068</v>
      </c>
      <c r="AN196" s="10"/>
    </row>
    <row r="197" spans="1:40" s="467" customFormat="1" x14ac:dyDescent="0.2">
      <c r="A197" s="623"/>
      <c r="B197" s="554"/>
      <c r="N197" s="10"/>
      <c r="P197" s="10"/>
      <c r="Q197" s="10"/>
      <c r="R197" s="10"/>
      <c r="S197" s="156" t="str">
        <f>+IF(FEBRERO!S197=0,"",FEBRERO!S197)</f>
        <v>4100100-2</v>
      </c>
      <c r="T197" s="251" t="str">
        <f>+IF(FEBRERO!T197=0,"",FEBRERO!T197)</f>
        <v>Material Médico Quirúrgico</v>
      </c>
      <c r="U197" s="31">
        <f>+ENERO!U197</f>
        <v>45805235</v>
      </c>
      <c r="V197" s="17">
        <f>FEBRERO!V197+MARZO!AL197</f>
        <v>0</v>
      </c>
      <c r="W197" s="17">
        <f>FEBRERO!W197+MARZO!AM197</f>
        <v>0</v>
      </c>
      <c r="X197" s="20">
        <f t="shared" si="166"/>
        <v>45805235</v>
      </c>
      <c r="Y197" s="21">
        <f>FEBRERO!AA197</f>
        <v>7057953</v>
      </c>
      <c r="Z197" s="457">
        <v>3369610</v>
      </c>
      <c r="AA197" s="18">
        <f t="shared" si="167"/>
        <v>10427563</v>
      </c>
      <c r="AB197" s="21">
        <f>FEBRERO!AD197</f>
        <v>7057953</v>
      </c>
      <c r="AC197" s="457">
        <v>3369610</v>
      </c>
      <c r="AD197" s="18">
        <f t="shared" si="168"/>
        <v>10427563</v>
      </c>
      <c r="AE197" s="21">
        <f>FEBRERO!AG197</f>
        <v>0</v>
      </c>
      <c r="AF197" s="457">
        <v>0</v>
      </c>
      <c r="AG197" s="18">
        <f t="shared" si="169"/>
        <v>0</v>
      </c>
      <c r="AH197" s="21">
        <f t="shared" si="170"/>
        <v>35377672</v>
      </c>
      <c r="AI197" s="17">
        <f t="shared" si="171"/>
        <v>35377672</v>
      </c>
      <c r="AJ197" s="18">
        <f t="shared" si="172"/>
        <v>45805235</v>
      </c>
      <c r="AK197" s="10"/>
      <c r="AL197" s="455">
        <v>0</v>
      </c>
      <c r="AM197" s="458">
        <v>0</v>
      </c>
      <c r="AN197" s="10"/>
    </row>
    <row r="198" spans="1:40" s="467" customFormat="1" x14ac:dyDescent="0.2">
      <c r="A198" s="623"/>
      <c r="B198" s="554"/>
      <c r="N198" s="10"/>
      <c r="P198" s="10"/>
      <c r="Q198" s="10"/>
      <c r="R198" s="10"/>
      <c r="S198" s="156" t="str">
        <f>+IF(FEBRERO!S198=0,"",FEBRERO!S198)</f>
        <v>4100100-3</v>
      </c>
      <c r="T198" s="251" t="str">
        <f>+IF(FEBRERO!T198=0,"",FEBRERO!T198)</f>
        <v>Material de Laboratorio</v>
      </c>
      <c r="U198" s="31">
        <f>+ENERO!U198</f>
        <v>28507645</v>
      </c>
      <c r="V198" s="17">
        <f>FEBRERO!V198+MARZO!AL198</f>
        <v>0</v>
      </c>
      <c r="W198" s="17">
        <f>FEBRERO!W198+MARZO!AM198</f>
        <v>0</v>
      </c>
      <c r="X198" s="20">
        <f t="shared" si="166"/>
        <v>28507645</v>
      </c>
      <c r="Y198" s="21">
        <f>FEBRERO!AA198</f>
        <v>4209424</v>
      </c>
      <c r="Z198" s="457">
        <v>970460</v>
      </c>
      <c r="AA198" s="18">
        <f t="shared" si="167"/>
        <v>5179884</v>
      </c>
      <c r="AB198" s="21">
        <f>FEBRERO!AD198</f>
        <v>4209424</v>
      </c>
      <c r="AC198" s="457">
        <v>970460</v>
      </c>
      <c r="AD198" s="18">
        <f t="shared" si="168"/>
        <v>5179884</v>
      </c>
      <c r="AE198" s="21">
        <f>FEBRERO!AG198</f>
        <v>600000</v>
      </c>
      <c r="AF198" s="457">
        <v>510000</v>
      </c>
      <c r="AG198" s="18">
        <f t="shared" si="169"/>
        <v>1110000</v>
      </c>
      <c r="AH198" s="21">
        <f t="shared" si="170"/>
        <v>23327761</v>
      </c>
      <c r="AI198" s="17">
        <f t="shared" si="171"/>
        <v>23327761</v>
      </c>
      <c r="AJ198" s="18">
        <f t="shared" si="172"/>
        <v>27397645</v>
      </c>
      <c r="AK198" s="10"/>
      <c r="AL198" s="455">
        <v>0</v>
      </c>
      <c r="AM198" s="458">
        <v>0</v>
      </c>
      <c r="AN198" s="10"/>
    </row>
    <row r="199" spans="1:40" s="467" customFormat="1" x14ac:dyDescent="0.2">
      <c r="A199" s="623"/>
      <c r="B199" s="554"/>
      <c r="N199" s="10"/>
      <c r="P199" s="10"/>
      <c r="Q199" s="10"/>
      <c r="R199" s="10"/>
      <c r="S199" s="156" t="str">
        <f>+IF(FEBRERO!S199=0,"",FEBRERO!S199)</f>
        <v>4100100-4</v>
      </c>
      <c r="T199" s="251" t="str">
        <f>+IF(FEBRERO!T199=0,"",FEBRERO!T199)</f>
        <v>Material para Odontologia</v>
      </c>
      <c r="U199" s="31">
        <f>+ENERO!U199</f>
        <v>13598841</v>
      </c>
      <c r="V199" s="17">
        <f>FEBRERO!V199+MARZO!AL199</f>
        <v>0</v>
      </c>
      <c r="W199" s="17">
        <f>FEBRERO!W199+MARZO!AM199</f>
        <v>0</v>
      </c>
      <c r="X199" s="20">
        <f t="shared" si="166"/>
        <v>13598841</v>
      </c>
      <c r="Y199" s="21">
        <f>FEBRERO!AA199</f>
        <v>1265400</v>
      </c>
      <c r="Z199" s="457">
        <v>0</v>
      </c>
      <c r="AA199" s="18">
        <f t="shared" si="167"/>
        <v>1265400</v>
      </c>
      <c r="AB199" s="21">
        <f>FEBRERO!AD199</f>
        <v>1265400</v>
      </c>
      <c r="AC199" s="457">
        <v>0</v>
      </c>
      <c r="AD199" s="18">
        <f t="shared" si="168"/>
        <v>1265400</v>
      </c>
      <c r="AE199" s="21">
        <f>FEBRERO!AG199</f>
        <v>0</v>
      </c>
      <c r="AF199" s="457">
        <v>0</v>
      </c>
      <c r="AG199" s="18">
        <f t="shared" si="169"/>
        <v>0</v>
      </c>
      <c r="AH199" s="21">
        <f t="shared" si="170"/>
        <v>12333441</v>
      </c>
      <c r="AI199" s="17">
        <f t="shared" si="171"/>
        <v>12333441</v>
      </c>
      <c r="AJ199" s="18">
        <f t="shared" si="172"/>
        <v>13598841</v>
      </c>
      <c r="AK199" s="10"/>
      <c r="AL199" s="455">
        <v>0</v>
      </c>
      <c r="AM199" s="458">
        <v>0</v>
      </c>
      <c r="AN199" s="10"/>
    </row>
    <row r="200" spans="1:40" s="467" customFormat="1" x14ac:dyDescent="0.2">
      <c r="A200" s="623"/>
      <c r="B200" s="554"/>
      <c r="N200" s="10"/>
      <c r="P200" s="10"/>
      <c r="Q200" s="10"/>
      <c r="R200" s="10"/>
      <c r="S200" s="156" t="str">
        <f>+IF(FEBRERO!S200=0,"",FEBRERO!S200)</f>
        <v>4100100-5</v>
      </c>
      <c r="T200" s="251" t="str">
        <f>+IF(FEBRERO!T200=0,"",FEBRERO!T200)</f>
        <v>Material para Rayos X</v>
      </c>
      <c r="U200" s="31">
        <f>+ENERO!U200</f>
        <v>8957656</v>
      </c>
      <c r="V200" s="17">
        <f>FEBRERO!V200+MARZO!AL200</f>
        <v>0</v>
      </c>
      <c r="W200" s="17">
        <f>FEBRERO!W200+MARZO!AM200</f>
        <v>0</v>
      </c>
      <c r="X200" s="20">
        <f t="shared" si="166"/>
        <v>8957656</v>
      </c>
      <c r="Y200" s="21">
        <f>FEBRERO!AA200</f>
        <v>238805</v>
      </c>
      <c r="Z200" s="457">
        <v>1803640</v>
      </c>
      <c r="AA200" s="18">
        <f t="shared" si="167"/>
        <v>2042445</v>
      </c>
      <c r="AB200" s="21">
        <f>FEBRERO!AD200</f>
        <v>238805</v>
      </c>
      <c r="AC200" s="457">
        <v>1803640</v>
      </c>
      <c r="AD200" s="18">
        <f t="shared" si="168"/>
        <v>2042445</v>
      </c>
      <c r="AE200" s="21">
        <f>FEBRERO!AG200</f>
        <v>0</v>
      </c>
      <c r="AF200" s="457">
        <v>0</v>
      </c>
      <c r="AG200" s="18">
        <f t="shared" si="169"/>
        <v>0</v>
      </c>
      <c r="AH200" s="21">
        <f t="shared" si="170"/>
        <v>6915211</v>
      </c>
      <c r="AI200" s="17">
        <f t="shared" si="171"/>
        <v>6915211</v>
      </c>
      <c r="AJ200" s="18">
        <f t="shared" si="172"/>
        <v>8957656</v>
      </c>
      <c r="AK200" s="10"/>
      <c r="AL200" s="455">
        <v>0</v>
      </c>
      <c r="AM200" s="458">
        <v>0</v>
      </c>
      <c r="AN200" s="10"/>
    </row>
    <row r="201" spans="1:40" s="467" customFormat="1" x14ac:dyDescent="0.2">
      <c r="A201" s="623"/>
      <c r="B201" s="554"/>
      <c r="N201" s="10"/>
      <c r="P201" s="10"/>
      <c r="Q201" s="10"/>
      <c r="R201" s="10"/>
      <c r="S201" s="156" t="str">
        <f>+IF(FEBRERO!S201=0,"",FEBRERO!S201)</f>
        <v/>
      </c>
      <c r="T201" s="251" t="str">
        <f>+IF(FEBRERO!T201=0,"",FEBRERO!T201)</f>
        <v/>
      </c>
      <c r="U201" s="31">
        <f>+ENERO!U201</f>
        <v>0</v>
      </c>
      <c r="V201" s="17">
        <f>FEBRERO!V201+MARZO!AL201</f>
        <v>0</v>
      </c>
      <c r="W201" s="17">
        <f>FEBRERO!W201+MARZO!AM201</f>
        <v>0</v>
      </c>
      <c r="X201" s="20">
        <f t="shared" si="166"/>
        <v>0</v>
      </c>
      <c r="Y201" s="21">
        <f>FEBRERO!AA201</f>
        <v>0</v>
      </c>
      <c r="Z201" s="457">
        <v>0</v>
      </c>
      <c r="AA201" s="18">
        <f t="shared" si="167"/>
        <v>0</v>
      </c>
      <c r="AB201" s="21">
        <f>FEBRERO!AD201</f>
        <v>0</v>
      </c>
      <c r="AC201" s="457">
        <v>0</v>
      </c>
      <c r="AD201" s="18">
        <f t="shared" si="168"/>
        <v>0</v>
      </c>
      <c r="AE201" s="21">
        <f>FEBRERO!AG201</f>
        <v>0</v>
      </c>
      <c r="AF201" s="457">
        <v>0</v>
      </c>
      <c r="AG201" s="18">
        <f t="shared" si="169"/>
        <v>0</v>
      </c>
      <c r="AH201" s="21">
        <f t="shared" si="170"/>
        <v>0</v>
      </c>
      <c r="AI201" s="17">
        <f t="shared" si="171"/>
        <v>0</v>
      </c>
      <c r="AJ201" s="18">
        <f t="shared" si="172"/>
        <v>0</v>
      </c>
      <c r="AK201" s="10"/>
      <c r="AL201" s="455">
        <v>0</v>
      </c>
      <c r="AM201" s="458">
        <v>0</v>
      </c>
      <c r="AN201" s="10"/>
    </row>
    <row r="202" spans="1:40" s="467" customFormat="1" x14ac:dyDescent="0.2">
      <c r="A202" s="623"/>
      <c r="B202" s="554"/>
      <c r="N202" s="10"/>
      <c r="P202" s="10"/>
      <c r="Q202" s="10"/>
      <c r="R202" s="10"/>
      <c r="S202" s="156" t="str">
        <f>+IF(FEBRERO!S202=0,"",FEBRERO!S202)</f>
        <v/>
      </c>
      <c r="T202" s="251" t="str">
        <f>+IF(FEBRERO!T202=0,"",FEBRERO!T202)</f>
        <v/>
      </c>
      <c r="U202" s="31">
        <f>+ENERO!U202</f>
        <v>0</v>
      </c>
      <c r="V202" s="17">
        <f>FEBRERO!V202+MARZO!AL202</f>
        <v>0</v>
      </c>
      <c r="W202" s="17">
        <f>FEBRERO!W202+MARZO!AM202</f>
        <v>0</v>
      </c>
      <c r="X202" s="20">
        <f t="shared" si="166"/>
        <v>0</v>
      </c>
      <c r="Y202" s="21">
        <f>FEBRERO!AA202</f>
        <v>0</v>
      </c>
      <c r="Z202" s="457">
        <v>0</v>
      </c>
      <c r="AA202" s="18">
        <f t="shared" si="167"/>
        <v>0</v>
      </c>
      <c r="AB202" s="21">
        <f>FEBRERO!AD202</f>
        <v>0</v>
      </c>
      <c r="AC202" s="457">
        <v>0</v>
      </c>
      <c r="AD202" s="18">
        <f t="shared" si="168"/>
        <v>0</v>
      </c>
      <c r="AE202" s="21">
        <f>FEBRERO!AG202</f>
        <v>0</v>
      </c>
      <c r="AF202" s="457">
        <v>0</v>
      </c>
      <c r="AG202" s="18">
        <f t="shared" si="169"/>
        <v>0</v>
      </c>
      <c r="AH202" s="21">
        <f t="shared" si="170"/>
        <v>0</v>
      </c>
      <c r="AI202" s="17">
        <f t="shared" si="171"/>
        <v>0</v>
      </c>
      <c r="AJ202" s="18">
        <f t="shared" si="172"/>
        <v>0</v>
      </c>
      <c r="AK202" s="10"/>
      <c r="AL202" s="455">
        <v>0</v>
      </c>
      <c r="AM202" s="458">
        <v>0</v>
      </c>
      <c r="AN202" s="10"/>
    </row>
    <row r="203" spans="1:40" s="467" customFormat="1" x14ac:dyDescent="0.2">
      <c r="A203" s="623"/>
      <c r="B203" s="554"/>
      <c r="N203" s="10"/>
      <c r="P203" s="10"/>
      <c r="Q203" s="10"/>
      <c r="R203" s="10"/>
      <c r="S203" s="155">
        <f>+IF(FEBRERO!S203=0,"",FEBRERO!S203)</f>
        <v>4100200</v>
      </c>
      <c r="T203" s="238" t="str">
        <f>+IF(FEBRERO!T203=0,"",FEBRERO!T203)</f>
        <v>Gastos Complementarios e Intermedios</v>
      </c>
      <c r="U203" s="31">
        <f t="shared" ref="U203:AJ203" si="173">U204</f>
        <v>28768499</v>
      </c>
      <c r="V203" s="17">
        <f t="shared" si="173"/>
        <v>0</v>
      </c>
      <c r="W203" s="17">
        <f t="shared" si="173"/>
        <v>0</v>
      </c>
      <c r="X203" s="20">
        <f t="shared" si="173"/>
        <v>28768499</v>
      </c>
      <c r="Y203" s="21">
        <f t="shared" si="173"/>
        <v>3718048</v>
      </c>
      <c r="Z203" s="169">
        <f t="shared" si="173"/>
        <v>1650441</v>
      </c>
      <c r="AA203" s="18">
        <f t="shared" si="173"/>
        <v>5368489</v>
      </c>
      <c r="AB203" s="21">
        <f t="shared" si="173"/>
        <v>3718048</v>
      </c>
      <c r="AC203" s="169">
        <f t="shared" si="173"/>
        <v>1650441</v>
      </c>
      <c r="AD203" s="18">
        <f t="shared" si="173"/>
        <v>5368489</v>
      </c>
      <c r="AE203" s="21">
        <f t="shared" si="173"/>
        <v>18000</v>
      </c>
      <c r="AF203" s="169">
        <f t="shared" si="173"/>
        <v>3828048</v>
      </c>
      <c r="AG203" s="18">
        <f t="shared" si="173"/>
        <v>3846048</v>
      </c>
      <c r="AH203" s="21">
        <f t="shared" si="173"/>
        <v>23400010</v>
      </c>
      <c r="AI203" s="17">
        <f t="shared" si="173"/>
        <v>23400010</v>
      </c>
      <c r="AJ203" s="18">
        <f t="shared" si="173"/>
        <v>24922451</v>
      </c>
      <c r="AK203" s="10"/>
      <c r="AL203" s="31">
        <f>AL204</f>
        <v>0</v>
      </c>
      <c r="AM203" s="28">
        <f>AM204</f>
        <v>0</v>
      </c>
      <c r="AN203" s="10"/>
    </row>
    <row r="204" spans="1:40" s="467" customFormat="1" x14ac:dyDescent="0.2">
      <c r="A204" s="623"/>
      <c r="B204" s="554"/>
      <c r="N204" s="10"/>
      <c r="P204" s="10"/>
      <c r="Q204" s="10"/>
      <c r="R204" s="10"/>
      <c r="S204" s="156" t="str">
        <f>+IF(FEBRERO!S204=0,"",FEBRERO!S204)</f>
        <v>4100200-1</v>
      </c>
      <c r="T204" s="251" t="str">
        <f>+IF(FEBRERO!T204=0,"",FEBRERO!T204)</f>
        <v>Alimentación</v>
      </c>
      <c r="U204" s="31">
        <f>+ENERO!U204</f>
        <v>28768499</v>
      </c>
      <c r="V204" s="17">
        <f>FEBRERO!V204+MARZO!AL204</f>
        <v>0</v>
      </c>
      <c r="W204" s="17">
        <f>FEBRERO!W204+MARZO!AM204</f>
        <v>0</v>
      </c>
      <c r="X204" s="20">
        <f>SUM(U204:W204)</f>
        <v>28768499</v>
      </c>
      <c r="Y204" s="21">
        <f>FEBRERO!AA204</f>
        <v>3718048</v>
      </c>
      <c r="Z204" s="457">
        <v>1650441</v>
      </c>
      <c r="AA204" s="18">
        <f>SUM(Y204:Z204)</f>
        <v>5368489</v>
      </c>
      <c r="AB204" s="21">
        <f>FEBRERO!AD204</f>
        <v>3718048</v>
      </c>
      <c r="AC204" s="457">
        <v>1650441</v>
      </c>
      <c r="AD204" s="18">
        <f>SUM(AB204:AC204)</f>
        <v>5368489</v>
      </c>
      <c r="AE204" s="21">
        <f>FEBRERO!AG204</f>
        <v>18000</v>
      </c>
      <c r="AF204" s="457">
        <v>3828048</v>
      </c>
      <c r="AG204" s="18">
        <f>SUM(AE204:AF204)</f>
        <v>3846048</v>
      </c>
      <c r="AH204" s="21">
        <f>X204-AA204</f>
        <v>23400010</v>
      </c>
      <c r="AI204" s="17">
        <f>X204-AD204</f>
        <v>23400010</v>
      </c>
      <c r="AJ204" s="18">
        <f>X204-AG204</f>
        <v>24922451</v>
      </c>
      <c r="AK204" s="10"/>
      <c r="AL204" s="455">
        <v>0</v>
      </c>
      <c r="AM204" s="458">
        <v>0</v>
      </c>
      <c r="AN204" s="10"/>
    </row>
    <row r="205" spans="1:40" s="467" customFormat="1" ht="13.5" thickBot="1" x14ac:dyDescent="0.25">
      <c r="A205" s="623"/>
      <c r="B205" s="554"/>
      <c r="N205" s="10"/>
      <c r="P205" s="10"/>
      <c r="Q205" s="10"/>
      <c r="R205" s="10"/>
      <c r="S205" s="624">
        <f>+IF(FEBRERO!S205=0,"",FEBRERO!S205)</f>
        <v>4199999</v>
      </c>
      <c r="T205" s="688" t="str">
        <f>+IF(FEBRERO!T205=0,"",FEBRERO!T205)</f>
        <v>Vigencias Anteriores</v>
      </c>
      <c r="U205" s="241">
        <f>+ENERO!U205</f>
        <v>45000000</v>
      </c>
      <c r="V205" s="143">
        <f>FEBRERO!V205+MARZO!AL205</f>
        <v>15217291</v>
      </c>
      <c r="W205" s="143">
        <f>FEBRERO!W205+MARZO!AM205</f>
        <v>0</v>
      </c>
      <c r="X205" s="149">
        <f>SUM(U205:W205)</f>
        <v>60217291</v>
      </c>
      <c r="Y205" s="147">
        <f>FEBRERO!AA205</f>
        <v>60217291</v>
      </c>
      <c r="Z205" s="475">
        <v>0</v>
      </c>
      <c r="AA205" s="148">
        <f>SUM(Y205:Z205)</f>
        <v>60217291</v>
      </c>
      <c r="AB205" s="147">
        <f>FEBRERO!AD205</f>
        <v>60217291</v>
      </c>
      <c r="AC205" s="475">
        <v>0</v>
      </c>
      <c r="AD205" s="148">
        <f>SUM(AB205:AC205)</f>
        <v>60217291</v>
      </c>
      <c r="AE205" s="147">
        <f>FEBRERO!AG205</f>
        <v>31821718</v>
      </c>
      <c r="AF205" s="475">
        <v>20434951</v>
      </c>
      <c r="AG205" s="148">
        <f>SUM(AE205:AF205)</f>
        <v>52256669</v>
      </c>
      <c r="AH205" s="147">
        <f>X205-AA205</f>
        <v>0</v>
      </c>
      <c r="AI205" s="143">
        <f>X205-AD205</f>
        <v>0</v>
      </c>
      <c r="AJ205" s="148">
        <f>X205-AG205</f>
        <v>7960622</v>
      </c>
      <c r="AK205" s="10"/>
      <c r="AL205" s="471">
        <v>0</v>
      </c>
      <c r="AM205" s="476">
        <v>0</v>
      </c>
      <c r="AN205" s="10"/>
    </row>
    <row r="206" spans="1:40" s="467" customFormat="1" ht="15.75" x14ac:dyDescent="0.2">
      <c r="A206" s="623"/>
      <c r="B206" s="554"/>
      <c r="N206" s="10"/>
      <c r="P206" s="10"/>
      <c r="Q206" s="10"/>
      <c r="R206" s="10"/>
      <c r="S206" s="627" t="str">
        <f>+IF(FEBRERO!S206=0,"",FEBRERO!S206)</f>
        <v/>
      </c>
      <c r="T206" s="628" t="str">
        <f>+IF(FEBRERO!T206=0,"",FEBRERO!T206)</f>
        <v/>
      </c>
      <c r="U206" s="208"/>
      <c r="V206" s="208"/>
      <c r="W206" s="208"/>
      <c r="X206" s="208"/>
      <c r="Y206" s="629"/>
      <c r="Z206" s="208"/>
      <c r="AA206" s="209"/>
      <c r="AB206" s="629"/>
      <c r="AC206" s="208"/>
      <c r="AD206" s="209"/>
      <c r="AE206" s="629"/>
      <c r="AF206" s="208"/>
      <c r="AG206" s="209"/>
      <c r="AH206" s="629"/>
      <c r="AI206" s="208"/>
      <c r="AJ206" s="209"/>
      <c r="AK206" s="10"/>
      <c r="AL206" s="630"/>
      <c r="AM206" s="631"/>
      <c r="AN206" s="10"/>
    </row>
    <row r="207" spans="1:40" s="467" customFormat="1" ht="19.5" x14ac:dyDescent="0.2">
      <c r="A207" s="623"/>
      <c r="B207" s="554"/>
      <c r="N207" s="10"/>
      <c r="P207" s="10"/>
      <c r="Q207" s="10"/>
      <c r="R207" s="10"/>
      <c r="S207" s="654" t="str">
        <f>+IF(FEBRERO!S207=0,"",FEBRERO!S207)</f>
        <v>B</v>
      </c>
      <c r="T207" s="655" t="str">
        <f>+IF(FEBRERO!T207=0,"",FEBRERO!T207)</f>
        <v>GASTOS DE OPERACION COMERCIAL</v>
      </c>
      <c r="U207" s="589">
        <f t="shared" ref="U207:AJ207" si="174">U209</f>
        <v>0</v>
      </c>
      <c r="V207" s="590">
        <f t="shared" si="174"/>
        <v>0</v>
      </c>
      <c r="W207" s="590">
        <f t="shared" si="174"/>
        <v>0</v>
      </c>
      <c r="X207" s="591">
        <f t="shared" si="174"/>
        <v>0</v>
      </c>
      <c r="Y207" s="464">
        <f t="shared" si="174"/>
        <v>0</v>
      </c>
      <c r="Z207" s="590">
        <f t="shared" si="174"/>
        <v>0</v>
      </c>
      <c r="AA207" s="465">
        <f t="shared" si="174"/>
        <v>0</v>
      </c>
      <c r="AB207" s="464">
        <f t="shared" si="174"/>
        <v>0</v>
      </c>
      <c r="AC207" s="590">
        <f t="shared" si="174"/>
        <v>0</v>
      </c>
      <c r="AD207" s="465">
        <f t="shared" si="174"/>
        <v>0</v>
      </c>
      <c r="AE207" s="464">
        <f t="shared" si="174"/>
        <v>0</v>
      </c>
      <c r="AF207" s="590">
        <f t="shared" si="174"/>
        <v>0</v>
      </c>
      <c r="AG207" s="465">
        <f t="shared" si="174"/>
        <v>0</v>
      </c>
      <c r="AH207" s="464">
        <f t="shared" si="174"/>
        <v>0</v>
      </c>
      <c r="AI207" s="590">
        <f t="shared" si="174"/>
        <v>0</v>
      </c>
      <c r="AJ207" s="465">
        <f t="shared" si="174"/>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450"/>
      <c r="Z208" s="193"/>
      <c r="AA208" s="207"/>
      <c r="AB208" s="450"/>
      <c r="AC208" s="193"/>
      <c r="AD208" s="207"/>
      <c r="AE208" s="450"/>
      <c r="AF208" s="193"/>
      <c r="AG208" s="207"/>
      <c r="AH208" s="450"/>
      <c r="AI208" s="193"/>
      <c r="AJ208" s="207"/>
      <c r="AK208" s="10"/>
      <c r="AL208" s="637"/>
      <c r="AM208" s="638"/>
      <c r="AN208" s="10"/>
    </row>
    <row r="209" spans="1:40" s="467" customFormat="1" ht="15.75" x14ac:dyDescent="0.2">
      <c r="A209" s="623"/>
      <c r="B209" s="554"/>
      <c r="N209" s="10"/>
      <c r="P209" s="10"/>
      <c r="Q209" s="10"/>
      <c r="R209" s="10"/>
      <c r="S209" s="469">
        <f>+IF(FEBRERO!S209=0,"",FEBRERO!S209)</f>
        <v>5000000</v>
      </c>
      <c r="T209" s="469" t="str">
        <f>+IF(FEBRERO!T209=0,"",FEBRERO!T209)</f>
        <v>GASTOS DE COMERCIALIZACION</v>
      </c>
      <c r="U209" s="589">
        <f t="shared" ref="U209:AJ209" si="175">U210</f>
        <v>0</v>
      </c>
      <c r="V209" s="590">
        <f t="shared" si="175"/>
        <v>0</v>
      </c>
      <c r="W209" s="590">
        <f t="shared" si="175"/>
        <v>0</v>
      </c>
      <c r="X209" s="591">
        <f t="shared" si="175"/>
        <v>0</v>
      </c>
      <c r="Y209" s="464">
        <f t="shared" si="175"/>
        <v>0</v>
      </c>
      <c r="Z209" s="590">
        <f t="shared" si="175"/>
        <v>0</v>
      </c>
      <c r="AA209" s="465">
        <f t="shared" si="175"/>
        <v>0</v>
      </c>
      <c r="AB209" s="464">
        <f t="shared" si="175"/>
        <v>0</v>
      </c>
      <c r="AC209" s="590">
        <f t="shared" si="175"/>
        <v>0</v>
      </c>
      <c r="AD209" s="465">
        <f t="shared" si="175"/>
        <v>0</v>
      </c>
      <c r="AE209" s="464">
        <f t="shared" si="175"/>
        <v>0</v>
      </c>
      <c r="AF209" s="590">
        <f t="shared" si="175"/>
        <v>0</v>
      </c>
      <c r="AG209" s="465">
        <f t="shared" si="175"/>
        <v>0</v>
      </c>
      <c r="AH209" s="464">
        <f t="shared" si="175"/>
        <v>0</v>
      </c>
      <c r="AI209" s="590">
        <f t="shared" si="175"/>
        <v>0</v>
      </c>
      <c r="AJ209" s="465">
        <f t="shared" si="175"/>
        <v>0</v>
      </c>
      <c r="AK209" s="10"/>
      <c r="AL209" s="151">
        <f>AL210</f>
        <v>0</v>
      </c>
      <c r="AM209" s="153">
        <f>AM210</f>
        <v>0</v>
      </c>
      <c r="AN209" s="10"/>
    </row>
    <row r="210" spans="1:40" s="467" customFormat="1" ht="15" x14ac:dyDescent="0.2">
      <c r="A210" s="623"/>
      <c r="B210" s="554"/>
      <c r="N210" s="10"/>
      <c r="P210" s="10"/>
      <c r="Q210" s="10"/>
      <c r="R210" s="10"/>
      <c r="S210" s="34">
        <f>+IF(FEBRERO!S210=0,"",FEBRERO!S210)</f>
        <v>5100000</v>
      </c>
      <c r="T210" s="158" t="str">
        <f>+IF(FEBRERO!T210=0,"",FEBRERO!T210)</f>
        <v>Insumos y Suministros para Venta al Público</v>
      </c>
      <c r="U210" s="157">
        <f t="shared" ref="U210:AJ210" si="176">U211+U218</f>
        <v>0</v>
      </c>
      <c r="V210" s="144">
        <f t="shared" si="176"/>
        <v>0</v>
      </c>
      <c r="W210" s="144">
        <f t="shared" si="176"/>
        <v>0</v>
      </c>
      <c r="X210" s="152">
        <f t="shared" si="176"/>
        <v>0</v>
      </c>
      <c r="Y210" s="151">
        <f t="shared" si="176"/>
        <v>0</v>
      </c>
      <c r="Z210" s="144">
        <f t="shared" si="176"/>
        <v>0</v>
      </c>
      <c r="AA210" s="153">
        <f t="shared" si="176"/>
        <v>0</v>
      </c>
      <c r="AB210" s="151">
        <f t="shared" si="176"/>
        <v>0</v>
      </c>
      <c r="AC210" s="144">
        <f t="shared" si="176"/>
        <v>0</v>
      </c>
      <c r="AD210" s="153">
        <f t="shared" si="176"/>
        <v>0</v>
      </c>
      <c r="AE210" s="151">
        <f t="shared" si="176"/>
        <v>0</v>
      </c>
      <c r="AF210" s="144">
        <f t="shared" si="176"/>
        <v>0</v>
      </c>
      <c r="AG210" s="153">
        <f t="shared" si="176"/>
        <v>0</v>
      </c>
      <c r="AH210" s="151">
        <f t="shared" si="176"/>
        <v>0</v>
      </c>
      <c r="AI210" s="144">
        <f t="shared" si="176"/>
        <v>0</v>
      </c>
      <c r="AJ210" s="153">
        <f t="shared" si="176"/>
        <v>0</v>
      </c>
      <c r="AK210" s="10"/>
      <c r="AL210" s="151">
        <f>AL211+AL218</f>
        <v>0</v>
      </c>
      <c r="AM210" s="153">
        <f>AM211+AM218</f>
        <v>0</v>
      </c>
      <c r="AN210" s="10"/>
    </row>
    <row r="211" spans="1:40" s="467" customFormat="1" x14ac:dyDescent="0.2">
      <c r="A211" s="623"/>
      <c r="B211" s="554"/>
      <c r="N211" s="10"/>
      <c r="P211" s="10"/>
      <c r="Q211" s="10"/>
      <c r="R211" s="10"/>
      <c r="S211" s="155">
        <f>+IF(FEBRERO!S211=0,"",FEBRERO!S211)</f>
        <v>5100100</v>
      </c>
      <c r="T211" s="159" t="str">
        <f>+IF(FEBRERO!T211=0,"",FEBRERO!T211)</f>
        <v>Compra de Bienes para la venta</v>
      </c>
      <c r="U211" s="29">
        <f t="shared" ref="U211:AJ211" si="177">SUM(U212:U217)</f>
        <v>0</v>
      </c>
      <c r="V211" s="17">
        <f t="shared" si="177"/>
        <v>0</v>
      </c>
      <c r="W211" s="17">
        <f t="shared" si="177"/>
        <v>0</v>
      </c>
      <c r="X211" s="20">
        <f t="shared" si="177"/>
        <v>0</v>
      </c>
      <c r="Y211" s="21">
        <f t="shared" si="177"/>
        <v>0</v>
      </c>
      <c r="Z211" s="169">
        <f t="shared" si="177"/>
        <v>0</v>
      </c>
      <c r="AA211" s="18">
        <f t="shared" si="177"/>
        <v>0</v>
      </c>
      <c r="AB211" s="21">
        <f t="shared" si="177"/>
        <v>0</v>
      </c>
      <c r="AC211" s="169">
        <f t="shared" si="177"/>
        <v>0</v>
      </c>
      <c r="AD211" s="18">
        <f t="shared" si="177"/>
        <v>0</v>
      </c>
      <c r="AE211" s="21">
        <f t="shared" si="177"/>
        <v>0</v>
      </c>
      <c r="AF211" s="169">
        <f t="shared" si="177"/>
        <v>0</v>
      </c>
      <c r="AG211" s="18">
        <f t="shared" si="177"/>
        <v>0</v>
      </c>
      <c r="AH211" s="21">
        <f t="shared" si="177"/>
        <v>0</v>
      </c>
      <c r="AI211" s="17">
        <f t="shared" si="177"/>
        <v>0</v>
      </c>
      <c r="AJ211" s="18">
        <f t="shared" si="177"/>
        <v>0</v>
      </c>
      <c r="AK211" s="12"/>
      <c r="AL211" s="31">
        <f>SUM(AL212:AL217)</f>
        <v>0</v>
      </c>
      <c r="AM211" s="28">
        <f>SUM(AM212:AM217)</f>
        <v>0</v>
      </c>
      <c r="AN211" s="10"/>
    </row>
    <row r="212" spans="1:40" s="467" customFormat="1" x14ac:dyDescent="0.2">
      <c r="A212" s="623"/>
      <c r="B212" s="554"/>
      <c r="N212" s="10"/>
      <c r="P212" s="10"/>
      <c r="Q212" s="10"/>
      <c r="R212" s="10"/>
      <c r="S212" s="156" t="str">
        <f>+IF(FEBRERO!S212=0,"",FEBRERO!S212)</f>
        <v>5100100-1</v>
      </c>
      <c r="T212" s="55" t="str">
        <f>+IF(FEBRERO!T212=0,"",FEBRERO!T212)</f>
        <v>Productos Farmaceuticos</v>
      </c>
      <c r="U212" s="29">
        <f>+ENERO!U212</f>
        <v>0</v>
      </c>
      <c r="V212" s="17">
        <f>FEBRERO!V212+MARZO!AL212</f>
        <v>0</v>
      </c>
      <c r="W212" s="17">
        <f>FEBRERO!W212+MARZO!AM212</f>
        <v>0</v>
      </c>
      <c r="X212" s="20">
        <f t="shared" ref="X212:X218" si="178">SUM(U212:W212)</f>
        <v>0</v>
      </c>
      <c r="Y212" s="21">
        <f>FEBRERO!AA212</f>
        <v>0</v>
      </c>
      <c r="Z212" s="457">
        <v>0</v>
      </c>
      <c r="AA212" s="18">
        <f t="shared" ref="AA212:AA218" si="179">SUM(Y212:Z212)</f>
        <v>0</v>
      </c>
      <c r="AB212" s="21">
        <f>FEBRERO!AD212</f>
        <v>0</v>
      </c>
      <c r="AC212" s="457">
        <v>0</v>
      </c>
      <c r="AD212" s="18">
        <f t="shared" ref="AD212:AD218" si="180">SUM(AB212:AC212)</f>
        <v>0</v>
      </c>
      <c r="AE212" s="21">
        <f>FEBRERO!AG212</f>
        <v>0</v>
      </c>
      <c r="AF212" s="457">
        <v>0</v>
      </c>
      <c r="AG212" s="18">
        <f t="shared" ref="AG212:AG218" si="181">SUM(AE212:AF212)</f>
        <v>0</v>
      </c>
      <c r="AH212" s="21">
        <f t="shared" ref="AH212:AH218" si="182">X212-AA212</f>
        <v>0</v>
      </c>
      <c r="AI212" s="17">
        <f t="shared" ref="AI212:AI218" si="183">X212-AD212</f>
        <v>0</v>
      </c>
      <c r="AJ212" s="18">
        <f t="shared" ref="AJ212:AJ218" si="184">X212-AG212</f>
        <v>0</v>
      </c>
      <c r="AK212" s="10"/>
      <c r="AL212" s="455">
        <v>0</v>
      </c>
      <c r="AM212" s="458">
        <v>0</v>
      </c>
      <c r="AN212" s="10"/>
    </row>
    <row r="213" spans="1:40" s="467" customFormat="1" x14ac:dyDescent="0.2">
      <c r="A213" s="623"/>
      <c r="B213" s="554"/>
      <c r="N213" s="10"/>
      <c r="P213" s="10"/>
      <c r="Q213" s="10"/>
      <c r="R213" s="10"/>
      <c r="S213" s="156" t="str">
        <f>+IF(FEBRERO!S213=0,"",FEBRERO!S213)</f>
        <v>5100100-2</v>
      </c>
      <c r="T213" s="55" t="str">
        <f>+IF(FEBRERO!T213=0,"",FEBRERO!T213)</f>
        <v>Material Médico Quirúrgico</v>
      </c>
      <c r="U213" s="29">
        <f>+ENERO!U213</f>
        <v>0</v>
      </c>
      <c r="V213" s="17">
        <f>FEBRERO!V213+MARZO!AL213</f>
        <v>0</v>
      </c>
      <c r="W213" s="17">
        <f>FEBRERO!W213+MARZO!AM213</f>
        <v>0</v>
      </c>
      <c r="X213" s="20">
        <f t="shared" si="178"/>
        <v>0</v>
      </c>
      <c r="Y213" s="21">
        <f>FEBRERO!AA213</f>
        <v>0</v>
      </c>
      <c r="Z213" s="457">
        <v>0</v>
      </c>
      <c r="AA213" s="18">
        <f t="shared" si="179"/>
        <v>0</v>
      </c>
      <c r="AB213" s="21">
        <f>FEBRERO!AD213</f>
        <v>0</v>
      </c>
      <c r="AC213" s="457">
        <v>0</v>
      </c>
      <c r="AD213" s="18">
        <f t="shared" si="180"/>
        <v>0</v>
      </c>
      <c r="AE213" s="21">
        <f>FEBRERO!AG213</f>
        <v>0</v>
      </c>
      <c r="AF213" s="457">
        <v>0</v>
      </c>
      <c r="AG213" s="18">
        <f t="shared" si="181"/>
        <v>0</v>
      </c>
      <c r="AH213" s="21">
        <f t="shared" si="182"/>
        <v>0</v>
      </c>
      <c r="AI213" s="17">
        <f t="shared" si="183"/>
        <v>0</v>
      </c>
      <c r="AJ213" s="18">
        <f t="shared" si="184"/>
        <v>0</v>
      </c>
      <c r="AK213" s="10"/>
      <c r="AL213" s="455">
        <v>0</v>
      </c>
      <c r="AM213" s="458">
        <v>0</v>
      </c>
      <c r="AN213" s="10"/>
    </row>
    <row r="214" spans="1:40" s="467" customFormat="1" x14ac:dyDescent="0.2">
      <c r="A214" s="623"/>
      <c r="B214" s="554"/>
      <c r="N214" s="10"/>
      <c r="P214" s="10"/>
      <c r="Q214" s="10"/>
      <c r="R214" s="10"/>
      <c r="S214" s="156" t="str">
        <f>+IF(FEBRERO!S214=0,"",FEBRERO!S214)</f>
        <v>5100100-3</v>
      </c>
      <c r="T214" s="55" t="str">
        <f>+IF(FEBRERO!T214=0,"",FEBRERO!T214)</f>
        <v>Material de Laboratorio</v>
      </c>
      <c r="U214" s="29">
        <f>+ENERO!U214</f>
        <v>0</v>
      </c>
      <c r="V214" s="17">
        <f>FEBRERO!V214+MARZO!AL214</f>
        <v>0</v>
      </c>
      <c r="W214" s="17">
        <f>FEBRERO!W214+MARZO!AM214</f>
        <v>0</v>
      </c>
      <c r="X214" s="20">
        <f t="shared" si="178"/>
        <v>0</v>
      </c>
      <c r="Y214" s="21">
        <f>FEBRERO!AA214</f>
        <v>0</v>
      </c>
      <c r="Z214" s="457">
        <v>0</v>
      </c>
      <c r="AA214" s="18">
        <f t="shared" si="179"/>
        <v>0</v>
      </c>
      <c r="AB214" s="21">
        <f>FEBRERO!AD214</f>
        <v>0</v>
      </c>
      <c r="AC214" s="457">
        <v>0</v>
      </c>
      <c r="AD214" s="18">
        <f t="shared" si="180"/>
        <v>0</v>
      </c>
      <c r="AE214" s="21">
        <f>FEBRERO!AG214</f>
        <v>0</v>
      </c>
      <c r="AF214" s="457">
        <v>0</v>
      </c>
      <c r="AG214" s="18">
        <f t="shared" si="181"/>
        <v>0</v>
      </c>
      <c r="AH214" s="21">
        <f t="shared" si="182"/>
        <v>0</v>
      </c>
      <c r="AI214" s="17">
        <f t="shared" si="183"/>
        <v>0</v>
      </c>
      <c r="AJ214" s="18">
        <f t="shared" si="184"/>
        <v>0</v>
      </c>
      <c r="AK214" s="10"/>
      <c r="AL214" s="455">
        <v>0</v>
      </c>
      <c r="AM214" s="458">
        <v>0</v>
      </c>
      <c r="AN214" s="10"/>
    </row>
    <row r="215" spans="1:40" s="467" customFormat="1" x14ac:dyDescent="0.2">
      <c r="A215" s="623"/>
      <c r="B215" s="554"/>
      <c r="N215" s="10"/>
      <c r="P215" s="10"/>
      <c r="Q215" s="10"/>
      <c r="R215" s="10"/>
      <c r="S215" s="156" t="str">
        <f>+IF(FEBRERO!S215=0,"",FEBRERO!S215)</f>
        <v>5100100-4</v>
      </c>
      <c r="T215" s="55" t="str">
        <f>+IF(FEBRERO!T215=0,"",FEBRERO!T215)</f>
        <v>Material para Odontologia</v>
      </c>
      <c r="U215" s="29">
        <f>+ENERO!U215</f>
        <v>0</v>
      </c>
      <c r="V215" s="17">
        <f>FEBRERO!V215+MARZO!AL215</f>
        <v>0</v>
      </c>
      <c r="W215" s="17">
        <f>FEBRERO!W215+MARZO!AM215</f>
        <v>0</v>
      </c>
      <c r="X215" s="20">
        <f t="shared" si="178"/>
        <v>0</v>
      </c>
      <c r="Y215" s="21">
        <f>FEBRERO!AA215</f>
        <v>0</v>
      </c>
      <c r="Z215" s="457">
        <v>0</v>
      </c>
      <c r="AA215" s="18">
        <f t="shared" si="179"/>
        <v>0</v>
      </c>
      <c r="AB215" s="21">
        <f>FEBRERO!AD215</f>
        <v>0</v>
      </c>
      <c r="AC215" s="457">
        <v>0</v>
      </c>
      <c r="AD215" s="18">
        <f t="shared" si="180"/>
        <v>0</v>
      </c>
      <c r="AE215" s="21">
        <f>FEBRERO!AG215</f>
        <v>0</v>
      </c>
      <c r="AF215" s="457">
        <v>0</v>
      </c>
      <c r="AG215" s="18">
        <f t="shared" si="181"/>
        <v>0</v>
      </c>
      <c r="AH215" s="21">
        <f t="shared" si="182"/>
        <v>0</v>
      </c>
      <c r="AI215" s="17">
        <f t="shared" si="183"/>
        <v>0</v>
      </c>
      <c r="AJ215" s="18">
        <f t="shared" si="184"/>
        <v>0</v>
      </c>
      <c r="AK215" s="10"/>
      <c r="AL215" s="455">
        <v>0</v>
      </c>
      <c r="AM215" s="458">
        <v>0</v>
      </c>
      <c r="AN215" s="10"/>
    </row>
    <row r="216" spans="1:40" s="467" customFormat="1" x14ac:dyDescent="0.2">
      <c r="A216" s="623"/>
      <c r="B216" s="554"/>
      <c r="N216" s="10"/>
      <c r="P216" s="10"/>
      <c r="Q216" s="10"/>
      <c r="R216" s="10"/>
      <c r="S216" s="156" t="str">
        <f>+IF(FEBRERO!S216=0,"",FEBRERO!S216)</f>
        <v>5100100-5</v>
      </c>
      <c r="T216" s="55" t="str">
        <f>+IF(FEBRERO!T216=0,"",FEBRERO!T216)</f>
        <v>Material para Rayos X</v>
      </c>
      <c r="U216" s="29">
        <f>+ENERO!U216</f>
        <v>0</v>
      </c>
      <c r="V216" s="17">
        <f>FEBRERO!V216+MARZO!AL216</f>
        <v>0</v>
      </c>
      <c r="W216" s="17">
        <f>FEBRERO!W216+MARZO!AM216</f>
        <v>0</v>
      </c>
      <c r="X216" s="20">
        <f t="shared" si="178"/>
        <v>0</v>
      </c>
      <c r="Y216" s="21">
        <f>FEBRERO!AA216</f>
        <v>0</v>
      </c>
      <c r="Z216" s="457">
        <v>0</v>
      </c>
      <c r="AA216" s="18">
        <f t="shared" si="179"/>
        <v>0</v>
      </c>
      <c r="AB216" s="21">
        <f>FEBRERO!AD216</f>
        <v>0</v>
      </c>
      <c r="AC216" s="457">
        <v>0</v>
      </c>
      <c r="AD216" s="18">
        <f t="shared" si="180"/>
        <v>0</v>
      </c>
      <c r="AE216" s="21">
        <f>FEBRERO!AG216</f>
        <v>0</v>
      </c>
      <c r="AF216" s="457">
        <v>0</v>
      </c>
      <c r="AG216" s="18">
        <f t="shared" si="181"/>
        <v>0</v>
      </c>
      <c r="AH216" s="21">
        <f t="shared" si="182"/>
        <v>0</v>
      </c>
      <c r="AI216" s="17">
        <f t="shared" si="183"/>
        <v>0</v>
      </c>
      <c r="AJ216" s="18">
        <f t="shared" si="184"/>
        <v>0</v>
      </c>
      <c r="AK216" s="10"/>
      <c r="AL216" s="455">
        <v>0</v>
      </c>
      <c r="AM216" s="458">
        <v>0</v>
      </c>
      <c r="AN216" s="10"/>
    </row>
    <row r="217" spans="1:40" s="467" customFormat="1" x14ac:dyDescent="0.2">
      <c r="A217" s="623"/>
      <c r="B217" s="554"/>
      <c r="N217" s="10"/>
      <c r="P217" s="10"/>
      <c r="Q217" s="10"/>
      <c r="R217" s="10"/>
      <c r="S217" s="156" t="str">
        <f>+IF(FEBRERO!S217=0,"",FEBRERO!S217)</f>
        <v>5100100-6</v>
      </c>
      <c r="T217" s="55" t="str">
        <f>+IF(FEBRERO!T217=0,"",FEBRERO!T217)</f>
        <v>Material aseo personal, etc.</v>
      </c>
      <c r="U217" s="29">
        <f>+ENERO!U217</f>
        <v>0</v>
      </c>
      <c r="V217" s="17">
        <f>FEBRERO!V217+MARZO!AL217</f>
        <v>0</v>
      </c>
      <c r="W217" s="17">
        <f>FEBRERO!W217+MARZO!AM217</f>
        <v>0</v>
      </c>
      <c r="X217" s="20">
        <f t="shared" si="178"/>
        <v>0</v>
      </c>
      <c r="Y217" s="21">
        <f>FEBRERO!AA217</f>
        <v>0</v>
      </c>
      <c r="Z217" s="457">
        <v>0</v>
      </c>
      <c r="AA217" s="18">
        <f t="shared" si="179"/>
        <v>0</v>
      </c>
      <c r="AB217" s="21">
        <f>FEBRERO!AD217</f>
        <v>0</v>
      </c>
      <c r="AC217" s="457">
        <v>0</v>
      </c>
      <c r="AD217" s="18">
        <f t="shared" si="180"/>
        <v>0</v>
      </c>
      <c r="AE217" s="21">
        <f>FEBRERO!AG217</f>
        <v>0</v>
      </c>
      <c r="AF217" s="457">
        <v>0</v>
      </c>
      <c r="AG217" s="18">
        <f t="shared" si="181"/>
        <v>0</v>
      </c>
      <c r="AH217" s="21">
        <f t="shared" si="182"/>
        <v>0</v>
      </c>
      <c r="AI217" s="17">
        <f t="shared" si="183"/>
        <v>0</v>
      </c>
      <c r="AJ217" s="18">
        <f t="shared" si="184"/>
        <v>0</v>
      </c>
      <c r="AK217" s="10"/>
      <c r="AL217" s="455">
        <v>0</v>
      </c>
      <c r="AM217" s="458">
        <v>0</v>
      </c>
      <c r="AN217" s="10"/>
    </row>
    <row r="218" spans="1:40" s="467" customFormat="1" ht="15" thickBot="1" x14ac:dyDescent="0.25">
      <c r="A218" s="623"/>
      <c r="B218" s="554"/>
      <c r="N218" s="10"/>
      <c r="P218" s="10"/>
      <c r="Q218" s="10"/>
      <c r="R218" s="10"/>
      <c r="S218" s="657">
        <f>+IF(FEBRERO!S218=0,"",FEBRERO!S218)</f>
        <v>5199999</v>
      </c>
      <c r="T218" s="658" t="str">
        <f>+IF(FEBRERO!T218=0,"",FEBRERO!T218)</f>
        <v>Vigencias Anteriores</v>
      </c>
      <c r="U218" s="160">
        <f>+ENERO!U218</f>
        <v>0</v>
      </c>
      <c r="V218" s="143">
        <f>FEBRERO!V218+MARZO!AL218</f>
        <v>0</v>
      </c>
      <c r="W218" s="143">
        <f>FEBRERO!W218+MARZO!AM218</f>
        <v>0</v>
      </c>
      <c r="X218" s="149">
        <f t="shared" si="178"/>
        <v>0</v>
      </c>
      <c r="Y218" s="147">
        <f>FEBRERO!AA218</f>
        <v>0</v>
      </c>
      <c r="Z218" s="475">
        <v>0</v>
      </c>
      <c r="AA218" s="148">
        <f t="shared" si="179"/>
        <v>0</v>
      </c>
      <c r="AB218" s="147">
        <f>FEBRERO!AD218</f>
        <v>0</v>
      </c>
      <c r="AC218" s="475">
        <v>0</v>
      </c>
      <c r="AD218" s="148">
        <f t="shared" si="180"/>
        <v>0</v>
      </c>
      <c r="AE218" s="147">
        <f>FEBRERO!AG218</f>
        <v>0</v>
      </c>
      <c r="AF218" s="475">
        <v>0</v>
      </c>
      <c r="AG218" s="148">
        <f t="shared" si="181"/>
        <v>0</v>
      </c>
      <c r="AH218" s="147">
        <f t="shared" si="182"/>
        <v>0</v>
      </c>
      <c r="AI218" s="143">
        <f t="shared" si="183"/>
        <v>0</v>
      </c>
      <c r="AJ218" s="148">
        <f t="shared" si="184"/>
        <v>0</v>
      </c>
      <c r="AK218" s="10"/>
      <c r="AL218" s="650">
        <v>0</v>
      </c>
      <c r="AM218" s="651">
        <v>0</v>
      </c>
      <c r="AN218" s="10"/>
    </row>
    <row r="219" spans="1:40" s="467" customFormat="1" ht="16.5" thickBot="1" x14ac:dyDescent="0.25">
      <c r="A219" s="623"/>
      <c r="B219" s="554"/>
      <c r="N219" s="10"/>
      <c r="P219" s="10"/>
      <c r="Q219" s="10"/>
      <c r="R219" s="10"/>
      <c r="S219" s="643" t="str">
        <f>+IF(FEBRERO!S219=0,"",FEBRERO!S219)</f>
        <v/>
      </c>
      <c r="T219" s="357" t="str">
        <f>+IF(FEBRERO!T219=0,"",FEBRERO!T219)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+IF(FEBRERO!S220=0,"",FEBRERO!S220)</f>
        <v>C</v>
      </c>
      <c r="T220" s="439" t="str">
        <f>+IF(FEBRERO!T220=0,"",FEBRERO!T220)</f>
        <v xml:space="preserve">SERVICIO DE LA DEUDA </v>
      </c>
      <c r="U220" s="440">
        <f t="shared" ref="U220:AJ220" si="185">U222+U227</f>
        <v>0</v>
      </c>
      <c r="V220" s="441">
        <f t="shared" si="185"/>
        <v>0</v>
      </c>
      <c r="W220" s="441">
        <f t="shared" si="185"/>
        <v>0</v>
      </c>
      <c r="X220" s="444">
        <f t="shared" si="185"/>
        <v>0</v>
      </c>
      <c r="Y220" s="443">
        <f t="shared" si="185"/>
        <v>0</v>
      </c>
      <c r="Z220" s="441">
        <f t="shared" si="185"/>
        <v>0</v>
      </c>
      <c r="AA220" s="444">
        <f t="shared" si="185"/>
        <v>0</v>
      </c>
      <c r="AB220" s="443">
        <f t="shared" si="185"/>
        <v>0</v>
      </c>
      <c r="AC220" s="441">
        <f t="shared" si="185"/>
        <v>0</v>
      </c>
      <c r="AD220" s="444">
        <f t="shared" si="185"/>
        <v>0</v>
      </c>
      <c r="AE220" s="443">
        <f t="shared" si="185"/>
        <v>0</v>
      </c>
      <c r="AF220" s="441">
        <f t="shared" si="185"/>
        <v>0</v>
      </c>
      <c r="AG220" s="444">
        <f t="shared" si="185"/>
        <v>0</v>
      </c>
      <c r="AH220" s="443">
        <f t="shared" si="185"/>
        <v>0</v>
      </c>
      <c r="AI220" s="441">
        <f t="shared" si="185"/>
        <v>0</v>
      </c>
      <c r="AJ220" s="442">
        <f t="shared" si="185"/>
        <v>0</v>
      </c>
      <c r="AK220" s="648"/>
      <c r="AL220" s="443">
        <f>AL222+AL227</f>
        <v>0</v>
      </c>
      <c r="AM220" s="442">
        <f>AM222+AM227</f>
        <v>0</v>
      </c>
      <c r="AN220" s="10"/>
    </row>
    <row r="221" spans="1:40" s="467" customFormat="1" ht="15.75" x14ac:dyDescent="0.2">
      <c r="A221" s="623"/>
      <c r="B221" s="554"/>
      <c r="N221" s="10"/>
      <c r="P221" s="10"/>
      <c r="Q221" s="10"/>
      <c r="R221" s="10"/>
      <c r="S221" s="448" t="str">
        <f>+IF(FEBRERO!S221=0,"",FEBRERO!S221)</f>
        <v/>
      </c>
      <c r="T221" s="649" t="str">
        <f>+IF(FEBRERO!T221=0,"",FEBRERO!T221)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+IF(FEBRERO!S222=0,"",FEBRERO!S222)</f>
        <v>7001000</v>
      </c>
      <c r="T222" s="158" t="str">
        <f>+IF(FEBRERO!T222=0,"",FEBRERO!T222)</f>
        <v>SERVICIO DE LA DEUDA INTERNA</v>
      </c>
      <c r="U222" s="157">
        <f t="shared" ref="U222:AJ222" si="186">SUM(U223:U225)</f>
        <v>0</v>
      </c>
      <c r="V222" s="144">
        <f t="shared" si="186"/>
        <v>0</v>
      </c>
      <c r="W222" s="144">
        <f t="shared" si="186"/>
        <v>0</v>
      </c>
      <c r="X222" s="152">
        <f t="shared" si="186"/>
        <v>0</v>
      </c>
      <c r="Y222" s="151">
        <f t="shared" si="186"/>
        <v>0</v>
      </c>
      <c r="Z222" s="144">
        <f t="shared" si="186"/>
        <v>0</v>
      </c>
      <c r="AA222" s="152">
        <f t="shared" si="186"/>
        <v>0</v>
      </c>
      <c r="AB222" s="151">
        <f t="shared" si="186"/>
        <v>0</v>
      </c>
      <c r="AC222" s="144">
        <f t="shared" si="186"/>
        <v>0</v>
      </c>
      <c r="AD222" s="152">
        <f t="shared" si="186"/>
        <v>0</v>
      </c>
      <c r="AE222" s="151">
        <f t="shared" si="186"/>
        <v>0</v>
      </c>
      <c r="AF222" s="144">
        <f t="shared" si="186"/>
        <v>0</v>
      </c>
      <c r="AG222" s="152">
        <f t="shared" si="186"/>
        <v>0</v>
      </c>
      <c r="AH222" s="151">
        <f t="shared" si="186"/>
        <v>0</v>
      </c>
      <c r="AI222" s="144">
        <f t="shared" si="186"/>
        <v>0</v>
      </c>
      <c r="AJ222" s="153">
        <f t="shared" si="186"/>
        <v>0</v>
      </c>
      <c r="AK222" s="10"/>
      <c r="AL222" s="151">
        <f>SUM(AL223:AL225)</f>
        <v>0</v>
      </c>
      <c r="AM222" s="153">
        <f>SUM(AM223:AM225)</f>
        <v>0</v>
      </c>
      <c r="AN222" s="10"/>
    </row>
    <row r="223" spans="1:40" s="467" customFormat="1" x14ac:dyDescent="0.2">
      <c r="A223" s="623"/>
      <c r="B223" s="554"/>
      <c r="N223" s="10"/>
      <c r="P223" s="10"/>
      <c r="Q223" s="10"/>
      <c r="R223" s="10"/>
      <c r="S223" s="155">
        <f>+IF(FEBRERO!S223=0,"",FEBRERO!S223)</f>
        <v>7001100</v>
      </c>
      <c r="T223" s="159" t="str">
        <f>+IF(FEBRERO!T223=0,"",FEBRERO!T223)</f>
        <v>Amortización deuda Pública Interna</v>
      </c>
      <c r="U223" s="29">
        <f>+ENERO!U223</f>
        <v>0</v>
      </c>
      <c r="V223" s="17">
        <f>FEBRERO!V223+MARZO!AL223</f>
        <v>0</v>
      </c>
      <c r="W223" s="17">
        <f>FEBRERO!W223+MARZO!AM223</f>
        <v>0</v>
      </c>
      <c r="X223" s="20">
        <f>SUM(U223:W223)</f>
        <v>0</v>
      </c>
      <c r="Y223" s="21">
        <f>FEBRERO!AA223</f>
        <v>0</v>
      </c>
      <c r="Z223" s="457">
        <v>0</v>
      </c>
      <c r="AA223" s="20">
        <f>SUM(Y223:Z223)</f>
        <v>0</v>
      </c>
      <c r="AB223" s="21">
        <f>FEBRERO!AD223</f>
        <v>0</v>
      </c>
      <c r="AC223" s="457">
        <v>0</v>
      </c>
      <c r="AD223" s="20">
        <f>SUM(AB223:AC223)</f>
        <v>0</v>
      </c>
      <c r="AE223" s="21">
        <f>FEBRERO!AG223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+IF(FEBRERO!S224=0,"",FEBRERO!S224)</f>
        <v>7001200</v>
      </c>
      <c r="T224" s="159" t="str">
        <f>+IF(FEBRERO!T224=0,"",FEBRERO!T224)</f>
        <v>Intereses Comisiones y gastos de la Deuda Pública</v>
      </c>
      <c r="U224" s="29">
        <f>+ENERO!U224</f>
        <v>0</v>
      </c>
      <c r="V224" s="17">
        <f>FEBRERO!V224+MARZO!AL224</f>
        <v>0</v>
      </c>
      <c r="W224" s="17">
        <f>FEBRERO!W224+MARZO!AM224</f>
        <v>0</v>
      </c>
      <c r="X224" s="20">
        <f>SUM(U224:W224)</f>
        <v>0</v>
      </c>
      <c r="Y224" s="21">
        <f>FEBRERO!AA224</f>
        <v>0</v>
      </c>
      <c r="Z224" s="457">
        <v>0</v>
      </c>
      <c r="AA224" s="20">
        <f>SUM(Y224:Z224)</f>
        <v>0</v>
      </c>
      <c r="AB224" s="21">
        <f>FEBRERO!AD224</f>
        <v>0</v>
      </c>
      <c r="AC224" s="457">
        <v>0</v>
      </c>
      <c r="AD224" s="20">
        <f>SUM(AB224:AC224)</f>
        <v>0</v>
      </c>
      <c r="AE224" s="21">
        <f>FEBRERO!AG224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+IF(FEBRERO!S225=0,"",FEBRERO!S225)</f>
        <v>7001999</v>
      </c>
      <c r="T225" s="159" t="str">
        <f>+IF(FEBRERO!T225=0,"",FEBRERO!T225)</f>
        <v>Vigencias Anteriores</v>
      </c>
      <c r="U225" s="29">
        <f>+ENERO!U225</f>
        <v>0</v>
      </c>
      <c r="V225" s="17">
        <f>FEBRERO!V225+MARZO!AL225</f>
        <v>0</v>
      </c>
      <c r="W225" s="17">
        <f>FEBRERO!W225+MARZO!AM225</f>
        <v>0</v>
      </c>
      <c r="X225" s="20">
        <f>SUM(U225:W225)</f>
        <v>0</v>
      </c>
      <c r="Y225" s="21">
        <f>FEBRERO!AA225</f>
        <v>0</v>
      </c>
      <c r="Z225" s="457">
        <v>0</v>
      </c>
      <c r="AA225" s="20">
        <f>SUM(Y225:Z225)</f>
        <v>0</v>
      </c>
      <c r="AB225" s="21">
        <f>FEBRERO!AD225</f>
        <v>0</v>
      </c>
      <c r="AC225" s="457">
        <v>0</v>
      </c>
      <c r="AD225" s="20">
        <f>SUM(AB225:AC225)</f>
        <v>0</v>
      </c>
      <c r="AE225" s="21">
        <f>FEBRERO!AG225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+IF(FEBRERO!S226=0,"",FEBRERO!S226)</f>
        <v/>
      </c>
      <c r="T226" s="649" t="str">
        <f>+IF(FEBRERO!T226=0,"",FEBRERO!T226)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+IF(FEBRERO!S227=0,"",FEBRERO!S227)</f>
        <v>7002001</v>
      </c>
      <c r="T227" s="158" t="str">
        <f>+IF(FEBRERO!T227=0,"",FEBRERO!T227)</f>
        <v>SERVICIO DE LA DEUDA EXTERNA</v>
      </c>
      <c r="U227" s="157">
        <f t="shared" ref="U227:AJ227" si="187">SUM(U228:U230)</f>
        <v>0</v>
      </c>
      <c r="V227" s="144">
        <f t="shared" si="187"/>
        <v>0</v>
      </c>
      <c r="W227" s="144">
        <f t="shared" si="187"/>
        <v>0</v>
      </c>
      <c r="X227" s="152">
        <f t="shared" si="187"/>
        <v>0</v>
      </c>
      <c r="Y227" s="151">
        <f t="shared" si="187"/>
        <v>0</v>
      </c>
      <c r="Z227" s="144">
        <f t="shared" si="187"/>
        <v>0</v>
      </c>
      <c r="AA227" s="152">
        <f t="shared" si="187"/>
        <v>0</v>
      </c>
      <c r="AB227" s="151">
        <f t="shared" si="187"/>
        <v>0</v>
      </c>
      <c r="AC227" s="144">
        <f t="shared" si="187"/>
        <v>0</v>
      </c>
      <c r="AD227" s="152">
        <f t="shared" si="187"/>
        <v>0</v>
      </c>
      <c r="AE227" s="151">
        <f t="shared" si="187"/>
        <v>0</v>
      </c>
      <c r="AF227" s="144">
        <f t="shared" si="187"/>
        <v>0</v>
      </c>
      <c r="AG227" s="152">
        <f t="shared" si="187"/>
        <v>0</v>
      </c>
      <c r="AH227" s="151">
        <f t="shared" si="187"/>
        <v>0</v>
      </c>
      <c r="AI227" s="144">
        <f t="shared" si="187"/>
        <v>0</v>
      </c>
      <c r="AJ227" s="153">
        <f t="shared" si="187"/>
        <v>0</v>
      </c>
      <c r="AK227" s="12"/>
      <c r="AL227" s="151">
        <f>SUM(AL228:AL230)</f>
        <v>0</v>
      </c>
      <c r="AM227" s="153">
        <f>SUM(AM228:AM230)</f>
        <v>0</v>
      </c>
      <c r="AN227" s="10"/>
    </row>
    <row r="228" spans="1:40" s="467" customFormat="1" x14ac:dyDescent="0.2">
      <c r="A228" s="623"/>
      <c r="B228" s="554"/>
      <c r="N228" s="10"/>
      <c r="P228" s="10"/>
      <c r="Q228" s="10"/>
      <c r="R228" s="10"/>
      <c r="S228" s="155">
        <f>+IF(FEBRERO!S228=0,"",FEBRERO!S228)</f>
        <v>7002100</v>
      </c>
      <c r="T228" s="159" t="str">
        <f>+IF(FEBRERO!T228=0,"",FEBRERO!T228)</f>
        <v>Amortización deuda Pública Externa</v>
      </c>
      <c r="U228" s="29">
        <f>+ENERO!U228</f>
        <v>0</v>
      </c>
      <c r="V228" s="17">
        <f>FEBRERO!V228+MARZO!AL228</f>
        <v>0</v>
      </c>
      <c r="W228" s="17">
        <f>FEBRERO!W228+MARZO!AM228</f>
        <v>0</v>
      </c>
      <c r="X228" s="20">
        <f>SUM(U228:W228)</f>
        <v>0</v>
      </c>
      <c r="Y228" s="21">
        <f>FEBRERO!AA228</f>
        <v>0</v>
      </c>
      <c r="Z228" s="457">
        <v>0</v>
      </c>
      <c r="AA228" s="20">
        <f>SUM(Y228:Z228)</f>
        <v>0</v>
      </c>
      <c r="AB228" s="21">
        <f>FEBRERO!AD228</f>
        <v>0</v>
      </c>
      <c r="AC228" s="457">
        <v>0</v>
      </c>
      <c r="AD228" s="20">
        <f>SUM(AB228:AC228)</f>
        <v>0</v>
      </c>
      <c r="AE228" s="21">
        <f>FEBRERO!AG228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+IF(FEBRERO!S229=0,"",FEBRERO!S229)</f>
        <v>7002200</v>
      </c>
      <c r="T229" s="159" t="str">
        <f>+IF(FEBRERO!T229=0,"",FEBRERO!T229)</f>
        <v>Intereses Comisiones y gastos de la Deuda Pública</v>
      </c>
      <c r="U229" s="29">
        <f>+ENERO!U229</f>
        <v>0</v>
      </c>
      <c r="V229" s="17">
        <f>FEBRERO!V229+MARZO!AL229</f>
        <v>0</v>
      </c>
      <c r="W229" s="17">
        <f>FEBRERO!W229+MARZO!AM229</f>
        <v>0</v>
      </c>
      <c r="X229" s="20">
        <f>SUM(U229:W229)</f>
        <v>0</v>
      </c>
      <c r="Y229" s="21">
        <f>FEBRERO!AA229</f>
        <v>0</v>
      </c>
      <c r="Z229" s="457">
        <v>0</v>
      </c>
      <c r="AA229" s="20">
        <f>SUM(Y229:Z229)</f>
        <v>0</v>
      </c>
      <c r="AB229" s="21">
        <f>FEBRERO!AD229</f>
        <v>0</v>
      </c>
      <c r="AC229" s="457">
        <v>0</v>
      </c>
      <c r="AD229" s="20">
        <f>SUM(AB229:AC229)</f>
        <v>0</v>
      </c>
      <c r="AE229" s="21">
        <f>FEBRERO!AG229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+IF(FEBRERO!S230=0,"",FEBRERO!S230)</f>
        <v>7002999</v>
      </c>
      <c r="T230" s="625" t="str">
        <f>+IF(FEBRERO!T230=0,"",FEBRERO!T230)</f>
        <v>Vigencias Anteriores</v>
      </c>
      <c r="U230" s="160">
        <f>+ENERO!U230</f>
        <v>0</v>
      </c>
      <c r="V230" s="143">
        <f>FEBRERO!V230+MARZO!AL230</f>
        <v>0</v>
      </c>
      <c r="W230" s="143">
        <f>FEBRERO!W230+MARZO!AM230</f>
        <v>0</v>
      </c>
      <c r="X230" s="149">
        <f>SUM(U230:W230)</f>
        <v>0</v>
      </c>
      <c r="Y230" s="147">
        <f>FEBRERO!AA230</f>
        <v>0</v>
      </c>
      <c r="Z230" s="475">
        <v>0</v>
      </c>
      <c r="AA230" s="149">
        <f>SUM(Y230:Z230)</f>
        <v>0</v>
      </c>
      <c r="AB230" s="147">
        <f>FEBRERO!AD230</f>
        <v>0</v>
      </c>
      <c r="AC230" s="475">
        <v>0</v>
      </c>
      <c r="AD230" s="149">
        <f>SUM(AB230:AC230)</f>
        <v>0</v>
      </c>
      <c r="AE230" s="147">
        <f>FEBRERO!AG230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+IF(FEBRERO!S231=0,"",FEBRERO!S231)</f>
        <v/>
      </c>
      <c r="T231" s="628" t="str">
        <f>+IF(FEBRERO!T231=0,"",FEBRERO!T231)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+IF(FEBRERO!S232=0,"",FEBRERO!S232)</f>
        <v>D</v>
      </c>
      <c r="T232" s="655" t="str">
        <f>+IF(FEBRERO!T232=0,"",FEBRERO!T232)</f>
        <v>INVERSION</v>
      </c>
      <c r="U232" s="589">
        <f t="shared" ref="U232:AJ232" si="188">U234</f>
        <v>121563100</v>
      </c>
      <c r="V232" s="590">
        <f t="shared" si="188"/>
        <v>-1563100</v>
      </c>
      <c r="W232" s="590">
        <f t="shared" si="188"/>
        <v>0</v>
      </c>
      <c r="X232" s="591">
        <f t="shared" si="188"/>
        <v>120000000</v>
      </c>
      <c r="Y232" s="464">
        <f t="shared" si="188"/>
        <v>19019492</v>
      </c>
      <c r="Z232" s="590">
        <f t="shared" si="188"/>
        <v>19125492</v>
      </c>
      <c r="AA232" s="591">
        <f t="shared" si="188"/>
        <v>38144984</v>
      </c>
      <c r="AB232" s="464">
        <f t="shared" si="188"/>
        <v>19019492</v>
      </c>
      <c r="AC232" s="590">
        <f t="shared" si="188"/>
        <v>19125492</v>
      </c>
      <c r="AD232" s="591">
        <f t="shared" si="188"/>
        <v>38144984</v>
      </c>
      <c r="AE232" s="464">
        <f t="shared" si="188"/>
        <v>0</v>
      </c>
      <c r="AF232" s="590">
        <f t="shared" si="188"/>
        <v>19019492</v>
      </c>
      <c r="AG232" s="591">
        <f t="shared" si="188"/>
        <v>19019492</v>
      </c>
      <c r="AH232" s="464">
        <f t="shared" si="188"/>
        <v>81855016</v>
      </c>
      <c r="AI232" s="590">
        <f t="shared" si="188"/>
        <v>81855016</v>
      </c>
      <c r="AJ232" s="465">
        <f t="shared" si="188"/>
        <v>100980508</v>
      </c>
      <c r="AK232" s="648"/>
      <c r="AL232" s="464">
        <f>AL234</f>
        <v>0</v>
      </c>
      <c r="AM232" s="465">
        <f>AM234</f>
        <v>0</v>
      </c>
      <c r="AN232" s="10"/>
    </row>
    <row r="233" spans="1:40" s="467" customFormat="1" ht="15.75" x14ac:dyDescent="0.2">
      <c r="A233" s="623"/>
      <c r="B233" s="554"/>
      <c r="N233" s="10"/>
      <c r="P233" s="10"/>
      <c r="Q233" s="10"/>
      <c r="R233" s="10"/>
      <c r="S233" s="448" t="str">
        <f>+IF(FEBRERO!S233=0,"",FEBRERO!S233)</f>
        <v/>
      </c>
      <c r="T233" s="649" t="str">
        <f>+IF(FEBRERO!T233=0,"",FEBRERO!T233)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+IF(FEBRERO!S234=0,"",FEBRERO!S234)</f>
        <v>8000000</v>
      </c>
      <c r="T234" s="158" t="str">
        <f>+IF(FEBRERO!T234=0,"",FEBRERO!T234)</f>
        <v>Programas de Inversión</v>
      </c>
      <c r="U234" s="157">
        <f t="shared" ref="U234:AJ234" si="189">U235+U243</f>
        <v>121563100</v>
      </c>
      <c r="V234" s="144">
        <f t="shared" si="189"/>
        <v>-1563100</v>
      </c>
      <c r="W234" s="144">
        <f t="shared" si="189"/>
        <v>0</v>
      </c>
      <c r="X234" s="152">
        <f t="shared" si="189"/>
        <v>120000000</v>
      </c>
      <c r="Y234" s="151">
        <f t="shared" si="189"/>
        <v>19019492</v>
      </c>
      <c r="Z234" s="144">
        <f t="shared" si="189"/>
        <v>19125492</v>
      </c>
      <c r="AA234" s="152">
        <f t="shared" si="189"/>
        <v>38144984</v>
      </c>
      <c r="AB234" s="151">
        <f t="shared" si="189"/>
        <v>19019492</v>
      </c>
      <c r="AC234" s="144">
        <f t="shared" si="189"/>
        <v>19125492</v>
      </c>
      <c r="AD234" s="152">
        <f t="shared" si="189"/>
        <v>38144984</v>
      </c>
      <c r="AE234" s="151">
        <f t="shared" si="189"/>
        <v>0</v>
      </c>
      <c r="AF234" s="144">
        <f t="shared" si="189"/>
        <v>19019492</v>
      </c>
      <c r="AG234" s="152">
        <f t="shared" si="189"/>
        <v>19019492</v>
      </c>
      <c r="AH234" s="151">
        <f t="shared" si="189"/>
        <v>81855016</v>
      </c>
      <c r="AI234" s="144">
        <f t="shared" si="189"/>
        <v>81855016</v>
      </c>
      <c r="AJ234" s="153">
        <f t="shared" si="189"/>
        <v>100980508</v>
      </c>
      <c r="AK234" s="10"/>
      <c r="AL234" s="151">
        <f>AL235+AL243</f>
        <v>0</v>
      </c>
      <c r="AM234" s="153">
        <f>AM235+AM243</f>
        <v>0</v>
      </c>
      <c r="AN234" s="10"/>
    </row>
    <row r="235" spans="1:40" s="467" customFormat="1" x14ac:dyDescent="0.2">
      <c r="A235" s="623"/>
      <c r="B235" s="554"/>
      <c r="N235" s="10"/>
      <c r="P235" s="10"/>
      <c r="Q235" s="10"/>
      <c r="R235" s="10"/>
      <c r="S235" s="155">
        <f>+IF(FEBRERO!S235=0,"",FEBRERO!S235)</f>
        <v>8001000</v>
      </c>
      <c r="T235" s="159" t="str">
        <f>+IF(FEBRERO!T235=0,"",FEBRERO!T235)</f>
        <v>Formación Bruta del Capital</v>
      </c>
      <c r="U235" s="29">
        <f t="shared" ref="U235:AJ235" si="190">SUM(U236:U241)</f>
        <v>0</v>
      </c>
      <c r="V235" s="17">
        <f t="shared" si="190"/>
        <v>0</v>
      </c>
      <c r="W235" s="17">
        <f t="shared" si="190"/>
        <v>0</v>
      </c>
      <c r="X235" s="20">
        <f t="shared" si="190"/>
        <v>0</v>
      </c>
      <c r="Y235" s="21">
        <f t="shared" si="190"/>
        <v>0</v>
      </c>
      <c r="Z235" s="169">
        <f t="shared" si="190"/>
        <v>0</v>
      </c>
      <c r="AA235" s="20">
        <f t="shared" si="190"/>
        <v>0</v>
      </c>
      <c r="AB235" s="21">
        <f t="shared" si="190"/>
        <v>0</v>
      </c>
      <c r="AC235" s="169">
        <f t="shared" si="190"/>
        <v>0</v>
      </c>
      <c r="AD235" s="20">
        <f t="shared" si="190"/>
        <v>0</v>
      </c>
      <c r="AE235" s="21">
        <f t="shared" si="190"/>
        <v>0</v>
      </c>
      <c r="AF235" s="169">
        <f t="shared" si="190"/>
        <v>0</v>
      </c>
      <c r="AG235" s="20">
        <f t="shared" si="190"/>
        <v>0</v>
      </c>
      <c r="AH235" s="21">
        <f t="shared" si="190"/>
        <v>0</v>
      </c>
      <c r="AI235" s="17">
        <f t="shared" si="190"/>
        <v>0</v>
      </c>
      <c r="AJ235" s="18">
        <f t="shared" si="190"/>
        <v>0</v>
      </c>
      <c r="AK235" s="10"/>
      <c r="AL235" s="31">
        <f>SUM(AL236:AL241)</f>
        <v>0</v>
      </c>
      <c r="AM235" s="28">
        <f>SUM(AM236:AM241)</f>
        <v>0</v>
      </c>
      <c r="AN235" s="10"/>
    </row>
    <row r="236" spans="1:40" s="467" customFormat="1" x14ac:dyDescent="0.2">
      <c r="A236" s="623"/>
      <c r="B236" s="554"/>
      <c r="N236" s="10"/>
      <c r="P236" s="10"/>
      <c r="Q236" s="10"/>
      <c r="R236" s="10"/>
      <c r="S236" s="156" t="str">
        <f>+IF(FEBRERO!S236=0,"",FEBRERO!S236)</f>
        <v>8001000-1</v>
      </c>
      <c r="T236" s="55" t="str">
        <f>+IF(FEBRERO!T236=0,"",FEBRERO!T236)</f>
        <v>Subprogr.Construc. Remodelac. Adecuación y Apliac.1</v>
      </c>
      <c r="U236" s="29">
        <f>+ENERO!U236</f>
        <v>0</v>
      </c>
      <c r="V236" s="17">
        <f>FEBRERO!V236+MARZO!AL236</f>
        <v>0</v>
      </c>
      <c r="W236" s="17">
        <f>FEBRERO!W236+MARZO!AM236</f>
        <v>0</v>
      </c>
      <c r="X236" s="20">
        <f t="shared" ref="X236:X241" si="191">SUM(U236:W236)</f>
        <v>0</v>
      </c>
      <c r="Y236" s="21">
        <f>FEBRERO!AA236</f>
        <v>0</v>
      </c>
      <c r="Z236" s="457">
        <v>0</v>
      </c>
      <c r="AA236" s="20">
        <f t="shared" ref="AA236:AA241" si="192">SUM(Y236:Z236)</f>
        <v>0</v>
      </c>
      <c r="AB236" s="21">
        <f>FEBRERO!AD236</f>
        <v>0</v>
      </c>
      <c r="AC236" s="457">
        <v>0</v>
      </c>
      <c r="AD236" s="20">
        <f t="shared" ref="AD236:AD241" si="193">SUM(AB236:AC236)</f>
        <v>0</v>
      </c>
      <c r="AE236" s="21">
        <f>FEBRERO!AG236</f>
        <v>0</v>
      </c>
      <c r="AF236" s="457">
        <v>0</v>
      </c>
      <c r="AG236" s="20">
        <f t="shared" ref="AG236:AG241" si="194">SUM(AE236:AF236)</f>
        <v>0</v>
      </c>
      <c r="AH236" s="21">
        <f t="shared" ref="AH236:AH241" si="195">X236-AA236</f>
        <v>0</v>
      </c>
      <c r="AI236" s="17">
        <f t="shared" ref="AI236:AI241" si="196">X236-AD236</f>
        <v>0</v>
      </c>
      <c r="AJ236" s="18">
        <f t="shared" ref="AJ236:AJ241" si="197">X236-AG236</f>
        <v>0</v>
      </c>
      <c r="AK236" s="10"/>
      <c r="AL236" s="455">
        <v>0</v>
      </c>
      <c r="AM236" s="458">
        <v>0</v>
      </c>
      <c r="AN236" s="10"/>
    </row>
    <row r="237" spans="1:40" s="467" customFormat="1" x14ac:dyDescent="0.2">
      <c r="A237" s="623"/>
      <c r="B237" s="554"/>
      <c r="N237" s="10"/>
      <c r="P237" s="10"/>
      <c r="Q237" s="10"/>
      <c r="R237" s="10"/>
      <c r="S237" s="156" t="str">
        <f>+IF(FEBRERO!S237=0,"",FEBRERO!S237)</f>
        <v>8001000-2</v>
      </c>
      <c r="T237" s="55" t="str">
        <f>+IF(FEBRERO!T237=0,"",FEBRERO!T237)</f>
        <v>Subprogr.Construc. Remodelac. Adecuación y Apliac.2</v>
      </c>
      <c r="U237" s="29">
        <f>+ENERO!U237</f>
        <v>0</v>
      </c>
      <c r="V237" s="17">
        <f>FEBRERO!V237+MARZO!AL237</f>
        <v>0</v>
      </c>
      <c r="W237" s="17">
        <f>FEBRERO!W237+MARZO!AM237</f>
        <v>0</v>
      </c>
      <c r="X237" s="20">
        <f t="shared" si="191"/>
        <v>0</v>
      </c>
      <c r="Y237" s="21">
        <f>FEBRERO!AA237</f>
        <v>0</v>
      </c>
      <c r="Z237" s="457">
        <v>0</v>
      </c>
      <c r="AA237" s="20">
        <f t="shared" si="192"/>
        <v>0</v>
      </c>
      <c r="AB237" s="21">
        <f>FEBRERO!AD237</f>
        <v>0</v>
      </c>
      <c r="AC237" s="457">
        <v>0</v>
      </c>
      <c r="AD237" s="20">
        <f t="shared" si="193"/>
        <v>0</v>
      </c>
      <c r="AE237" s="21">
        <f>FEBRERO!AG237</f>
        <v>0</v>
      </c>
      <c r="AF237" s="457">
        <v>0</v>
      </c>
      <c r="AG237" s="20">
        <f t="shared" si="194"/>
        <v>0</v>
      </c>
      <c r="AH237" s="21">
        <f t="shared" si="195"/>
        <v>0</v>
      </c>
      <c r="AI237" s="17">
        <f t="shared" si="196"/>
        <v>0</v>
      </c>
      <c r="AJ237" s="18">
        <f t="shared" si="197"/>
        <v>0</v>
      </c>
      <c r="AK237" s="10"/>
      <c r="AL237" s="455">
        <v>0</v>
      </c>
      <c r="AM237" s="458">
        <v>0</v>
      </c>
      <c r="AN237" s="10"/>
    </row>
    <row r="238" spans="1:40" s="467" customFormat="1" x14ac:dyDescent="0.2">
      <c r="A238" s="623"/>
      <c r="B238" s="554"/>
      <c r="N238" s="10"/>
      <c r="P238" s="10"/>
      <c r="Q238" s="10"/>
      <c r="R238" s="10"/>
      <c r="S238" s="156" t="str">
        <f>+IF(FEBRERO!S238=0,"",FEBRERO!S238)</f>
        <v>8001000-3</v>
      </c>
      <c r="T238" s="55" t="str">
        <f>+IF(FEBRERO!T238=0,"",FEBRERO!T238)</f>
        <v>Subprogr.Construc. Remodelac. Adecuación y Apliac.3</v>
      </c>
      <c r="U238" s="29">
        <f>+ENERO!U238</f>
        <v>0</v>
      </c>
      <c r="V238" s="17">
        <f>FEBRERO!V238+MARZO!AL238</f>
        <v>0</v>
      </c>
      <c r="W238" s="17">
        <f>FEBRERO!W238+MARZO!AM238</f>
        <v>0</v>
      </c>
      <c r="X238" s="20">
        <f t="shared" si="191"/>
        <v>0</v>
      </c>
      <c r="Y238" s="21">
        <f>FEBRERO!AA238</f>
        <v>0</v>
      </c>
      <c r="Z238" s="457">
        <v>0</v>
      </c>
      <c r="AA238" s="20">
        <f t="shared" si="192"/>
        <v>0</v>
      </c>
      <c r="AB238" s="21">
        <f>FEBRERO!AD238</f>
        <v>0</v>
      </c>
      <c r="AC238" s="457">
        <v>0</v>
      </c>
      <c r="AD238" s="20">
        <f t="shared" si="193"/>
        <v>0</v>
      </c>
      <c r="AE238" s="21">
        <f>FEBRERO!AG238</f>
        <v>0</v>
      </c>
      <c r="AF238" s="457">
        <v>0</v>
      </c>
      <c r="AG238" s="20">
        <f t="shared" si="194"/>
        <v>0</v>
      </c>
      <c r="AH238" s="21">
        <f t="shared" si="195"/>
        <v>0</v>
      </c>
      <c r="AI238" s="17">
        <f t="shared" si="196"/>
        <v>0</v>
      </c>
      <c r="AJ238" s="18">
        <f t="shared" si="197"/>
        <v>0</v>
      </c>
      <c r="AK238" s="10"/>
      <c r="AL238" s="455">
        <v>0</v>
      </c>
      <c r="AM238" s="458">
        <v>0</v>
      </c>
      <c r="AN238" s="10"/>
    </row>
    <row r="239" spans="1:40" s="467" customFormat="1" x14ac:dyDescent="0.2">
      <c r="A239" s="623"/>
      <c r="B239" s="554"/>
      <c r="N239" s="10"/>
      <c r="P239" s="10"/>
      <c r="Q239" s="10"/>
      <c r="S239" s="156" t="str">
        <f>+IF(FEBRERO!S239=0,"",FEBRERO!S239)</f>
        <v>8001000-4</v>
      </c>
      <c r="T239" s="55" t="str">
        <f>+IF(FEBRERO!T239=0,"",FEBRERO!T239)</f>
        <v>Subprogr.Construc. Remodelac. Adecuación y Apliac.4</v>
      </c>
      <c r="U239" s="29">
        <f>+ENERO!U239</f>
        <v>0</v>
      </c>
      <c r="V239" s="17">
        <f>FEBRERO!V239+MARZO!AL239</f>
        <v>0</v>
      </c>
      <c r="W239" s="17">
        <f>FEBRERO!W239+MARZO!AM239</f>
        <v>0</v>
      </c>
      <c r="X239" s="20">
        <f t="shared" si="191"/>
        <v>0</v>
      </c>
      <c r="Y239" s="21">
        <f>FEBRERO!AA239</f>
        <v>0</v>
      </c>
      <c r="Z239" s="457">
        <v>0</v>
      </c>
      <c r="AA239" s="20">
        <f t="shared" si="192"/>
        <v>0</v>
      </c>
      <c r="AB239" s="21">
        <f>FEBRERO!AD239</f>
        <v>0</v>
      </c>
      <c r="AC239" s="457">
        <v>0</v>
      </c>
      <c r="AD239" s="20">
        <f t="shared" si="193"/>
        <v>0</v>
      </c>
      <c r="AE239" s="21">
        <f>FEBRERO!AG239</f>
        <v>0</v>
      </c>
      <c r="AF239" s="457">
        <v>0</v>
      </c>
      <c r="AG239" s="20">
        <f t="shared" si="194"/>
        <v>0</v>
      </c>
      <c r="AH239" s="21">
        <f t="shared" si="195"/>
        <v>0</v>
      </c>
      <c r="AI239" s="17">
        <f t="shared" si="196"/>
        <v>0</v>
      </c>
      <c r="AJ239" s="18">
        <f t="shared" si="197"/>
        <v>0</v>
      </c>
      <c r="AK239" s="10"/>
      <c r="AL239" s="455">
        <v>0</v>
      </c>
      <c r="AM239" s="458">
        <v>0</v>
      </c>
      <c r="AN239" s="10"/>
    </row>
    <row r="240" spans="1:40" s="467" customFormat="1" x14ac:dyDescent="0.2">
      <c r="A240" s="623"/>
      <c r="B240" s="554"/>
      <c r="N240" s="10"/>
      <c r="P240" s="10"/>
      <c r="Q240" s="10"/>
      <c r="S240" s="156" t="str">
        <f>+IF(FEBRERO!S240=0,"",FEBRERO!S240)</f>
        <v>8001000-7</v>
      </c>
      <c r="T240" s="55" t="str">
        <f>+IF(FEBRERO!T240=0,"",FEBRERO!T240)</f>
        <v>Subprogr.Construc. Remodelac. Adecuación y Apliac.5</v>
      </c>
      <c r="U240" s="29">
        <f>+ENERO!U240</f>
        <v>0</v>
      </c>
      <c r="V240" s="17">
        <f>FEBRERO!V240+MARZO!AL240</f>
        <v>0</v>
      </c>
      <c r="W240" s="17">
        <f>FEBRERO!W240+MARZO!AM240</f>
        <v>0</v>
      </c>
      <c r="X240" s="20">
        <f t="shared" si="191"/>
        <v>0</v>
      </c>
      <c r="Y240" s="21">
        <f>FEBRERO!AA240</f>
        <v>0</v>
      </c>
      <c r="Z240" s="457">
        <v>0</v>
      </c>
      <c r="AA240" s="20">
        <f t="shared" si="192"/>
        <v>0</v>
      </c>
      <c r="AB240" s="21">
        <f>FEBRERO!AD240</f>
        <v>0</v>
      </c>
      <c r="AC240" s="457">
        <v>0</v>
      </c>
      <c r="AD240" s="20">
        <f t="shared" si="193"/>
        <v>0</v>
      </c>
      <c r="AE240" s="21">
        <f>FEBRERO!AG240</f>
        <v>0</v>
      </c>
      <c r="AF240" s="457">
        <v>0</v>
      </c>
      <c r="AG240" s="20">
        <f t="shared" si="194"/>
        <v>0</v>
      </c>
      <c r="AH240" s="21">
        <f t="shared" si="195"/>
        <v>0</v>
      </c>
      <c r="AI240" s="17">
        <f t="shared" si="196"/>
        <v>0</v>
      </c>
      <c r="AJ240" s="18">
        <f t="shared" si="197"/>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+IF(FEBRERO!S241=0,"",FEBRERO!S241)</f>
        <v>8001999</v>
      </c>
      <c r="T241" s="55" t="str">
        <f>+IF(FEBRERO!T241=0,"",FEBRERO!T241)</f>
        <v>Vigencias Anteriores</v>
      </c>
      <c r="U241" s="29">
        <f>+ENERO!U241</f>
        <v>0</v>
      </c>
      <c r="V241" s="17">
        <f>FEBRERO!V241+MARZO!AL241</f>
        <v>0</v>
      </c>
      <c r="W241" s="17">
        <f>FEBRERO!W241+MARZO!AM241</f>
        <v>0</v>
      </c>
      <c r="X241" s="20">
        <f t="shared" si="191"/>
        <v>0</v>
      </c>
      <c r="Y241" s="21">
        <f>FEBRERO!AA241</f>
        <v>0</v>
      </c>
      <c r="Z241" s="457">
        <v>0</v>
      </c>
      <c r="AA241" s="20">
        <f t="shared" si="192"/>
        <v>0</v>
      </c>
      <c r="AB241" s="21">
        <f>FEBRERO!AD241</f>
        <v>0</v>
      </c>
      <c r="AC241" s="457">
        <v>0</v>
      </c>
      <c r="AD241" s="20">
        <f t="shared" si="193"/>
        <v>0</v>
      </c>
      <c r="AE241" s="21">
        <f>FEBRERO!AG241</f>
        <v>0</v>
      </c>
      <c r="AF241" s="457">
        <v>0</v>
      </c>
      <c r="AG241" s="20">
        <f t="shared" si="194"/>
        <v>0</v>
      </c>
      <c r="AH241" s="21">
        <f t="shared" si="195"/>
        <v>0</v>
      </c>
      <c r="AI241" s="17">
        <f t="shared" si="196"/>
        <v>0</v>
      </c>
      <c r="AJ241" s="18">
        <f t="shared" si="197"/>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+IF(FEBRERO!S242=0,"",FEBRERO!S242)</f>
        <v/>
      </c>
      <c r="T242" s="649" t="str">
        <f>+IF(FEBRERO!T242=0,"",FEBRERO!T242)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+IF(FEBRERO!S243=0,"",FEBRERO!S243)</f>
        <v>8002001</v>
      </c>
      <c r="T243" s="159" t="str">
        <f>+IF(FEBRERO!T243=0,"",FEBRERO!T243)</f>
        <v>Gastos Operativos de Inversion   (Programas Especiales)</v>
      </c>
      <c r="U243" s="29">
        <f t="shared" ref="U243:AJ243" si="198">SUM(U244:U256)</f>
        <v>121563100</v>
      </c>
      <c r="V243" s="17">
        <f t="shared" si="198"/>
        <v>-1563100</v>
      </c>
      <c r="W243" s="17">
        <f t="shared" si="198"/>
        <v>0</v>
      </c>
      <c r="X243" s="20">
        <f t="shared" si="198"/>
        <v>120000000</v>
      </c>
      <c r="Y243" s="21">
        <f t="shared" si="198"/>
        <v>19019492</v>
      </c>
      <c r="Z243" s="169">
        <f t="shared" si="198"/>
        <v>19125492</v>
      </c>
      <c r="AA243" s="20">
        <f t="shared" si="198"/>
        <v>38144984</v>
      </c>
      <c r="AB243" s="21">
        <f t="shared" si="198"/>
        <v>19019492</v>
      </c>
      <c r="AC243" s="169">
        <f t="shared" si="198"/>
        <v>19125492</v>
      </c>
      <c r="AD243" s="20">
        <f t="shared" si="198"/>
        <v>38144984</v>
      </c>
      <c r="AE243" s="21">
        <f t="shared" si="198"/>
        <v>0</v>
      </c>
      <c r="AF243" s="169">
        <f t="shared" si="198"/>
        <v>19019492</v>
      </c>
      <c r="AG243" s="20">
        <f t="shared" si="198"/>
        <v>19019492</v>
      </c>
      <c r="AH243" s="21">
        <f t="shared" si="198"/>
        <v>81855016</v>
      </c>
      <c r="AI243" s="17">
        <f t="shared" si="198"/>
        <v>81855016</v>
      </c>
      <c r="AJ243" s="18">
        <f t="shared" si="198"/>
        <v>100980508</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+IF(FEBRERO!S244=0,"",FEBRERO!S244)</f>
        <v>8002100-1</v>
      </c>
      <c r="T244" s="55" t="str">
        <f>+IF(FEBRERO!T244=0,"",FEBRERO!T244)</f>
        <v>Salud Pública</v>
      </c>
      <c r="U244" s="29">
        <f>+ENERO!U244</f>
        <v>120000000</v>
      </c>
      <c r="V244" s="17">
        <f>FEBRERO!V244+MARZO!AL244</f>
        <v>0</v>
      </c>
      <c r="W244" s="17">
        <f>FEBRERO!W244+MARZO!AM244</f>
        <v>0</v>
      </c>
      <c r="X244" s="20">
        <f t="shared" ref="X244:X256" si="199">SUM(U244:W244)</f>
        <v>120000000</v>
      </c>
      <c r="Y244" s="21">
        <f>FEBRERO!AA244</f>
        <v>19019492</v>
      </c>
      <c r="Z244" s="457">
        <f>17309492+1816000</f>
        <v>19125492</v>
      </c>
      <c r="AA244" s="20">
        <f t="shared" ref="AA244:AA256" si="200">SUM(Y244:Z244)</f>
        <v>38144984</v>
      </c>
      <c r="AB244" s="21">
        <f>FEBRERO!AD244</f>
        <v>19019492</v>
      </c>
      <c r="AC244" s="457">
        <f>17309492+1816000</f>
        <v>19125492</v>
      </c>
      <c r="AD244" s="20">
        <f t="shared" ref="AD244:AD256" si="201">SUM(AB244:AC244)</f>
        <v>38144984</v>
      </c>
      <c r="AE244" s="21">
        <f>FEBRERO!AG244</f>
        <v>0</v>
      </c>
      <c r="AF244" s="457">
        <v>19019492</v>
      </c>
      <c r="AG244" s="20">
        <f t="shared" ref="AG244:AG256" si="202">SUM(AE244:AF244)</f>
        <v>19019492</v>
      </c>
      <c r="AH244" s="21">
        <f t="shared" ref="AH244:AH256" si="203">X244-AA244</f>
        <v>81855016</v>
      </c>
      <c r="AI244" s="17">
        <f t="shared" ref="AI244:AI256" si="204">X244-AD244</f>
        <v>81855016</v>
      </c>
      <c r="AJ244" s="18">
        <f t="shared" ref="AJ244:AJ256" si="205">X244-AG244</f>
        <v>100980508</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+IF(FEBRERO!S245=0,"",FEBRERO!S245)</f>
        <v>8002100-2</v>
      </c>
      <c r="T245" s="55" t="str">
        <f>+IF(FEBRERO!T245=0,"",FEBRERO!T245)</f>
        <v>Programas Especial 01</v>
      </c>
      <c r="U245" s="29">
        <f>+ENERO!U245</f>
        <v>0</v>
      </c>
      <c r="V245" s="17">
        <f>FEBRERO!V245+MARZO!AL245</f>
        <v>0</v>
      </c>
      <c r="W245" s="17">
        <f>FEBRERO!W245+MARZO!AM245</f>
        <v>0</v>
      </c>
      <c r="X245" s="20">
        <f t="shared" si="199"/>
        <v>0</v>
      </c>
      <c r="Y245" s="21">
        <f>FEBRERO!AA245</f>
        <v>0</v>
      </c>
      <c r="Z245" s="457">
        <v>0</v>
      </c>
      <c r="AA245" s="20">
        <f t="shared" si="200"/>
        <v>0</v>
      </c>
      <c r="AB245" s="21">
        <f>FEBRERO!AD245</f>
        <v>0</v>
      </c>
      <c r="AC245" s="457">
        <v>0</v>
      </c>
      <c r="AD245" s="20">
        <f t="shared" si="201"/>
        <v>0</v>
      </c>
      <c r="AE245" s="21">
        <f>FEBRERO!AG245</f>
        <v>0</v>
      </c>
      <c r="AF245" s="457">
        <v>0</v>
      </c>
      <c r="AG245" s="20">
        <f t="shared" si="202"/>
        <v>0</v>
      </c>
      <c r="AH245" s="21">
        <f t="shared" si="203"/>
        <v>0</v>
      </c>
      <c r="AI245" s="17">
        <f t="shared" si="204"/>
        <v>0</v>
      </c>
      <c r="AJ245" s="18">
        <f t="shared" si="205"/>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+IF(FEBRERO!S246=0,"",FEBRERO!S246)</f>
        <v>8002100-3</v>
      </c>
      <c r="T246" s="55" t="str">
        <f>+IF(FEBRERO!T246=0,"",FEBRERO!T246)</f>
        <v>Programas Especial 02</v>
      </c>
      <c r="U246" s="29">
        <f>+ENERO!U246</f>
        <v>0</v>
      </c>
      <c r="V246" s="17">
        <f>FEBRERO!V246+MARZO!AL246</f>
        <v>0</v>
      </c>
      <c r="W246" s="17">
        <f>FEBRERO!W246+MARZO!AM246</f>
        <v>0</v>
      </c>
      <c r="X246" s="20">
        <f t="shared" si="199"/>
        <v>0</v>
      </c>
      <c r="Y246" s="21">
        <f>FEBRERO!AA246</f>
        <v>0</v>
      </c>
      <c r="Z246" s="457">
        <v>0</v>
      </c>
      <c r="AA246" s="20">
        <f t="shared" si="200"/>
        <v>0</v>
      </c>
      <c r="AB246" s="21">
        <f>FEBRERO!AD246</f>
        <v>0</v>
      </c>
      <c r="AC246" s="457">
        <v>0</v>
      </c>
      <c r="AD246" s="20">
        <f t="shared" si="201"/>
        <v>0</v>
      </c>
      <c r="AE246" s="21">
        <f>FEBRERO!AG246</f>
        <v>0</v>
      </c>
      <c r="AF246" s="457">
        <v>0</v>
      </c>
      <c r="AG246" s="20">
        <f t="shared" si="202"/>
        <v>0</v>
      </c>
      <c r="AH246" s="21">
        <f t="shared" si="203"/>
        <v>0</v>
      </c>
      <c r="AI246" s="17">
        <f t="shared" si="204"/>
        <v>0</v>
      </c>
      <c r="AJ246" s="18">
        <f t="shared" si="205"/>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+IF(FEBRERO!S247=0,"",FEBRERO!S247)</f>
        <v>8002100-4</v>
      </c>
      <c r="T247" s="55" t="str">
        <f>+IF(FEBRERO!T247=0,"",FEBRERO!T247)</f>
        <v>Programas Especial 03</v>
      </c>
      <c r="U247" s="29">
        <f>+ENERO!U247</f>
        <v>0</v>
      </c>
      <c r="V247" s="17">
        <f>FEBRERO!V247+MARZO!AL247</f>
        <v>0</v>
      </c>
      <c r="W247" s="17">
        <f>FEBRERO!W247+MARZO!AM247</f>
        <v>0</v>
      </c>
      <c r="X247" s="20">
        <f t="shared" si="199"/>
        <v>0</v>
      </c>
      <c r="Y247" s="21">
        <f>FEBRERO!AA247</f>
        <v>0</v>
      </c>
      <c r="Z247" s="457">
        <v>0</v>
      </c>
      <c r="AA247" s="20">
        <f t="shared" si="200"/>
        <v>0</v>
      </c>
      <c r="AB247" s="21">
        <f>FEBRERO!AD247</f>
        <v>0</v>
      </c>
      <c r="AC247" s="457">
        <v>0</v>
      </c>
      <c r="AD247" s="20">
        <f t="shared" si="201"/>
        <v>0</v>
      </c>
      <c r="AE247" s="21">
        <f>FEBRERO!AG247</f>
        <v>0</v>
      </c>
      <c r="AF247" s="457">
        <v>0</v>
      </c>
      <c r="AG247" s="20">
        <f t="shared" si="202"/>
        <v>0</v>
      </c>
      <c r="AH247" s="21">
        <f t="shared" si="203"/>
        <v>0</v>
      </c>
      <c r="AI247" s="17">
        <f t="shared" si="204"/>
        <v>0</v>
      </c>
      <c r="AJ247" s="18">
        <f t="shared" si="205"/>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+IF(FEBRERO!S248=0,"",FEBRERO!S248)</f>
        <v>8002100-5</v>
      </c>
      <c r="T248" s="55" t="str">
        <f>+IF(FEBRERO!T248=0,"",FEBRERO!T248)</f>
        <v>Programas Especial 04</v>
      </c>
      <c r="U248" s="29">
        <f>+ENERO!U248</f>
        <v>0</v>
      </c>
      <c r="V248" s="17">
        <f>FEBRERO!V248+MARZO!AL248</f>
        <v>0</v>
      </c>
      <c r="W248" s="17">
        <f>FEBRERO!W248+MARZO!AM248</f>
        <v>0</v>
      </c>
      <c r="X248" s="20">
        <f t="shared" si="199"/>
        <v>0</v>
      </c>
      <c r="Y248" s="21">
        <f>FEBRERO!AA248</f>
        <v>0</v>
      </c>
      <c r="Z248" s="457">
        <v>0</v>
      </c>
      <c r="AA248" s="20">
        <f t="shared" si="200"/>
        <v>0</v>
      </c>
      <c r="AB248" s="21">
        <f>FEBRERO!AD248</f>
        <v>0</v>
      </c>
      <c r="AC248" s="457">
        <v>0</v>
      </c>
      <c r="AD248" s="20">
        <f t="shared" si="201"/>
        <v>0</v>
      </c>
      <c r="AE248" s="21">
        <f>FEBRERO!AG248</f>
        <v>0</v>
      </c>
      <c r="AF248" s="457">
        <v>0</v>
      </c>
      <c r="AG248" s="20">
        <f t="shared" si="202"/>
        <v>0</v>
      </c>
      <c r="AH248" s="21">
        <f t="shared" si="203"/>
        <v>0</v>
      </c>
      <c r="AI248" s="17">
        <f t="shared" si="204"/>
        <v>0</v>
      </c>
      <c r="AJ248" s="18">
        <f t="shared" si="205"/>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+IF(FEBRERO!S249=0,"",FEBRERO!S249)</f>
        <v>8002100-6</v>
      </c>
      <c r="T249" s="55" t="str">
        <f>+IF(FEBRERO!T249=0,"",FEBRERO!T249)</f>
        <v>Programas Especial 05</v>
      </c>
      <c r="U249" s="29">
        <f>+ENERO!U249</f>
        <v>0</v>
      </c>
      <c r="V249" s="17">
        <f>FEBRERO!V249+MARZO!AL249</f>
        <v>0</v>
      </c>
      <c r="W249" s="17">
        <f>FEBRERO!W249+MARZO!AM249</f>
        <v>0</v>
      </c>
      <c r="X249" s="20">
        <f t="shared" si="199"/>
        <v>0</v>
      </c>
      <c r="Y249" s="21">
        <f>FEBRERO!AA249</f>
        <v>0</v>
      </c>
      <c r="Z249" s="457">
        <v>0</v>
      </c>
      <c r="AA249" s="20">
        <f t="shared" si="200"/>
        <v>0</v>
      </c>
      <c r="AB249" s="21">
        <f>FEBRERO!AD249</f>
        <v>0</v>
      </c>
      <c r="AC249" s="457">
        <v>0</v>
      </c>
      <c r="AD249" s="20">
        <f t="shared" si="201"/>
        <v>0</v>
      </c>
      <c r="AE249" s="21">
        <f>FEBRERO!AG249</f>
        <v>0</v>
      </c>
      <c r="AF249" s="457">
        <v>0</v>
      </c>
      <c r="AG249" s="20">
        <f t="shared" si="202"/>
        <v>0</v>
      </c>
      <c r="AH249" s="21">
        <f t="shared" si="203"/>
        <v>0</v>
      </c>
      <c r="AI249" s="17">
        <f t="shared" si="204"/>
        <v>0</v>
      </c>
      <c r="AJ249" s="18">
        <f t="shared" si="205"/>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+IF(FEBRERO!S250=0,"",FEBRERO!S250)</f>
        <v>8002100-7</v>
      </c>
      <c r="T250" s="55" t="str">
        <f>+IF(FEBRERO!T250=0,"",FEBRERO!T250)</f>
        <v>Programas Especial 06</v>
      </c>
      <c r="U250" s="29">
        <f>+ENERO!U250</f>
        <v>0</v>
      </c>
      <c r="V250" s="17">
        <f>FEBRERO!V250+MARZO!AL250</f>
        <v>0</v>
      </c>
      <c r="W250" s="17">
        <f>FEBRERO!W250+MARZO!AM250</f>
        <v>0</v>
      </c>
      <c r="X250" s="20">
        <f>SUM(U250:W250)</f>
        <v>0</v>
      </c>
      <c r="Y250" s="21">
        <f>FEBRERO!AA250</f>
        <v>0</v>
      </c>
      <c r="Z250" s="457">
        <v>0</v>
      </c>
      <c r="AA250" s="20">
        <f>SUM(Y250:Z250)</f>
        <v>0</v>
      </c>
      <c r="AB250" s="21">
        <f>FEBRERO!AD250</f>
        <v>0</v>
      </c>
      <c r="AC250" s="457">
        <v>0</v>
      </c>
      <c r="AD250" s="20">
        <f>SUM(AB250:AC250)</f>
        <v>0</v>
      </c>
      <c r="AE250" s="21">
        <f>FEBRERO!AG250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+IF(FEBRERO!S251=0,"",FEBRERO!S251)</f>
        <v>8002100-8</v>
      </c>
      <c r="T251" s="55" t="str">
        <f>+IF(FEBRERO!T251=0,"",FEBRERO!T251)</f>
        <v>Programas Especial 07</v>
      </c>
      <c r="U251" s="29">
        <f>+ENERO!U251</f>
        <v>0</v>
      </c>
      <c r="V251" s="17">
        <f>FEBRERO!V251+MARZO!AL251</f>
        <v>0</v>
      </c>
      <c r="W251" s="17">
        <f>FEBRERO!W251+MARZO!AM251</f>
        <v>0</v>
      </c>
      <c r="X251" s="20">
        <f>SUM(U251:W251)</f>
        <v>0</v>
      </c>
      <c r="Y251" s="21">
        <f>FEBRERO!AA251</f>
        <v>0</v>
      </c>
      <c r="Z251" s="457">
        <v>0</v>
      </c>
      <c r="AA251" s="20">
        <f>SUM(Y251:Z251)</f>
        <v>0</v>
      </c>
      <c r="AB251" s="21">
        <f>FEBRERO!AD251</f>
        <v>0</v>
      </c>
      <c r="AC251" s="457">
        <v>0</v>
      </c>
      <c r="AD251" s="20">
        <f>SUM(AB251:AC251)</f>
        <v>0</v>
      </c>
      <c r="AE251" s="21">
        <f>FEBRERO!AG251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+IF(FEBRERO!S252=0,"",FEBRERO!S252)</f>
        <v>8002100-9</v>
      </c>
      <c r="T252" s="55" t="str">
        <f>+IF(FEBRERO!T252=0,"",FEBRERO!T252)</f>
        <v>Programas Especial 08</v>
      </c>
      <c r="U252" s="29">
        <f>+ENERO!U252</f>
        <v>0</v>
      </c>
      <c r="V252" s="17">
        <f>FEBRERO!V252+MARZO!AL252</f>
        <v>0</v>
      </c>
      <c r="W252" s="17">
        <f>FEBRERO!W252+MARZO!AM252</f>
        <v>0</v>
      </c>
      <c r="X252" s="20">
        <f>SUM(U252:W252)</f>
        <v>0</v>
      </c>
      <c r="Y252" s="21">
        <f>FEBRERO!AA252</f>
        <v>0</v>
      </c>
      <c r="Z252" s="457">
        <v>0</v>
      </c>
      <c r="AA252" s="20">
        <f>SUM(Y252:Z252)</f>
        <v>0</v>
      </c>
      <c r="AB252" s="21">
        <f>FEBRERO!AD252</f>
        <v>0</v>
      </c>
      <c r="AC252" s="457">
        <v>0</v>
      </c>
      <c r="AD252" s="20">
        <f>SUM(AB252:AC252)</f>
        <v>0</v>
      </c>
      <c r="AE252" s="21">
        <f>FEBRERO!AG252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+IF(FEBRERO!S253=0,"",FEBRERO!S253)</f>
        <v>8002100-10</v>
      </c>
      <c r="T253" s="55" t="str">
        <f>+IF(FEBRERO!T253=0,"",FEBRERO!T253)</f>
        <v>Programas Especial 09</v>
      </c>
      <c r="U253" s="29">
        <f>+ENERO!U253</f>
        <v>0</v>
      </c>
      <c r="V253" s="17">
        <f>FEBRERO!V253+MARZO!AL253</f>
        <v>0</v>
      </c>
      <c r="W253" s="17">
        <f>FEBRERO!W253+MARZO!AM253</f>
        <v>0</v>
      </c>
      <c r="X253" s="20">
        <f>SUM(U253:W253)</f>
        <v>0</v>
      </c>
      <c r="Y253" s="21">
        <f>FEBRERO!AA253</f>
        <v>0</v>
      </c>
      <c r="Z253" s="457">
        <v>0</v>
      </c>
      <c r="AA253" s="20">
        <f>SUM(Y253:Z253)</f>
        <v>0</v>
      </c>
      <c r="AB253" s="21">
        <f>FEBRERO!AD253</f>
        <v>0</v>
      </c>
      <c r="AC253" s="457">
        <v>0</v>
      </c>
      <c r="AD253" s="20">
        <f>SUM(AB253:AC253)</f>
        <v>0</v>
      </c>
      <c r="AE253" s="21">
        <f>FEBRERO!AG253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+IF(FEBRERO!S254=0,"",FEBRERO!S254)</f>
        <v>8002100-11</v>
      </c>
      <c r="T254" s="55" t="str">
        <f>+IF(FEBRERO!T254=0,"",FEBRERO!T254)</f>
        <v>Programas Especial 10</v>
      </c>
      <c r="U254" s="29">
        <f>+ENERO!U254</f>
        <v>0</v>
      </c>
      <c r="V254" s="17">
        <f>FEBRERO!V254+MARZO!AL254</f>
        <v>0</v>
      </c>
      <c r="W254" s="17">
        <f>FEBRERO!W254+MARZO!AM254</f>
        <v>0</v>
      </c>
      <c r="X254" s="20">
        <f>SUM(U254:W254)</f>
        <v>0</v>
      </c>
      <c r="Y254" s="21">
        <f>FEBRERO!AA254</f>
        <v>0</v>
      </c>
      <c r="Z254" s="457">
        <v>0</v>
      </c>
      <c r="AA254" s="20">
        <f>SUM(Y254:Z254)</f>
        <v>0</v>
      </c>
      <c r="AB254" s="21">
        <f>FEBRERO!AD254</f>
        <v>0</v>
      </c>
      <c r="AC254" s="457">
        <v>0</v>
      </c>
      <c r="AD254" s="20">
        <f>SUM(AB254:AC254)</f>
        <v>0</v>
      </c>
      <c r="AE254" s="21">
        <f>FEBRERO!AG254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+IF(FEBRERO!S255=0,"",FEBRERO!S255)</f>
        <v>8002100-12</v>
      </c>
      <c r="T255" s="55" t="str">
        <f>+IF(FEBRERO!T255=0,"",FEBRERO!T255)</f>
        <v>Programas Especial 11</v>
      </c>
      <c r="U255" s="29">
        <f>+ENERO!U255</f>
        <v>0</v>
      </c>
      <c r="V255" s="17">
        <f>FEBRERO!V255+MARZO!AL255</f>
        <v>0</v>
      </c>
      <c r="W255" s="17">
        <f>FEBRERO!W255+MARZO!AM255</f>
        <v>0</v>
      </c>
      <c r="X255" s="20">
        <f t="shared" si="199"/>
        <v>0</v>
      </c>
      <c r="Y255" s="21">
        <f>FEBRERO!AA255</f>
        <v>0</v>
      </c>
      <c r="Z255" s="457">
        <v>0</v>
      </c>
      <c r="AA255" s="20">
        <f t="shared" si="200"/>
        <v>0</v>
      </c>
      <c r="AB255" s="21">
        <f>FEBRERO!AD255</f>
        <v>0</v>
      </c>
      <c r="AC255" s="457">
        <v>0</v>
      </c>
      <c r="AD255" s="20">
        <f t="shared" si="201"/>
        <v>0</v>
      </c>
      <c r="AE255" s="21">
        <f>FEBRERO!AG255</f>
        <v>0</v>
      </c>
      <c r="AF255" s="457">
        <v>0</v>
      </c>
      <c r="AG255" s="20">
        <f t="shared" si="202"/>
        <v>0</v>
      </c>
      <c r="AH255" s="21">
        <f t="shared" si="203"/>
        <v>0</v>
      </c>
      <c r="AI255" s="17">
        <f t="shared" si="204"/>
        <v>0</v>
      </c>
      <c r="AJ255" s="18">
        <f t="shared" si="205"/>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+IF(FEBRERO!S256=0,"",FEBRERO!S256)</f>
        <v>8002999</v>
      </c>
      <c r="T256" s="658" t="str">
        <f>+IF(FEBRERO!T256=0,"",FEBRERO!T256)</f>
        <v>Vigencias Anteriores</v>
      </c>
      <c r="U256" s="160">
        <f>+ENERO!U256</f>
        <v>1563100</v>
      </c>
      <c r="V256" s="143">
        <f>FEBRERO!V256+MARZO!AL256</f>
        <v>-1563100</v>
      </c>
      <c r="W256" s="143">
        <f>FEBRERO!W256+MARZO!AM256</f>
        <v>0</v>
      </c>
      <c r="X256" s="149">
        <f t="shared" si="199"/>
        <v>0</v>
      </c>
      <c r="Y256" s="147">
        <f>FEBRERO!AA256</f>
        <v>0</v>
      </c>
      <c r="Z256" s="475">
        <v>0</v>
      </c>
      <c r="AA256" s="149">
        <f t="shared" si="200"/>
        <v>0</v>
      </c>
      <c r="AB256" s="147">
        <f>FEBRERO!AD256</f>
        <v>0</v>
      </c>
      <c r="AC256" s="475">
        <v>0</v>
      </c>
      <c r="AD256" s="149">
        <f t="shared" si="201"/>
        <v>0</v>
      </c>
      <c r="AE256" s="147">
        <f>FEBRERO!AG256</f>
        <v>0</v>
      </c>
      <c r="AF256" s="475">
        <v>0</v>
      </c>
      <c r="AG256" s="149">
        <f t="shared" si="202"/>
        <v>0</v>
      </c>
      <c r="AH256" s="147">
        <f t="shared" si="203"/>
        <v>0</v>
      </c>
      <c r="AI256" s="143">
        <f t="shared" si="204"/>
        <v>0</v>
      </c>
      <c r="AJ256" s="148">
        <f t="shared" si="205"/>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+IF(FEBRERO!S257=0,"",FEBRERO!S257)</f>
        <v/>
      </c>
      <c r="T257" s="357" t="str">
        <f>+IF(FEBRERO!T257=0,"",FEBRERO!T257)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+IF(FEBRERO!S258=0,"",FEBRERO!S258)</f>
        <v>E</v>
      </c>
      <c r="T258" s="664" t="str">
        <f>+IF(FEBRERO!T258=0,"",FEBRERO!T258)</f>
        <v>DISPONIBILIDAD FINAL</v>
      </c>
      <c r="U258" s="415">
        <f>+(C10+C17+C108)-(U10+U207+U220+U232)</f>
        <v>0</v>
      </c>
      <c r="V258" s="415">
        <f t="shared" ref="V258:AJ258" si="206">+(D10+D17+D108)-(V10+V207+V220+V232)</f>
        <v>0</v>
      </c>
      <c r="W258" s="415">
        <f t="shared" si="206"/>
        <v>0</v>
      </c>
      <c r="X258" s="415">
        <f t="shared" si="206"/>
        <v>0</v>
      </c>
      <c r="Y258" s="415">
        <f t="shared" si="206"/>
        <v>83073630</v>
      </c>
      <c r="Z258" s="415">
        <f t="shared" si="206"/>
        <v>142840219</v>
      </c>
      <c r="AA258" s="415">
        <f t="shared" si="206"/>
        <v>225913849</v>
      </c>
      <c r="AB258" s="415">
        <f t="shared" si="206"/>
        <v>-32708794</v>
      </c>
      <c r="AC258" s="415">
        <f t="shared" si="206"/>
        <v>80552020</v>
      </c>
      <c r="AD258" s="415">
        <f t="shared" si="206"/>
        <v>47843226</v>
      </c>
      <c r="AE258" s="415">
        <f t="shared" si="206"/>
        <v>2015648012</v>
      </c>
      <c r="AF258" s="415">
        <f t="shared" si="206"/>
        <v>2435179796</v>
      </c>
      <c r="AG258" s="415">
        <f t="shared" si="206"/>
        <v>-758585054</v>
      </c>
      <c r="AH258" s="415">
        <f t="shared" si="206"/>
        <v>-2741570668</v>
      </c>
      <c r="AI258" s="415">
        <f t="shared" si="206"/>
        <v>-2716150201</v>
      </c>
      <c r="AJ258" s="415">
        <f t="shared" si="206"/>
        <v>-2931439141</v>
      </c>
      <c r="AK258" s="10"/>
      <c r="AL258" s="415">
        <v>0</v>
      </c>
      <c r="AM258" s="416">
        <v>0</v>
      </c>
    </row>
    <row r="259" spans="1:39" ht="17.25" thickBot="1" x14ac:dyDescent="0.25">
      <c r="S259" s="982" t="str">
        <f>+IF(FEBRERO!S259=0,"",FEBRERO!S259)</f>
        <v>TOTAL VIGENCIAS ANTERIORES</v>
      </c>
      <c r="T259" s="983"/>
      <c r="U259" s="145">
        <f t="shared" ref="U259:AJ259" si="207">+SUMIF($T$8:$T$256,$T$33,U8:U256)</f>
        <v>91581965</v>
      </c>
      <c r="V259" s="133">
        <f t="shared" si="207"/>
        <v>20797411</v>
      </c>
      <c r="W259" s="133">
        <f t="shared" si="207"/>
        <v>33540115</v>
      </c>
      <c r="X259" s="146">
        <f t="shared" si="207"/>
        <v>145919491</v>
      </c>
      <c r="Y259" s="145">
        <f t="shared" si="207"/>
        <v>145453491</v>
      </c>
      <c r="Z259" s="133">
        <f t="shared" si="207"/>
        <v>0</v>
      </c>
      <c r="AA259" s="146">
        <f t="shared" si="207"/>
        <v>145453491</v>
      </c>
      <c r="AB259" s="145">
        <f t="shared" si="207"/>
        <v>145453491</v>
      </c>
      <c r="AC259" s="133">
        <f t="shared" si="207"/>
        <v>0</v>
      </c>
      <c r="AD259" s="146">
        <f t="shared" si="207"/>
        <v>145453491</v>
      </c>
      <c r="AE259" s="145">
        <f t="shared" si="207"/>
        <v>105624026</v>
      </c>
      <c r="AF259" s="133">
        <f t="shared" si="207"/>
        <v>23350944</v>
      </c>
      <c r="AG259" s="146">
        <f t="shared" si="207"/>
        <v>128974970</v>
      </c>
      <c r="AH259" s="145">
        <f t="shared" si="207"/>
        <v>466000</v>
      </c>
      <c r="AI259" s="133">
        <f t="shared" si="207"/>
        <v>466000</v>
      </c>
      <c r="AJ259" s="134">
        <f t="shared" si="207"/>
        <v>16944521</v>
      </c>
      <c r="AK259" s="12"/>
      <c r="AL259" s="145">
        <f>+SUMIF(AK8:AK256,AK33,AL8:AL256)</f>
        <v>0</v>
      </c>
      <c r="AM259" s="134">
        <f>+SUMIF(AL8:AL256,AL33,AM8:AM256)</f>
        <v>157694408</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x14ac:dyDescent="0.2"/>
  </sheetData>
  <sheetProtection password="C637" sheet="1" objects="1" scenarios="1" formatCell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78740157480314965" right="0.59055118110236227" top="0.59055118110236227" bottom="0.39370078740157483" header="0.23622047244094491" footer="0.23622047244094491"/>
  <pageSetup paperSize="5"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0"/>
  <sheetViews>
    <sheetView showGridLines="0" topLeftCell="Z1" zoomScale="88" zoomScaleNormal="88"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tr">
        <f>+ENERO!B2</f>
        <v>SECRETARIA SECCIONAL DE SALUD DE ANTIOQUIA</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4</v>
      </c>
      <c r="AP2" s="349" t="s">
        <v>8</v>
      </c>
      <c r="AQ2" s="350"/>
      <c r="AR2" s="4"/>
      <c r="AS2" s="4"/>
      <c r="AT2" s="4"/>
      <c r="AU2" s="4"/>
      <c r="AV2" s="4"/>
      <c r="AW2" s="4"/>
      <c r="AX2" s="4"/>
      <c r="AY2" s="4"/>
      <c r="AZ2" s="5"/>
      <c r="BB2" s="952" t="s">
        <v>423</v>
      </c>
      <c r="BC2" s="969"/>
      <c r="BD2" s="69" t="s">
        <v>409</v>
      </c>
      <c r="BE2" s="347" t="str">
        <f>+L3</f>
        <v>ABRIL</v>
      </c>
      <c r="BF2" s="340"/>
      <c r="BG2" s="952" t="s">
        <v>424</v>
      </c>
      <c r="BH2" s="969"/>
      <c r="BI2" s="969"/>
      <c r="BJ2" s="69" t="s">
        <v>409</v>
      </c>
      <c r="BK2" s="347" t="str">
        <f>+BE2</f>
        <v>ABRIL</v>
      </c>
      <c r="BM2" s="952" t="s">
        <v>424</v>
      </c>
      <c r="BN2" s="969"/>
      <c r="BO2" s="969"/>
      <c r="BP2" s="69" t="s">
        <v>409</v>
      </c>
      <c r="BQ2" s="347" t="str">
        <f>+BK2</f>
        <v>ABRIL</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388</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ABRIL</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ABRIL</v>
      </c>
      <c r="AS6" s="387" t="str">
        <f>AR6</f>
        <v>ABRIL</v>
      </c>
      <c r="AT6" s="387" t="str">
        <f>AR6</f>
        <v>ABRIL</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120306170</v>
      </c>
      <c r="AS7" s="401">
        <f>L22</f>
        <v>32043384</v>
      </c>
      <c r="AT7" s="15"/>
      <c r="AU7" s="402">
        <f t="shared" ref="AU7:AU17" si="0">IF(AQ7=0," ",AR7/AQ7)</f>
        <v>0.51098814951407345</v>
      </c>
      <c r="AV7" s="402">
        <f t="shared" ref="AV7:AV17" si="1">IF(AQ7=0," ",AS7/AQ7)</f>
        <v>0.13610099543796358</v>
      </c>
      <c r="AW7" s="401">
        <f>I23/AO$2*12+I24</f>
        <v>302280320</v>
      </c>
      <c r="AX7" s="401">
        <f>L23/AO$2*12+L24</f>
        <v>37491962</v>
      </c>
      <c r="AY7" s="401">
        <f t="shared" ref="AY7:AY16" si="2">AW7-AQ7</f>
        <v>66842042</v>
      </c>
      <c r="AZ7" s="403">
        <f t="shared" ref="AZ7:AZ16" si="3">AX7-AQ7</f>
        <v>-197946316</v>
      </c>
      <c r="BB7" s="404" t="s">
        <v>55</v>
      </c>
      <c r="BC7" s="72">
        <f>F10</f>
        <v>133074115</v>
      </c>
      <c r="BD7" s="73">
        <f>I10</f>
        <v>133074115</v>
      </c>
      <c r="BE7" s="74">
        <f>K10</f>
        <v>0</v>
      </c>
      <c r="BF7" s="75"/>
      <c r="BG7" s="109" t="s">
        <v>56</v>
      </c>
      <c r="BH7" s="135">
        <f>+SUM(BH8:BH11)</f>
        <v>3095428778</v>
      </c>
      <c r="BI7" s="135">
        <f>+SUM(BI8:BI11)</f>
        <v>907193633</v>
      </c>
      <c r="BJ7" s="135">
        <f>+SUM(BJ8:BJ11)</f>
        <v>907192032</v>
      </c>
      <c r="BK7" s="135">
        <f>+SUM(BK8:BK11)</f>
        <v>196044777</v>
      </c>
      <c r="BM7" s="79" t="s">
        <v>56</v>
      </c>
      <c r="BN7" s="80">
        <f>BN8+BN15+BN22</f>
        <v>3095428778</v>
      </c>
      <c r="BO7" s="81">
        <f>BO8+BO15+BO22</f>
        <v>907193633</v>
      </c>
      <c r="BP7" s="81">
        <f>BP8+BP15+BP22</f>
        <v>907192032</v>
      </c>
      <c r="BQ7" s="82">
        <f>BQ8+BQ15+BQ22</f>
        <v>196044777</v>
      </c>
    </row>
    <row r="8" spans="1:69" s="10" customFormat="1" ht="24" thickBot="1" x14ac:dyDescent="0.3">
      <c r="A8" s="405">
        <f>+IF(MARZO!A8=0,"",MARZO!A8)</f>
        <v>1</v>
      </c>
      <c r="B8" s="670" t="str">
        <f>+IF(MARZO!B8=0,"",MARZO!B8)</f>
        <v>INGRESOS</v>
      </c>
      <c r="C8" s="407">
        <f>C10+C17+C108</f>
        <v>3631501012</v>
      </c>
      <c r="D8" s="407">
        <f t="shared" ref="D8:N8" si="4">D10+D17+D108</f>
        <v>0</v>
      </c>
      <c r="E8" s="407">
        <f t="shared" si="4"/>
        <v>58523183</v>
      </c>
      <c r="F8" s="407">
        <f t="shared" si="4"/>
        <v>3690024195</v>
      </c>
      <c r="G8" s="407">
        <f t="shared" si="4"/>
        <v>1174367376</v>
      </c>
      <c r="H8" s="407">
        <f t="shared" si="4"/>
        <v>339492489</v>
      </c>
      <c r="I8" s="407">
        <f t="shared" si="4"/>
        <v>1513859865</v>
      </c>
      <c r="J8" s="407">
        <f t="shared" si="4"/>
        <v>996268152</v>
      </c>
      <c r="K8" s="407">
        <f t="shared" si="4"/>
        <v>266168717</v>
      </c>
      <c r="L8" s="407">
        <f t="shared" si="4"/>
        <v>1262436869</v>
      </c>
      <c r="M8" s="407">
        <f t="shared" si="4"/>
        <v>2176164330</v>
      </c>
      <c r="N8" s="408">
        <f t="shared" si="4"/>
        <v>2427587326</v>
      </c>
      <c r="O8" s="409"/>
      <c r="P8" s="410">
        <f>P10+P17+P108</f>
        <v>0</v>
      </c>
      <c r="Q8" s="408">
        <f>Q10+Q17+Q108</f>
        <v>0</v>
      </c>
      <c r="S8" s="206" t="str">
        <f>+IF(MARZO!S8=0,"",MARZO!S8)</f>
        <v/>
      </c>
      <c r="T8" s="411" t="str">
        <f>+IF(MARZO!T8=0,"",MARZO!T8)</f>
        <v>GASTOS</v>
      </c>
      <c r="U8" s="412">
        <f t="shared" ref="U8:AM8" si="5">U10+U207+U220+U232</f>
        <v>3631501012</v>
      </c>
      <c r="V8" s="413">
        <f t="shared" si="5"/>
        <v>0</v>
      </c>
      <c r="W8" s="413">
        <f t="shared" si="5"/>
        <v>58523183</v>
      </c>
      <c r="X8" s="414">
        <f t="shared" si="5"/>
        <v>3690024195</v>
      </c>
      <c r="Y8" s="415">
        <f t="shared" si="5"/>
        <v>948453527</v>
      </c>
      <c r="Z8" s="413">
        <f t="shared" si="5"/>
        <v>258195646</v>
      </c>
      <c r="AA8" s="414">
        <f t="shared" si="5"/>
        <v>1206649173</v>
      </c>
      <c r="AB8" s="415">
        <f t="shared" si="5"/>
        <v>948424926</v>
      </c>
      <c r="AC8" s="413">
        <f t="shared" si="5"/>
        <v>258195645</v>
      </c>
      <c r="AD8" s="414">
        <f t="shared" si="5"/>
        <v>1206620571</v>
      </c>
      <c r="AE8" s="415">
        <f t="shared" si="5"/>
        <v>758585054</v>
      </c>
      <c r="AF8" s="413">
        <f t="shared" si="5"/>
        <v>237896148</v>
      </c>
      <c r="AG8" s="414">
        <f t="shared" si="5"/>
        <v>996481202</v>
      </c>
      <c r="AH8" s="415">
        <f t="shared" si="5"/>
        <v>2483375022</v>
      </c>
      <c r="AI8" s="413">
        <f t="shared" si="5"/>
        <v>2483403624</v>
      </c>
      <c r="AJ8" s="416">
        <f t="shared" si="5"/>
        <v>2693542993</v>
      </c>
      <c r="AL8" s="417">
        <f t="shared" si="5"/>
        <v>0</v>
      </c>
      <c r="AM8" s="418">
        <f t="shared" si="5"/>
        <v>0</v>
      </c>
      <c r="AO8" s="23"/>
      <c r="AP8" s="13" t="s">
        <v>58</v>
      </c>
      <c r="AQ8" s="14">
        <f>F25</f>
        <v>2553198704</v>
      </c>
      <c r="AR8" s="14">
        <f>I25</f>
        <v>980676358</v>
      </c>
      <c r="AS8" s="14">
        <f>L25</f>
        <v>851156260</v>
      </c>
      <c r="AT8" s="15"/>
      <c r="AU8" s="419">
        <f t="shared" si="0"/>
        <v>0.38409715486053292</v>
      </c>
      <c r="AV8" s="419">
        <f t="shared" si="1"/>
        <v>0.33336859315592071</v>
      </c>
      <c r="AW8" s="14">
        <f>I26/AO$2*12+I27</f>
        <v>2609970838</v>
      </c>
      <c r="AX8" s="14">
        <f>L26/AO$2*12+L27</f>
        <v>2221410544</v>
      </c>
      <c r="AY8" s="14">
        <f t="shared" si="2"/>
        <v>56772134</v>
      </c>
      <c r="AZ8" s="420">
        <f t="shared" si="3"/>
        <v>-331788160</v>
      </c>
      <c r="BB8" s="167" t="s">
        <v>59</v>
      </c>
      <c r="BC8" s="83">
        <f>BC9+BC19</f>
        <v>3390927588</v>
      </c>
      <c r="BD8" s="84">
        <f>BD9+BD19</f>
        <v>1150097986</v>
      </c>
      <c r="BE8" s="85">
        <f>BE9+BE19</f>
        <v>215719311</v>
      </c>
      <c r="BF8" s="75"/>
      <c r="BG8" s="86" t="s">
        <v>60</v>
      </c>
      <c r="BH8" s="87">
        <f>BN9+BN13</f>
        <v>2162482035</v>
      </c>
      <c r="BI8" s="87">
        <f>BO9+BO13</f>
        <v>686561004</v>
      </c>
      <c r="BJ8" s="87">
        <f>BP9+BP13</f>
        <v>686561004</v>
      </c>
      <c r="BK8" s="87">
        <f>BQ9+BQ13</f>
        <v>144503527</v>
      </c>
      <c r="BM8" s="89" t="s">
        <v>61</v>
      </c>
      <c r="BN8" s="90">
        <f>BN9+BN14+BN13</f>
        <v>2338916990</v>
      </c>
      <c r="BO8" s="87">
        <f>BO9+BO14+BO13</f>
        <v>718192442</v>
      </c>
      <c r="BP8" s="87">
        <f>BP9+BP14+BP13</f>
        <v>718190842</v>
      </c>
      <c r="BQ8" s="88">
        <f>BQ9+BQ14+BQ13</f>
        <v>152914548</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32025005</v>
      </c>
      <c r="AS9" s="14">
        <f>L28+L75</f>
        <v>32025005</v>
      </c>
      <c r="AT9" s="15"/>
      <c r="AU9" s="429">
        <f t="shared" si="0"/>
        <v>29.113640909090908</v>
      </c>
      <c r="AV9" s="429">
        <f t="shared" si="1"/>
        <v>29.113640909090908</v>
      </c>
      <c r="AW9" s="430">
        <f>(I30+I33+I36+I76)/AO$2*12+I31+I34+I37+I38+I39+I40+I77</f>
        <v>96075015</v>
      </c>
      <c r="AX9" s="430">
        <f>(L30+L33+L36+L76)/AO$2*12+L31+L34+L37+L38+L39+L40+L77</f>
        <v>96075015</v>
      </c>
      <c r="AY9" s="430">
        <f t="shared" si="2"/>
        <v>94975015</v>
      </c>
      <c r="AZ9" s="431">
        <f t="shared" si="3"/>
        <v>94975015</v>
      </c>
      <c r="BB9" s="432" t="s">
        <v>456</v>
      </c>
      <c r="BC9" s="91">
        <f>BC10+BC18</f>
        <v>3275748559</v>
      </c>
      <c r="BD9" s="92">
        <f>BD10+BD18</f>
        <v>1078198370</v>
      </c>
      <c r="BE9" s="93">
        <f>BE10+BE18</f>
        <v>211184823</v>
      </c>
      <c r="BF9" s="94"/>
      <c r="BG9" s="95" t="s">
        <v>64</v>
      </c>
      <c r="BH9" s="96">
        <f t="shared" ref="BH9:BK10" si="6">BN14</f>
        <v>176434955</v>
      </c>
      <c r="BI9" s="96">
        <f t="shared" si="6"/>
        <v>31631438</v>
      </c>
      <c r="BJ9" s="96">
        <f t="shared" si="6"/>
        <v>31629838</v>
      </c>
      <c r="BK9" s="96">
        <f t="shared" si="6"/>
        <v>8411021</v>
      </c>
      <c r="BM9" s="164" t="s">
        <v>65</v>
      </c>
      <c r="BN9" s="98">
        <f>SUM(BN10:BN12)</f>
        <v>1595742067</v>
      </c>
      <c r="BO9" s="96">
        <f>SUM(BO10:BO12)</f>
        <v>470795725</v>
      </c>
      <c r="BP9" s="96">
        <f>SUM(BP10:BP12)</f>
        <v>470795725</v>
      </c>
      <c r="BQ9" s="97">
        <f>SUM(BQ10:BQ12)</f>
        <v>113110046</v>
      </c>
    </row>
    <row r="10" spans="1:69" s="10" customFormat="1" ht="19.5" x14ac:dyDescent="0.2">
      <c r="A10" s="433">
        <f>+IF(MARZO!A10=0,"",MARZO!A10)</f>
        <v>10</v>
      </c>
      <c r="B10" s="434" t="str">
        <f>+IF(MARZO!B10=0,"",MARZO!B10)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+IF(MARZO!S10=0,"",MARZO!S10)</f>
        <v>A</v>
      </c>
      <c r="T10" s="439" t="str">
        <f>+IF(MARZO!T10=0,"",MARZO!T10)</f>
        <v>GASTOS DE FUNCIONAMIENTO</v>
      </c>
      <c r="U10" s="440">
        <f t="shared" ref="U10:AJ10" si="8">U12+U110+U170+U193</f>
        <v>3509937912</v>
      </c>
      <c r="V10" s="441">
        <f t="shared" si="8"/>
        <v>1563100</v>
      </c>
      <c r="W10" s="441">
        <f t="shared" si="8"/>
        <v>58523183</v>
      </c>
      <c r="X10" s="444">
        <f t="shared" si="8"/>
        <v>3570024195</v>
      </c>
      <c r="Y10" s="443">
        <f t="shared" si="8"/>
        <v>910308543</v>
      </c>
      <c r="Z10" s="441">
        <f t="shared" si="8"/>
        <v>240886154</v>
      </c>
      <c r="AA10" s="444">
        <f t="shared" si="8"/>
        <v>1151194697</v>
      </c>
      <c r="AB10" s="443">
        <f t="shared" si="8"/>
        <v>910279942</v>
      </c>
      <c r="AC10" s="441">
        <f t="shared" si="8"/>
        <v>240886153</v>
      </c>
      <c r="AD10" s="444">
        <f t="shared" si="8"/>
        <v>1151166095</v>
      </c>
      <c r="AE10" s="443">
        <f t="shared" si="8"/>
        <v>739565562</v>
      </c>
      <c r="AF10" s="441">
        <f t="shared" si="8"/>
        <v>220586656</v>
      </c>
      <c r="AG10" s="444">
        <f t="shared" si="8"/>
        <v>960152218</v>
      </c>
      <c r="AH10" s="443">
        <f t="shared" si="8"/>
        <v>2418829498</v>
      </c>
      <c r="AI10" s="441">
        <f t="shared" si="8"/>
        <v>2418858100</v>
      </c>
      <c r="AJ10" s="442">
        <f t="shared" si="8"/>
        <v>2609871977</v>
      </c>
      <c r="AL10" s="445">
        <f>AL12+AL110+AL170+AL193</f>
        <v>0</v>
      </c>
      <c r="AM10" s="446">
        <f>AM12+AM110+AM170+AM193</f>
        <v>0</v>
      </c>
      <c r="AO10" s="428"/>
      <c r="AP10" s="13" t="s">
        <v>67</v>
      </c>
      <c r="AQ10" s="14">
        <f>F42</f>
        <v>125397398</v>
      </c>
      <c r="AR10" s="14">
        <f>I42</f>
        <v>20035054</v>
      </c>
      <c r="AS10" s="14">
        <f>L42</f>
        <v>10017527</v>
      </c>
      <c r="AT10" s="15"/>
      <c r="AU10" s="429">
        <f t="shared" si="0"/>
        <v>0.15977248586928414</v>
      </c>
      <c r="AV10" s="429">
        <f t="shared" si="1"/>
        <v>7.9886242934642068E-2</v>
      </c>
      <c r="AW10" s="430">
        <f>I43/AO$2*12+I44</f>
        <v>60105162</v>
      </c>
      <c r="AX10" s="430">
        <f>L43/AO$2*12+L44</f>
        <v>30052581</v>
      </c>
      <c r="AY10" s="430">
        <f t="shared" si="2"/>
        <v>-65292236</v>
      </c>
      <c r="AZ10" s="431">
        <f t="shared" si="3"/>
        <v>-95344817</v>
      </c>
      <c r="BB10" s="447" t="s">
        <v>457</v>
      </c>
      <c r="BC10" s="91">
        <f>BC11+BC12+BC13+BC14+BC16+BC17+BC15</f>
        <v>3023223118</v>
      </c>
      <c r="BD10" s="92">
        <f>BD11+BD12+BD13+BD14+BD16+BD17+BD15</f>
        <v>994023223</v>
      </c>
      <c r="BE10" s="93">
        <f>BE11+BE12+BE13+BE14+BE16+BE17+BE15</f>
        <v>190141036</v>
      </c>
      <c r="BF10" s="94"/>
      <c r="BG10" s="86" t="s">
        <v>68</v>
      </c>
      <c r="BH10" s="99">
        <f t="shared" si="6"/>
        <v>558744299</v>
      </c>
      <c r="BI10" s="99">
        <f t="shared" si="6"/>
        <v>150468600</v>
      </c>
      <c r="BJ10" s="99">
        <f t="shared" si="6"/>
        <v>150468599</v>
      </c>
      <c r="BK10" s="99">
        <f t="shared" si="6"/>
        <v>35940439</v>
      </c>
      <c r="BM10" s="161" t="s">
        <v>470</v>
      </c>
      <c r="BN10" s="101">
        <f>X17+X66</f>
        <v>1269481968</v>
      </c>
      <c r="BO10" s="99">
        <f>AA17+AA66</f>
        <v>421424201</v>
      </c>
      <c r="BP10" s="99">
        <f>AD17+AD66</f>
        <v>421424201</v>
      </c>
      <c r="BQ10" s="100">
        <f>AF17+AF66</f>
        <v>102295571</v>
      </c>
    </row>
    <row r="11" spans="1:69" s="10" customFormat="1" ht="19.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0.33333333333333331</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814647240</v>
      </c>
      <c r="BE11" s="93">
        <f>K26</f>
        <v>173698494</v>
      </c>
      <c r="BF11" s="94"/>
      <c r="BG11" s="86" t="s">
        <v>69</v>
      </c>
      <c r="BH11" s="102">
        <f>BN22</f>
        <v>197767489</v>
      </c>
      <c r="BI11" s="102">
        <f>BO22</f>
        <v>38532591</v>
      </c>
      <c r="BJ11" s="102">
        <f>BP22</f>
        <v>38532591</v>
      </c>
      <c r="BK11" s="102">
        <f>BQ22</f>
        <v>7189790</v>
      </c>
      <c r="BM11" s="162" t="s">
        <v>471</v>
      </c>
      <c r="BN11" s="104">
        <f>X18+X67</f>
        <v>136976782</v>
      </c>
      <c r="BO11" s="102">
        <f>AA18+AA67</f>
        <v>33430230</v>
      </c>
      <c r="BP11" s="102">
        <f>AD18+AD67</f>
        <v>33430230</v>
      </c>
      <c r="BQ11" s="103">
        <f>AF18+AF67</f>
        <v>8986224</v>
      </c>
    </row>
    <row r="12" spans="1:69" s="10" customFormat="1" ht="25.5" x14ac:dyDescent="0.2">
      <c r="A12" s="203">
        <f>+IF(MARZO!A12=0,"",MARZO!A12)</f>
        <v>1001</v>
      </c>
      <c r="B12" s="251" t="str">
        <f>+IF(MARZO!B12=0,"",MARZO!B12)</f>
        <v>Bienestar Social (Caja, Bancos, Inversiones Tempor.) a Dic-31-2013</v>
      </c>
      <c r="C12" s="283">
        <f>+ENERO!C12</f>
        <v>0</v>
      </c>
      <c r="D12" s="456">
        <f>MARZO!D12+ABRIL!P12</f>
        <v>0</v>
      </c>
      <c r="E12" s="456">
        <f>MARZO!E12+ABRIL!Q12</f>
        <v>0</v>
      </c>
      <c r="F12" s="170">
        <f>SUM(C12:E12)</f>
        <v>0</v>
      </c>
      <c r="G12" s="283">
        <f>MARZO!I12</f>
        <v>0</v>
      </c>
      <c r="H12" s="154">
        <v>0</v>
      </c>
      <c r="I12" s="170">
        <f>SUM(G12:H12)</f>
        <v>0</v>
      </c>
      <c r="J12" s="283">
        <f>MARZO!L12</f>
        <v>0</v>
      </c>
      <c r="K12" s="154">
        <v>0</v>
      </c>
      <c r="L12" s="170">
        <f>SUM(J12:K12)</f>
        <v>0</v>
      </c>
      <c r="M12" s="283">
        <f>F12-I12</f>
        <v>0</v>
      </c>
      <c r="N12" s="170">
        <f>F12-L12</f>
        <v>0</v>
      </c>
      <c r="O12" s="365"/>
      <c r="P12" s="455">
        <v>0</v>
      </c>
      <c r="Q12" s="458">
        <v>0</v>
      </c>
      <c r="S12" s="459">
        <f>+IF(MARZO!S12=0,"",MARZO!S12)</f>
        <v>1000000</v>
      </c>
      <c r="T12" s="460" t="str">
        <f>+IF(MARZO!T12=0,"",MARZO!T12)</f>
        <v>GASTOS DE PERSONAL</v>
      </c>
      <c r="U12" s="461">
        <f t="shared" ref="U12:AJ12" si="9">U14+U63</f>
        <v>2360005696</v>
      </c>
      <c r="V12" s="462">
        <f t="shared" si="9"/>
        <v>0</v>
      </c>
      <c r="W12" s="462">
        <f t="shared" si="9"/>
        <v>19989110</v>
      </c>
      <c r="X12" s="463">
        <f t="shared" si="9"/>
        <v>2379994806</v>
      </c>
      <c r="Y12" s="445">
        <f t="shared" si="9"/>
        <v>606215803</v>
      </c>
      <c r="Z12" s="462">
        <f t="shared" si="9"/>
        <v>152589455</v>
      </c>
      <c r="AA12" s="463">
        <f t="shared" si="9"/>
        <v>758805258</v>
      </c>
      <c r="AB12" s="445">
        <f t="shared" si="9"/>
        <v>606214203</v>
      </c>
      <c r="AC12" s="462">
        <f t="shared" si="9"/>
        <v>152589455</v>
      </c>
      <c r="AD12" s="463">
        <f t="shared" si="9"/>
        <v>758803658</v>
      </c>
      <c r="AE12" s="445">
        <f t="shared" si="9"/>
        <v>548908967</v>
      </c>
      <c r="AF12" s="462">
        <f t="shared" si="9"/>
        <v>153894890</v>
      </c>
      <c r="AG12" s="463">
        <f t="shared" si="9"/>
        <v>702803857</v>
      </c>
      <c r="AH12" s="445">
        <f t="shared" si="9"/>
        <v>1621189548</v>
      </c>
      <c r="AI12" s="462">
        <f t="shared" si="9"/>
        <v>1621191148</v>
      </c>
      <c r="AJ12" s="446">
        <f t="shared" si="9"/>
        <v>1677190949</v>
      </c>
      <c r="AK12" s="12"/>
      <c r="AL12" s="464">
        <f>AL14+AL63</f>
        <v>0</v>
      </c>
      <c r="AM12" s="465">
        <f>AM14+AM63</f>
        <v>0</v>
      </c>
      <c r="AO12" s="453"/>
      <c r="AP12" s="717"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90987075</v>
      </c>
      <c r="BE12" s="93">
        <f>K23</f>
        <v>1505467</v>
      </c>
      <c r="BF12" s="94"/>
      <c r="BG12" s="466" t="s">
        <v>412</v>
      </c>
      <c r="BH12" s="102">
        <f>BN25</f>
        <v>328675926</v>
      </c>
      <c r="BI12" s="17">
        <f>BO25</f>
        <v>98547573</v>
      </c>
      <c r="BJ12" s="102">
        <f>BP25</f>
        <v>98520572</v>
      </c>
      <c r="BK12" s="102">
        <f>BQ25</f>
        <v>18456499</v>
      </c>
      <c r="BM12" s="163" t="s">
        <v>472</v>
      </c>
      <c r="BN12" s="104">
        <f>X16+X65-X81-X33-BN10-BN11</f>
        <v>189283317</v>
      </c>
      <c r="BO12" s="102">
        <f>AA16+AA65-AA81-AA33-BO10-BO11</f>
        <v>15941294</v>
      </c>
      <c r="BP12" s="102">
        <f>AD16+AD65-AD81-AD33-BP10-BP11</f>
        <v>15941294</v>
      </c>
      <c r="BQ12" s="103">
        <f>AF16+AF65-AF81-AF33-BQ10-BQ11</f>
        <v>1828251</v>
      </c>
    </row>
    <row r="13" spans="1:69" s="10" customFormat="1" ht="26.25" customHeight="1" x14ac:dyDescent="0.25">
      <c r="A13" s="203">
        <f>+IF(MARZO!A13=0,"",MARZO!A13)</f>
        <v>1002</v>
      </c>
      <c r="B13" s="251" t="str">
        <f>+IF(MARZO!B13=0,"",MARZO!B13)</f>
        <v>Fondo Vivienda (Caja, Bancos, Inversiones Tempor.) a Dic-31-2013</v>
      </c>
      <c r="C13" s="283">
        <f>+ENERO!C13</f>
        <v>0</v>
      </c>
      <c r="D13" s="456">
        <f>MARZO!D13+ABRIL!P13</f>
        <v>0</v>
      </c>
      <c r="E13" s="456">
        <f>MARZO!E13+ABRIL!Q13</f>
        <v>0</v>
      </c>
      <c r="F13" s="170">
        <f>SUM(C13:E13)</f>
        <v>0</v>
      </c>
      <c r="G13" s="283">
        <f>MARZO!I13</f>
        <v>0</v>
      </c>
      <c r="H13" s="154">
        <v>0</v>
      </c>
      <c r="I13" s="170">
        <f>SUM(G13:H13)</f>
        <v>0</v>
      </c>
      <c r="J13" s="283">
        <f>MARZO!L13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120000000</v>
      </c>
      <c r="BI13" s="102">
        <f t="shared" si="10"/>
        <v>55454476</v>
      </c>
      <c r="BJ13" s="102">
        <f t="shared" si="10"/>
        <v>55454476</v>
      </c>
      <c r="BK13" s="102">
        <f t="shared" si="10"/>
        <v>17309492</v>
      </c>
      <c r="BM13" s="166" t="s">
        <v>473</v>
      </c>
      <c r="BN13" s="101">
        <f>X43-X55+X57-X61+X90-X102+X104-X108</f>
        <v>566739968</v>
      </c>
      <c r="BO13" s="99">
        <f>AA43-AA55+AA57-AA61+AA90-AA102+AA104-AA108</f>
        <v>215765279</v>
      </c>
      <c r="BP13" s="99">
        <f>AD43-AD55+AD57-AD61+AD90-AD102+AD104-AD108</f>
        <v>215765279</v>
      </c>
      <c r="BQ13" s="100">
        <f>AF43-AF55+AF57-AF61+AF90-AF102+AF104-AF108</f>
        <v>31393481</v>
      </c>
    </row>
    <row r="14" spans="1:69" s="10" customFormat="1" ht="15.75" x14ac:dyDescent="0.25">
      <c r="A14" s="203">
        <f>+IF(MARZO!A14=0,"",MARZO!A14)</f>
        <v>1003</v>
      </c>
      <c r="B14" s="251" t="str">
        <f>+IF(MARZO!B14=0,"",MARZO!B14)</f>
        <v>Fondos Comunes y Especiales (Caja, Bancos, Invers. Tempor.) a Dic-31-2013</v>
      </c>
      <c r="C14" s="283">
        <f>+ENERO!C14</f>
        <v>80000000</v>
      </c>
      <c r="D14" s="456">
        <f>MARZO!D14+ABRIL!P14</f>
        <v>0</v>
      </c>
      <c r="E14" s="456">
        <f>MARZO!E14+ABRIL!Q14</f>
        <v>33074115</v>
      </c>
      <c r="F14" s="170">
        <f>SUM(C14:E14)</f>
        <v>113074115</v>
      </c>
      <c r="G14" s="283">
        <f>MARZO!I14</f>
        <v>113074115</v>
      </c>
      <c r="H14" s="154">
        <v>0</v>
      </c>
      <c r="I14" s="170">
        <f>SUM(G14:H14)</f>
        <v>113074115</v>
      </c>
      <c r="J14" s="283">
        <f>MARZO!L14</f>
        <v>113074115</v>
      </c>
      <c r="K14" s="154">
        <v>0</v>
      </c>
      <c r="L14" s="170">
        <f>SUM(J14:K14)</f>
        <v>113074115</v>
      </c>
      <c r="M14" s="283">
        <f>F14-I14</f>
        <v>0</v>
      </c>
      <c r="N14" s="170">
        <f>F14-L14</f>
        <v>0</v>
      </c>
      <c r="O14" s="467"/>
      <c r="P14" s="455">
        <v>0</v>
      </c>
      <c r="Q14" s="458">
        <v>0</v>
      </c>
      <c r="S14" s="469">
        <f>+IF(MARZO!S14=0,"",MARZO!S14)</f>
        <v>1010000</v>
      </c>
      <c r="T14" s="470" t="str">
        <f>+IF(MARZO!T14=0,"",MARZO!T14)</f>
        <v>Gastos de Administración</v>
      </c>
      <c r="U14" s="157">
        <f t="shared" ref="U14:AJ14" si="11">U16+U35+U43+U57</f>
        <v>703883287</v>
      </c>
      <c r="V14" s="144">
        <f t="shared" si="11"/>
        <v>-5657703</v>
      </c>
      <c r="W14" s="144">
        <f t="shared" si="11"/>
        <v>1200000</v>
      </c>
      <c r="X14" s="152">
        <f t="shared" si="11"/>
        <v>699425584</v>
      </c>
      <c r="Y14" s="151">
        <f t="shared" si="11"/>
        <v>168592980</v>
      </c>
      <c r="Z14" s="144">
        <f t="shared" si="11"/>
        <v>42772965</v>
      </c>
      <c r="AA14" s="152">
        <f t="shared" si="11"/>
        <v>211365945</v>
      </c>
      <c r="AB14" s="151">
        <f t="shared" si="11"/>
        <v>168592180</v>
      </c>
      <c r="AC14" s="144">
        <f t="shared" si="11"/>
        <v>42772965</v>
      </c>
      <c r="AD14" s="152">
        <f t="shared" si="11"/>
        <v>211365145</v>
      </c>
      <c r="AE14" s="151">
        <f t="shared" si="11"/>
        <v>145769471</v>
      </c>
      <c r="AF14" s="144">
        <f t="shared" si="11"/>
        <v>49968085</v>
      </c>
      <c r="AG14" s="152">
        <f t="shared" si="11"/>
        <v>195737556</v>
      </c>
      <c r="AH14" s="151">
        <f t="shared" si="11"/>
        <v>488059639</v>
      </c>
      <c r="AI14" s="144">
        <f t="shared" si="11"/>
        <v>488060439</v>
      </c>
      <c r="AJ14" s="153">
        <f t="shared" si="11"/>
        <v>503688028</v>
      </c>
      <c r="AK14" s="12"/>
      <c r="AL14" s="151">
        <f>AL16+AL35+AL43+AL57</f>
        <v>0</v>
      </c>
      <c r="AM14" s="153">
        <f>AM16+AM35+AM43+AM57</f>
        <v>0</v>
      </c>
      <c r="AO14" s="23"/>
      <c r="AP14" s="13" t="s">
        <v>75</v>
      </c>
      <c r="AQ14" s="14">
        <f>F19-AQ7-AQ8-AQ9-AQ10-AQ11-AQ12-AQ13</f>
        <v>387837872</v>
      </c>
      <c r="AR14" s="14">
        <f>I19-AR7-AR8-AR9-AR10-AR11-AR12-AR13</f>
        <v>142242417</v>
      </c>
      <c r="AS14" s="14">
        <f>L19-AS7-AS8-AS9-AS10-AS11-AS12-AS13</f>
        <v>118619832</v>
      </c>
      <c r="AT14" s="467"/>
      <c r="AU14" s="429">
        <f t="shared" si="0"/>
        <v>0.36675741919293536</v>
      </c>
      <c r="AV14" s="429">
        <f t="shared" si="1"/>
        <v>0.30584901724089492</v>
      </c>
      <c r="AW14" s="430">
        <f>(I41+I46+I49+I52+I55+I58+I61+I64+I67+I70+I73+I78+I81+I82+I83+I86+I87+I93)/AO$2*12+I47+I50+I53+I56+I59+I62+I65+I68+I71+I74</f>
        <v>358699347</v>
      </c>
      <c r="AX14" s="430">
        <f>(L41+L46+L49+L52+L55+L58+L61+L64+L67+L70+L73+L78+L81+L82+L83+L86+L87+L93)/AO$2*12+L47+L50+L53+L56+L59+L62+L65+L68+L71+L74</f>
        <v>287831592</v>
      </c>
      <c r="AY14" s="430">
        <f t="shared" si="2"/>
        <v>-29138525</v>
      </c>
      <c r="AZ14" s="431">
        <f t="shared" si="3"/>
        <v>-100006280</v>
      </c>
      <c r="BB14" s="468" t="s">
        <v>461</v>
      </c>
      <c r="BC14" s="110">
        <f>+F64</f>
        <v>40103182</v>
      </c>
      <c r="BD14" s="111">
        <f>+I64</f>
        <v>13552931</v>
      </c>
      <c r="BE14" s="112">
        <f>K64</f>
        <v>5518429</v>
      </c>
      <c r="BF14" s="113"/>
      <c r="BG14" s="109" t="s">
        <v>76</v>
      </c>
      <c r="BH14" s="99">
        <f t="shared" si="10"/>
        <v>0</v>
      </c>
      <c r="BI14" s="99">
        <f t="shared" si="10"/>
        <v>0</v>
      </c>
      <c r="BJ14" s="99">
        <f t="shared" si="10"/>
        <v>0</v>
      </c>
      <c r="BK14" s="99">
        <f t="shared" si="10"/>
        <v>0</v>
      </c>
      <c r="BM14" s="165" t="s">
        <v>469</v>
      </c>
      <c r="BN14" s="104">
        <f>X35-X41+X83-X88</f>
        <v>176434955</v>
      </c>
      <c r="BO14" s="102">
        <f>AA35-AA41+AA83-AA88</f>
        <v>31631438</v>
      </c>
      <c r="BP14" s="102">
        <f>AD35-AD41+AD83-AD88</f>
        <v>31629838</v>
      </c>
      <c r="BQ14" s="103">
        <f>AF35-AF41+AF83-AF88</f>
        <v>8411021</v>
      </c>
    </row>
    <row r="15" spans="1:69" s="10" customFormat="1" ht="16.5" thickBot="1" x14ac:dyDescent="0.3">
      <c r="A15" s="204">
        <f>+IF(MARZO!A15=0,"",MARZO!A15)</f>
        <v>1004</v>
      </c>
      <c r="B15" s="677" t="str">
        <f>+IF(MARZO!B15=0,"",MARZO!B15)</f>
        <v>Cesantias Ley 50/1990 a Dic-31-2013</v>
      </c>
      <c r="C15" s="474">
        <f>+ENERO!C15</f>
        <v>20000000</v>
      </c>
      <c r="D15" s="472">
        <f>MARZO!D15+ABRIL!P15</f>
        <v>0</v>
      </c>
      <c r="E15" s="472">
        <f>MARZO!E15+ABRIL!Q15</f>
        <v>0</v>
      </c>
      <c r="F15" s="473">
        <f>SUM(C15:E15)</f>
        <v>20000000</v>
      </c>
      <c r="G15" s="474">
        <f>MARZO!I15</f>
        <v>20000000</v>
      </c>
      <c r="H15" s="197">
        <v>0</v>
      </c>
      <c r="I15" s="473">
        <f>SUM(G15:H15)</f>
        <v>20000000</v>
      </c>
      <c r="J15" s="474">
        <f>MARZO!L15</f>
        <v>20000000</v>
      </c>
      <c r="K15" s="197">
        <v>0</v>
      </c>
      <c r="L15" s="473">
        <f>SUM(J15:K15)</f>
        <v>20000000</v>
      </c>
      <c r="M15" s="474">
        <f>F15-I15</f>
        <v>0</v>
      </c>
      <c r="N15" s="473">
        <f>F15-L15</f>
        <v>0</v>
      </c>
      <c r="O15" s="467"/>
      <c r="P15" s="471">
        <v>0</v>
      </c>
      <c r="Q15" s="476">
        <v>0</v>
      </c>
      <c r="S15" s="448" t="str">
        <f>+IF(MARZO!S15=0,"",MARZO!S15)</f>
        <v/>
      </c>
      <c r="T15" s="649" t="str">
        <f>+IF(MARZO!T15=0,"",MARZO!T15)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1452387</v>
      </c>
      <c r="AR15" s="14">
        <f>I108</f>
        <v>1325599</v>
      </c>
      <c r="AS15" s="14">
        <f>L108</f>
        <v>1325599</v>
      </c>
      <c r="AT15" s="15"/>
      <c r="AU15" s="419">
        <f t="shared" si="0"/>
        <v>0.91270370775833165</v>
      </c>
      <c r="AV15" s="429">
        <f t="shared" si="1"/>
        <v>0.91270370775833165</v>
      </c>
      <c r="AW15" s="14">
        <f>AQ15</f>
        <v>1452387</v>
      </c>
      <c r="AX15" s="14">
        <f>AR15</f>
        <v>1325599</v>
      </c>
      <c r="AY15" s="14">
        <f t="shared" si="2"/>
        <v>0</v>
      </c>
      <c r="AZ15" s="420">
        <f t="shared" si="3"/>
        <v>-126788</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6085380</v>
      </c>
      <c r="BM15" s="89" t="s">
        <v>68</v>
      </c>
      <c r="BN15" s="101">
        <f>SUM(BN16:BN21)</f>
        <v>558744299</v>
      </c>
      <c r="BO15" s="99">
        <f>SUM(BO16:BO21)</f>
        <v>150468600</v>
      </c>
      <c r="BP15" s="99">
        <f>SUM(BP16:BP21)</f>
        <v>150468599</v>
      </c>
      <c r="BQ15" s="100">
        <f>SUM(BQ16:BQ21)</f>
        <v>35940439</v>
      </c>
    </row>
    <row r="16" spans="1:69" s="10" customFormat="1" ht="15.75" thickBot="1" x14ac:dyDescent="0.3">
      <c r="A16" s="198" t="str">
        <f>+IF(MARZO!A16=0,"",MARZO!A16)</f>
        <v/>
      </c>
      <c r="B16" s="477" t="str">
        <f>+IF(MARZO!B16=0,"",MARZO!B16)</f>
        <v/>
      </c>
      <c r="C16" s="478"/>
      <c r="D16" s="478"/>
      <c r="E16" s="478"/>
      <c r="F16" s="478"/>
      <c r="G16" s="478"/>
      <c r="H16" s="478"/>
      <c r="I16" s="478"/>
      <c r="J16" s="478"/>
      <c r="K16" s="478"/>
      <c r="L16" s="478"/>
      <c r="M16" s="478"/>
      <c r="N16" s="479"/>
      <c r="O16" s="467"/>
      <c r="P16" s="480"/>
      <c r="Q16" s="481"/>
      <c r="S16" s="34">
        <f>+IF(MARZO!S16=0,"",MARZO!S16)</f>
        <v>1010100</v>
      </c>
      <c r="T16" s="158" t="str">
        <f>+IF(MARZO!T16=0,"",MARZO!T16)</f>
        <v>Servicios Personales Asociados a Nómina</v>
      </c>
      <c r="U16" s="157">
        <f t="shared" ref="U16:AJ16" si="12">SUM(U17:U20)+U33</f>
        <v>451022301</v>
      </c>
      <c r="V16" s="144">
        <f t="shared" si="12"/>
        <v>-3476851</v>
      </c>
      <c r="W16" s="144">
        <f t="shared" si="12"/>
        <v>0</v>
      </c>
      <c r="X16" s="152">
        <f t="shared" si="12"/>
        <v>447545450</v>
      </c>
      <c r="Y16" s="151">
        <f t="shared" si="12"/>
        <v>99115020</v>
      </c>
      <c r="Z16" s="144">
        <f t="shared" si="12"/>
        <v>28252696</v>
      </c>
      <c r="AA16" s="152">
        <f t="shared" si="12"/>
        <v>127367716</v>
      </c>
      <c r="AB16" s="151">
        <f t="shared" si="12"/>
        <v>99115020</v>
      </c>
      <c r="AC16" s="144">
        <f t="shared" si="12"/>
        <v>28252696</v>
      </c>
      <c r="AD16" s="152">
        <f t="shared" si="12"/>
        <v>127367716</v>
      </c>
      <c r="AE16" s="151">
        <f t="shared" si="12"/>
        <v>87736309</v>
      </c>
      <c r="AF16" s="144">
        <f t="shared" si="12"/>
        <v>34682235</v>
      </c>
      <c r="AG16" s="152">
        <f t="shared" si="12"/>
        <v>122418544</v>
      </c>
      <c r="AH16" s="151">
        <f t="shared" si="12"/>
        <v>320177734</v>
      </c>
      <c r="AI16" s="144">
        <f t="shared" si="12"/>
        <v>320177734</v>
      </c>
      <c r="AJ16" s="153">
        <f t="shared" si="12"/>
        <v>325126906</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20035054</v>
      </c>
      <c r="BE16" s="93">
        <f>K43</f>
        <v>0</v>
      </c>
      <c r="BF16" s="94"/>
      <c r="BG16" s="109" t="s">
        <v>84</v>
      </c>
      <c r="BH16" s="114">
        <f>BH7+BH12+BH13+BH14+BH15</f>
        <v>3690024195</v>
      </c>
      <c r="BI16" s="114">
        <f>BI7+BI12+BI13+BI14+BI15</f>
        <v>1206649173</v>
      </c>
      <c r="BJ16" s="114">
        <f>BJ7+BJ12+BJ13+BJ14+BJ15</f>
        <v>1206620571</v>
      </c>
      <c r="BK16" s="114">
        <f>BK7+BK12+BK13+BK14+BK15</f>
        <v>237896148</v>
      </c>
      <c r="BM16" s="164" t="s">
        <v>85</v>
      </c>
      <c r="BN16" s="101">
        <f>X114-X121+X147-X148-X153</f>
        <v>154192049</v>
      </c>
      <c r="BO16" s="99">
        <f>AA114-AA121+AA147-AA148-AA153</f>
        <v>51103210</v>
      </c>
      <c r="BP16" s="99">
        <f>AD114-AD121+AD147-AD148-AD153</f>
        <v>51103209</v>
      </c>
      <c r="BQ16" s="100">
        <f>AF114-AF121+AF147-AF148-AF153</f>
        <v>17815119</v>
      </c>
    </row>
    <row r="17" spans="1:70" s="467" customFormat="1" ht="17.25" thickBot="1" x14ac:dyDescent="0.3">
      <c r="A17" s="433">
        <f>+IF(MARZO!A17=0,"",MARZO!A17)</f>
        <v>11</v>
      </c>
      <c r="B17" s="439" t="str">
        <f>+IF(MARZO!B17=0,"",MARZO!B17)</f>
        <v>INGRESOS  CORRIENTES</v>
      </c>
      <c r="C17" s="435">
        <f>C19+C99</f>
        <v>3530048625</v>
      </c>
      <c r="D17" s="435">
        <f t="shared" ref="D17:N17" si="13">D19+D99</f>
        <v>0</v>
      </c>
      <c r="E17" s="435">
        <f t="shared" si="13"/>
        <v>25449068</v>
      </c>
      <c r="F17" s="435">
        <f t="shared" si="13"/>
        <v>3555497693</v>
      </c>
      <c r="G17" s="435">
        <f t="shared" si="13"/>
        <v>1040152626</v>
      </c>
      <c r="H17" s="435">
        <f t="shared" si="13"/>
        <v>339307525</v>
      </c>
      <c r="I17" s="435">
        <f t="shared" si="13"/>
        <v>1379460151</v>
      </c>
      <c r="J17" s="435">
        <f t="shared" si="13"/>
        <v>862053402</v>
      </c>
      <c r="K17" s="435">
        <f t="shared" si="13"/>
        <v>265983753</v>
      </c>
      <c r="L17" s="435">
        <f t="shared" si="13"/>
        <v>1128037155</v>
      </c>
      <c r="M17" s="435">
        <f t="shared" si="13"/>
        <v>2176037542</v>
      </c>
      <c r="N17" s="216">
        <f t="shared" si="13"/>
        <v>2427460538</v>
      </c>
      <c r="P17" s="215">
        <f>P19+P99</f>
        <v>0</v>
      </c>
      <c r="Q17" s="216">
        <f>Q19+Q99</f>
        <v>0</v>
      </c>
      <c r="R17" s="10"/>
      <c r="S17" s="155">
        <f>+IF(MARZO!S17=0,"",MARZO!S17)</f>
        <v>1010101</v>
      </c>
      <c r="T17" s="159" t="str">
        <f>+IF(MARZO!T17=0,"",MARZO!T17)</f>
        <v>Sueldos del Personal de nómina</v>
      </c>
      <c r="U17" s="29">
        <f>+ENERO!U17</f>
        <v>368370792</v>
      </c>
      <c r="V17" s="17">
        <f>MARZO!V17+ABRIL!AL17</f>
        <v>0</v>
      </c>
      <c r="W17" s="17">
        <f>MARZO!W17+ABRIL!AM17</f>
        <v>0</v>
      </c>
      <c r="X17" s="20">
        <f>SUM(U17:W17)</f>
        <v>368370792</v>
      </c>
      <c r="Y17" s="21">
        <f>MARZO!AA17</f>
        <v>89310698</v>
      </c>
      <c r="Z17" s="457">
        <v>26511348</v>
      </c>
      <c r="AA17" s="20">
        <f>SUM(Y17:Z17)</f>
        <v>115822046</v>
      </c>
      <c r="AB17" s="21">
        <f>MARZO!AD17</f>
        <v>89310698</v>
      </c>
      <c r="AC17" s="457">
        <v>26511348</v>
      </c>
      <c r="AD17" s="20">
        <f>SUM(AB17:AC17)</f>
        <v>115822046</v>
      </c>
      <c r="AE17" s="21">
        <f>MARZO!AG17</f>
        <v>77971078</v>
      </c>
      <c r="AF17" s="457">
        <v>32901796</v>
      </c>
      <c r="AG17" s="20">
        <f>SUM(AE17:AF17)</f>
        <v>110872874</v>
      </c>
      <c r="AH17" s="21">
        <f>X17-AA17</f>
        <v>252548746</v>
      </c>
      <c r="AI17" s="17">
        <f>X17-AD17</f>
        <v>252548746</v>
      </c>
      <c r="AJ17" s="18">
        <f>X17-AG17</f>
        <v>257497918</v>
      </c>
      <c r="AK17" s="10"/>
      <c r="AL17" s="455">
        <v>0</v>
      </c>
      <c r="AM17" s="458">
        <v>0</v>
      </c>
      <c r="AN17" s="10"/>
      <c r="AO17" s="428"/>
      <c r="AP17" s="488" t="s">
        <v>87</v>
      </c>
      <c r="AQ17" s="489">
        <f>SUM(AQ7:AQ16)</f>
        <v>3437498754</v>
      </c>
      <c r="AR17" s="490">
        <f>SUM(AR7:AR16)</f>
        <v>1429684718</v>
      </c>
      <c r="AS17" s="491">
        <f>SUM(AS7:AS16)</f>
        <v>1178261722</v>
      </c>
      <c r="AT17" s="492"/>
      <c r="AU17" s="490">
        <f t="shared" si="0"/>
        <v>0.41590843235546376</v>
      </c>
      <c r="AV17" s="490">
        <f t="shared" si="1"/>
        <v>0.34276717064375117</v>
      </c>
      <c r="AW17" s="493">
        <f>SUM(AX7:AX16)</f>
        <v>2807261408</v>
      </c>
      <c r="AX17" s="493">
        <f>SUM(AX7:AX16)</f>
        <v>2807261408</v>
      </c>
      <c r="AY17" s="493">
        <f>SUM(AY7:AY16)</f>
        <v>124158430</v>
      </c>
      <c r="AZ17" s="494">
        <f>SUM(AZ7:AZ16)</f>
        <v>-630237346</v>
      </c>
      <c r="BA17" s="10"/>
      <c r="BB17" s="468" t="s">
        <v>463</v>
      </c>
      <c r="BC17" s="91">
        <f>F41+F52+F55+F58+F61+F67+F70+F73+F76+F79+F82+F88+F89+F90+F91</f>
        <v>177489895</v>
      </c>
      <c r="BD17" s="92">
        <f>I41+I52+I55+I58+I61+I67+I70+I73+I76+I79+I82+I88+I89+I90+I91</f>
        <v>54800923</v>
      </c>
      <c r="BE17" s="93">
        <f>K41+K52+K55+K58+K61+K67+K70+K73+K76+K79+K82+K88+K89+K90+K91</f>
        <v>9418646</v>
      </c>
      <c r="BF17" s="94"/>
      <c r="BG17" s="116" t="s">
        <v>88</v>
      </c>
      <c r="BH17" s="117">
        <f>BC23-BH16</f>
        <v>0</v>
      </c>
      <c r="BI17" s="117"/>
      <c r="BJ17" s="117"/>
      <c r="BK17" s="117"/>
      <c r="BM17" s="164" t="s">
        <v>479</v>
      </c>
      <c r="BN17" s="101">
        <f>X123-X126-X139+X155-X156-X167-X168</f>
        <v>191636548</v>
      </c>
      <c r="BO17" s="99">
        <f>AA123-AA126-AA139+AA155-AA156-AA167-AA168</f>
        <v>50646228</v>
      </c>
      <c r="BP17" s="99">
        <f>AD123-AD126-AD139+AD155-AD156-AD167-AD168</f>
        <v>50646228</v>
      </c>
      <c r="BQ17" s="100">
        <f>AF123-AF126-AF139+AF155-AF156-AF167-AF168</f>
        <v>10138233</v>
      </c>
      <c r="BR17" s="10"/>
    </row>
    <row r="18" spans="1:70" s="10" customFormat="1" ht="15" thickBot="1" x14ac:dyDescent="0.25">
      <c r="A18" s="202" t="str">
        <f>+IF(MARZO!A18=0,"",MARZO!A18)</f>
        <v/>
      </c>
      <c r="B18" s="201" t="str">
        <f>+IF(MARZO!B18=0,"",MARZO!B18)</f>
        <v/>
      </c>
      <c r="C18" s="495"/>
      <c r="D18" s="495"/>
      <c r="E18" s="495"/>
      <c r="F18" s="495"/>
      <c r="G18" s="495"/>
      <c r="H18" s="495"/>
      <c r="I18" s="495"/>
      <c r="J18" s="495"/>
      <c r="K18" s="495"/>
      <c r="L18" s="495"/>
      <c r="M18" s="495"/>
      <c r="N18" s="496"/>
      <c r="P18" s="497"/>
      <c r="Q18" s="496"/>
      <c r="S18" s="155">
        <f>+IF(MARZO!S18=0,"",MARZO!S18)</f>
        <v>1010102</v>
      </c>
      <c r="T18" s="159" t="str">
        <f>+IF(MARZO!T18=0,"",MARZO!T18)</f>
        <v>Horas Extras,Dominic.,Festivos y Rec. Nocturnos</v>
      </c>
      <c r="U18" s="29">
        <f>+ENERO!U18</f>
        <v>20119405</v>
      </c>
      <c r="V18" s="17">
        <f>MARZO!V18+ABRIL!AL18</f>
        <v>0</v>
      </c>
      <c r="W18" s="17">
        <f>MARZO!W18+ABRIL!AM18</f>
        <v>0</v>
      </c>
      <c r="X18" s="20">
        <f>SUM(U18:W18)</f>
        <v>20119405</v>
      </c>
      <c r="Y18" s="21">
        <f>MARZO!AA18</f>
        <v>2571496</v>
      </c>
      <c r="Z18" s="457">
        <v>1002276</v>
      </c>
      <c r="AA18" s="20">
        <f>SUM(Y18:Z18)</f>
        <v>3573772</v>
      </c>
      <c r="AB18" s="21">
        <f>MARZO!AD18</f>
        <v>2571496</v>
      </c>
      <c r="AC18" s="457">
        <v>1002276</v>
      </c>
      <c r="AD18" s="20">
        <f>SUM(AB18:AC18)</f>
        <v>3573772</v>
      </c>
      <c r="AE18" s="21">
        <f>MARZO!AG18</f>
        <v>2571496</v>
      </c>
      <c r="AF18" s="457">
        <v>1002276</v>
      </c>
      <c r="AG18" s="20">
        <f>SUM(AE18:AF18)</f>
        <v>3573772</v>
      </c>
      <c r="AH18" s="21">
        <f>X18-AA18</f>
        <v>16545633</v>
      </c>
      <c r="AI18" s="17">
        <f>X18-AD18</f>
        <v>16545633</v>
      </c>
      <c r="AJ18" s="18">
        <f>X18-AG18</f>
        <v>16545633</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84175147</v>
      </c>
      <c r="BE18" s="93">
        <f>K100+K101+K102+K105</f>
        <v>21043787</v>
      </c>
      <c r="BF18" s="113"/>
      <c r="BM18" s="164" t="s">
        <v>89</v>
      </c>
      <c r="BN18" s="101">
        <f>X148+X156</f>
        <v>162635242</v>
      </c>
      <c r="BO18" s="99">
        <f>AA148+AA156</f>
        <v>30695371</v>
      </c>
      <c r="BP18" s="99">
        <f>AD148+AD156</f>
        <v>30695371</v>
      </c>
      <c r="BQ18" s="100">
        <f>AF148+AF156</f>
        <v>5244066</v>
      </c>
      <c r="BR18" s="467"/>
    </row>
    <row r="19" spans="1:70" s="10" customFormat="1" ht="15.75" x14ac:dyDescent="0.25">
      <c r="A19" s="498">
        <f>+IF(MARZO!A19=0,"",MARZO!A19)</f>
        <v>113</v>
      </c>
      <c r="B19" s="499" t="str">
        <f>+IF(MARZO!B19=0,"",MARZO!B19)</f>
        <v>VENTA DE SERVICIOS</v>
      </c>
      <c r="C19" s="53">
        <f t="shared" ref="C19:N19" si="14">C21+C85</f>
        <v>3530048625</v>
      </c>
      <c r="D19" s="53">
        <f t="shared" si="14"/>
        <v>-227076373</v>
      </c>
      <c r="E19" s="53">
        <f t="shared" si="14"/>
        <v>0</v>
      </c>
      <c r="F19" s="54">
        <f t="shared" si="14"/>
        <v>3302972252</v>
      </c>
      <c r="G19" s="52">
        <f t="shared" si="14"/>
        <v>977021266</v>
      </c>
      <c r="H19" s="53">
        <f t="shared" si="14"/>
        <v>318263738</v>
      </c>
      <c r="I19" s="54">
        <f t="shared" si="14"/>
        <v>1295285004</v>
      </c>
      <c r="J19" s="52">
        <f t="shared" si="14"/>
        <v>798922042</v>
      </c>
      <c r="K19" s="53">
        <f t="shared" si="14"/>
        <v>244939966</v>
      </c>
      <c r="L19" s="54">
        <f t="shared" si="14"/>
        <v>1043862008</v>
      </c>
      <c r="M19" s="52">
        <f t="shared" si="14"/>
        <v>2007687248</v>
      </c>
      <c r="N19" s="54">
        <f t="shared" si="14"/>
        <v>2259110244</v>
      </c>
      <c r="O19" s="467"/>
      <c r="P19" s="52">
        <f>P21+P85</f>
        <v>0</v>
      </c>
      <c r="Q19" s="54">
        <f>Q21+Q85</f>
        <v>0</v>
      </c>
      <c r="S19" s="155">
        <f>+IF(MARZO!S19=0,"",MARZO!S19)</f>
        <v>1010103</v>
      </c>
      <c r="T19" s="159" t="str">
        <f>+IF(MARZO!T19=0,"",MARZO!T19)</f>
        <v>Prima Técnica</v>
      </c>
      <c r="U19" s="29">
        <f>+ENERO!U19</f>
        <v>0</v>
      </c>
      <c r="V19" s="17">
        <f>MARZO!V19+ABRIL!AL19</f>
        <v>0</v>
      </c>
      <c r="W19" s="17">
        <f>MARZO!W19+ABRIL!AM19</f>
        <v>0</v>
      </c>
      <c r="X19" s="20">
        <f>SUM(U19:W19)</f>
        <v>0</v>
      </c>
      <c r="Y19" s="21">
        <f>MARZO!AA19</f>
        <v>0</v>
      </c>
      <c r="Z19" s="457">
        <v>0</v>
      </c>
      <c r="AA19" s="20">
        <f>SUM(Y19:Z19)</f>
        <v>0</v>
      </c>
      <c r="AB19" s="21">
        <f>MARZO!AD19</f>
        <v>0</v>
      </c>
      <c r="AC19" s="457">
        <v>0</v>
      </c>
      <c r="AD19" s="20">
        <f>SUM(AB19:AC19)</f>
        <v>0</v>
      </c>
      <c r="AE19" s="21">
        <f>MARZO!AG19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71899616</v>
      </c>
      <c r="BE19" s="112">
        <f>K86+K87+K93+K103+K104</f>
        <v>4534488</v>
      </c>
      <c r="BF19" s="75"/>
      <c r="BG19" s="467"/>
      <c r="BH19" s="467">
        <f>BN33</f>
        <v>0</v>
      </c>
      <c r="BI19" s="467"/>
      <c r="BJ19" s="467"/>
      <c r="BK19" s="467"/>
      <c r="BM19" s="164" t="s">
        <v>96</v>
      </c>
      <c r="BN19" s="101">
        <f>X126+X167</f>
        <v>49280460</v>
      </c>
      <c r="BO19" s="99">
        <f>AA126+AA167</f>
        <v>18023791</v>
      </c>
      <c r="BP19" s="99">
        <f>AD126+AD167</f>
        <v>18023791</v>
      </c>
      <c r="BQ19" s="100">
        <f>AF126+AF167</f>
        <v>2743021</v>
      </c>
    </row>
    <row r="20" spans="1:70" s="514" customFormat="1" ht="15" x14ac:dyDescent="0.25">
      <c r="A20" s="202" t="str">
        <f>+IF(MARZO!A20=0,"",MARZO!A20)</f>
        <v/>
      </c>
      <c r="B20" s="201" t="str">
        <f>+IF(MARZO!B20=0,"",MARZO!B20)</f>
        <v/>
      </c>
      <c r="C20" s="495"/>
      <c r="D20" s="495"/>
      <c r="E20" s="495"/>
      <c r="F20" s="495"/>
      <c r="G20" s="495"/>
      <c r="H20" s="495"/>
      <c r="I20" s="495"/>
      <c r="J20" s="495"/>
      <c r="K20" s="495"/>
      <c r="L20" s="495"/>
      <c r="M20" s="495"/>
      <c r="N20" s="496"/>
      <c r="O20" s="10"/>
      <c r="P20" s="497"/>
      <c r="Q20" s="496"/>
      <c r="R20" s="10"/>
      <c r="S20" s="155">
        <f>+IF(MARZO!S20=0,"",MARZO!S20)</f>
        <v>1010104</v>
      </c>
      <c r="T20" s="159" t="str">
        <f>+IF(MARZO!T20=0,"",MARZO!T20)</f>
        <v>Otros</v>
      </c>
      <c r="U20" s="29">
        <f t="shared" ref="U20:AJ20" si="15">SUM(U21:U32)</f>
        <v>58502253</v>
      </c>
      <c r="V20" s="17">
        <f t="shared" si="15"/>
        <v>0</v>
      </c>
      <c r="W20" s="17">
        <f t="shared" si="15"/>
        <v>0</v>
      </c>
      <c r="X20" s="20">
        <f t="shared" si="15"/>
        <v>58502253</v>
      </c>
      <c r="Y20" s="21">
        <f t="shared" si="15"/>
        <v>6679826</v>
      </c>
      <c r="Z20" s="169">
        <f t="shared" si="15"/>
        <v>739072</v>
      </c>
      <c r="AA20" s="20">
        <f t="shared" si="15"/>
        <v>7418898</v>
      </c>
      <c r="AB20" s="21">
        <f t="shared" si="15"/>
        <v>6679826</v>
      </c>
      <c r="AC20" s="169">
        <f t="shared" si="15"/>
        <v>739072</v>
      </c>
      <c r="AD20" s="20">
        <f t="shared" si="15"/>
        <v>7418898</v>
      </c>
      <c r="AE20" s="21">
        <f t="shared" si="15"/>
        <v>6640735</v>
      </c>
      <c r="AF20" s="169">
        <f t="shared" si="15"/>
        <v>778163</v>
      </c>
      <c r="AG20" s="20">
        <f t="shared" si="15"/>
        <v>7418898</v>
      </c>
      <c r="AH20" s="21">
        <f t="shared" si="15"/>
        <v>51083355</v>
      </c>
      <c r="AI20" s="17">
        <f t="shared" si="15"/>
        <v>51083355</v>
      </c>
      <c r="AJ20" s="18">
        <f t="shared" si="15"/>
        <v>51083355</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171731</v>
      </c>
      <c r="BE20" s="85">
        <f>+K109+K111+K113+K114+K115</f>
        <v>29064</v>
      </c>
      <c r="BF20" s="75"/>
      <c r="BG20" s="467"/>
      <c r="BH20" s="467">
        <f>BH19-BH16</f>
        <v>-3690024195</v>
      </c>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+IF(MARZO!A21=0,"",MARZO!A21)</f>
        <v>11301</v>
      </c>
      <c r="B21" s="516" t="str">
        <f>+IF(MARZO!B21=0,"",MARZO!B21)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909656138</v>
      </c>
      <c r="H21" s="518">
        <f t="shared" si="16"/>
        <v>313729250</v>
      </c>
      <c r="I21" s="519">
        <f t="shared" si="16"/>
        <v>1223385388</v>
      </c>
      <c r="J21" s="517">
        <f t="shared" si="16"/>
        <v>731556914</v>
      </c>
      <c r="K21" s="518">
        <f t="shared" si="16"/>
        <v>240405478</v>
      </c>
      <c r="L21" s="519">
        <f t="shared" si="16"/>
        <v>971962392</v>
      </c>
      <c r="M21" s="517">
        <f t="shared" si="16"/>
        <v>1964407835</v>
      </c>
      <c r="N21" s="519">
        <f t="shared" si="16"/>
        <v>2215830831</v>
      </c>
      <c r="O21" s="467"/>
      <c r="P21" s="52">
        <f>P22+P25+P28+P41+P42+P45+P48+P51+P54+P57+P60+P63+P66+P69+P72+P75+P78+P81</f>
        <v>0</v>
      </c>
      <c r="Q21" s="54">
        <f>Q22+Q25+Q28+Q41+Q42+Q45+Q48+Q51+Q54+Q57+Q60+Q63+Q66+Q69+Q72+Q75+Q78+Q81</f>
        <v>0</v>
      </c>
      <c r="R21" s="10"/>
      <c r="S21" s="156" t="str">
        <f>+IF(MARZO!S21=0,"",MARZO!S21)</f>
        <v>1010104-1</v>
      </c>
      <c r="T21" s="55" t="str">
        <f>+IF(MARZO!T21=0,"",MARZO!T21)</f>
        <v xml:space="preserve">Prima de Navidad </v>
      </c>
      <c r="U21" s="29">
        <f>+ENERO!U21</f>
        <v>31976631</v>
      </c>
      <c r="V21" s="17">
        <f>MARZO!V21+ABRIL!AL21</f>
        <v>0</v>
      </c>
      <c r="W21" s="17">
        <f>MARZO!W21+ABRIL!AM21</f>
        <v>0</v>
      </c>
      <c r="X21" s="20">
        <f t="shared" ref="X21:X33" si="17">SUM(U21:W21)</f>
        <v>31976631</v>
      </c>
      <c r="Y21" s="21">
        <f>MARZO!AA21</f>
        <v>0</v>
      </c>
      <c r="Z21" s="457">
        <v>0</v>
      </c>
      <c r="AA21" s="20">
        <f t="shared" ref="AA21:AA33" si="18">SUM(Y21:Z21)</f>
        <v>0</v>
      </c>
      <c r="AB21" s="21">
        <f>MARZO!AD21</f>
        <v>0</v>
      </c>
      <c r="AC21" s="457">
        <v>0</v>
      </c>
      <c r="AD21" s="20">
        <f t="shared" ref="AD21:AD33" si="19">SUM(AB21:AC21)</f>
        <v>0</v>
      </c>
      <c r="AE21" s="21">
        <f>MARZO!AG21</f>
        <v>0</v>
      </c>
      <c r="AF21" s="457">
        <v>0</v>
      </c>
      <c r="AG21" s="20">
        <f t="shared" ref="AG21:AG33" si="20">SUM(AE21:AF21)</f>
        <v>0</v>
      </c>
      <c r="AH21" s="21">
        <f t="shared" ref="AH21:AH33" si="21">X21-AA21</f>
        <v>31976631</v>
      </c>
      <c r="AI21" s="17">
        <f t="shared" ref="AI21:AI33" si="22">X21-AD21</f>
        <v>31976631</v>
      </c>
      <c r="AJ21" s="18">
        <f t="shared" ref="AJ21:AJ33" si="23">X21-AG21</f>
        <v>31976631</v>
      </c>
      <c r="AK21" s="10"/>
      <c r="AL21" s="455">
        <v>0</v>
      </c>
      <c r="AM21" s="458">
        <v>0</v>
      </c>
      <c r="AN21" s="10"/>
      <c r="AO21" s="428"/>
      <c r="AP21" s="520"/>
      <c r="AQ21" s="695"/>
      <c r="AR21" s="522" t="str">
        <f>AR6</f>
        <v>ABRIL</v>
      </c>
      <c r="AS21" s="523" t="str">
        <f>AR6</f>
        <v>ABRIL</v>
      </c>
      <c r="AT21" s="522" t="str">
        <f>AR6</f>
        <v>ABRIL</v>
      </c>
      <c r="AU21" s="522" t="s">
        <v>46</v>
      </c>
      <c r="AV21" s="522" t="s">
        <v>24</v>
      </c>
      <c r="AW21" s="695"/>
      <c r="AX21" s="695"/>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+IF(MARZO!A22=0,"",MARZO!A22)</f>
        <v>1130101</v>
      </c>
      <c r="B22" s="45" t="str">
        <f>+IF(MARZO!B22=0,"",MARZO!B22)</f>
        <v>EPS - REGIMEN CONTRIBUTIVO</v>
      </c>
      <c r="C22" s="53">
        <f t="shared" ref="C22:N22" si="24">SUM(C23:C24)</f>
        <v>235438278</v>
      </c>
      <c r="D22" s="53">
        <f t="shared" si="24"/>
        <v>0</v>
      </c>
      <c r="E22" s="53">
        <f t="shared" si="24"/>
        <v>0</v>
      </c>
      <c r="F22" s="54">
        <f t="shared" si="24"/>
        <v>235438278</v>
      </c>
      <c r="G22" s="52">
        <f t="shared" si="24"/>
        <v>79022639</v>
      </c>
      <c r="H22" s="53">
        <f t="shared" si="24"/>
        <v>41283531</v>
      </c>
      <c r="I22" s="54">
        <f t="shared" si="24"/>
        <v>120306170</v>
      </c>
      <c r="J22" s="52">
        <f t="shared" si="24"/>
        <v>18950543</v>
      </c>
      <c r="K22" s="53">
        <f t="shared" si="24"/>
        <v>13092841</v>
      </c>
      <c r="L22" s="54">
        <f t="shared" si="24"/>
        <v>32043384</v>
      </c>
      <c r="M22" s="52">
        <f t="shared" si="24"/>
        <v>115132108</v>
      </c>
      <c r="N22" s="54">
        <f t="shared" si="24"/>
        <v>203394894</v>
      </c>
      <c r="P22" s="52">
        <f>SUM(P23:P24)</f>
        <v>0</v>
      </c>
      <c r="Q22" s="54">
        <f>SUM(Q23:Q24)</f>
        <v>0</v>
      </c>
      <c r="S22" s="156" t="str">
        <f>+IF(MARZO!S22=0,"",MARZO!S22)</f>
        <v>1010104-2</v>
      </c>
      <c r="T22" s="55" t="str">
        <f>+IF(MARZO!T22=0,"",MARZO!T22)</f>
        <v>Prima Vida Cara</v>
      </c>
      <c r="U22" s="29">
        <f>+ENERO!U22</f>
        <v>0</v>
      </c>
      <c r="V22" s="17">
        <f>MARZO!V22+ABRIL!AL22</f>
        <v>0</v>
      </c>
      <c r="W22" s="17">
        <f>MARZO!W22+ABRIL!AM22</f>
        <v>0</v>
      </c>
      <c r="X22" s="20">
        <f t="shared" si="17"/>
        <v>0</v>
      </c>
      <c r="Y22" s="21">
        <f>MARZO!AA22</f>
        <v>0</v>
      </c>
      <c r="Z22" s="457">
        <v>0</v>
      </c>
      <c r="AA22" s="20">
        <f t="shared" si="18"/>
        <v>0</v>
      </c>
      <c r="AB22" s="21">
        <f>MARZO!AD22</f>
        <v>0</v>
      </c>
      <c r="AC22" s="457">
        <v>0</v>
      </c>
      <c r="AD22" s="20">
        <f t="shared" si="19"/>
        <v>0</v>
      </c>
      <c r="AE22" s="21">
        <f>MARZO!AG22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421424201</v>
      </c>
      <c r="AS22" s="527">
        <f>AG17+AG66</f>
        <v>397762704</v>
      </c>
      <c r="AT22" s="528"/>
      <c r="AU22" s="529">
        <f t="shared" ref="AU22:AU32" si="25">IF(AQ22=0," ",AR22/AQ22)</f>
        <v>0.3319654879887195</v>
      </c>
      <c r="AV22" s="529">
        <f t="shared" ref="AV22:AV32" si="26">IF(AQ22=0," ",AS22/AQ22)</f>
        <v>0.31332678527655938</v>
      </c>
      <c r="AW22" s="530">
        <f>AR22/$AO$2*12</f>
        <v>1264272603</v>
      </c>
      <c r="AX22" s="530">
        <f>AS22/$AO$2*12</f>
        <v>1193288112</v>
      </c>
      <c r="AY22" s="530">
        <f t="shared" ref="AY22:AY31" si="27">AQ22-AW22</f>
        <v>5209365</v>
      </c>
      <c r="AZ22" s="531">
        <f t="shared" ref="AZ22:AZ31" si="28">AQ22-AX22</f>
        <v>76193856</v>
      </c>
      <c r="BA22" s="467"/>
      <c r="BB22" s="119" t="s">
        <v>467</v>
      </c>
      <c r="BC22" s="83">
        <f>SUMIF($B8:B117,$B24,F8:F117)+F116</f>
        <v>165717175</v>
      </c>
      <c r="BD22" s="84">
        <f>SUMIF($B8:B117,$B24,I8:I117)+I116</f>
        <v>230516033</v>
      </c>
      <c r="BE22" s="85">
        <f>SUMIF($B8:B117,$B24,K8:K117)+K116</f>
        <v>50420342</v>
      </c>
      <c r="BF22" s="75"/>
      <c r="BG22" s="467"/>
      <c r="BH22" s="467"/>
      <c r="BI22" s="467"/>
      <c r="BJ22" s="467"/>
      <c r="BK22" s="467"/>
      <c r="BM22" s="89" t="s">
        <v>69</v>
      </c>
      <c r="BN22" s="101">
        <f>BN23+BN24</f>
        <v>197767489</v>
      </c>
      <c r="BO22" s="99">
        <f>BO23+BO24</f>
        <v>38532591</v>
      </c>
      <c r="BP22" s="99">
        <f>BP23+BP24</f>
        <v>38532591</v>
      </c>
      <c r="BQ22" s="100">
        <f>BQ23+BQ24</f>
        <v>7189790</v>
      </c>
      <c r="BR22" s="467"/>
    </row>
    <row r="23" spans="1:70" s="514" customFormat="1" ht="15.75" thickBot="1" x14ac:dyDescent="0.25">
      <c r="A23" s="188" t="str">
        <f>+IF(MARZO!A23=0,"",MARZO!A23)</f>
        <v>1130101-1</v>
      </c>
      <c r="B23" s="189" t="str">
        <f>+CONCATENATE("Vigencia ",INSTRUCCIONES!$F$3)</f>
        <v>Vigencia 2014</v>
      </c>
      <c r="C23" s="456">
        <f>+ENERO!C23</f>
        <v>190033939</v>
      </c>
      <c r="D23" s="456">
        <f>MARZO!D23+ABRIL!P23</f>
        <v>0</v>
      </c>
      <c r="E23" s="456">
        <f>MARZO!E23+ABRIL!Q23</f>
        <v>0</v>
      </c>
      <c r="F23" s="170">
        <f>SUM(C23:E23)</f>
        <v>190033939</v>
      </c>
      <c r="G23" s="283">
        <f>MARZO!I23</f>
        <v>61290918</v>
      </c>
      <c r="H23" s="457">
        <v>29696157</v>
      </c>
      <c r="I23" s="170">
        <f>SUM(G23:H23)</f>
        <v>90987075</v>
      </c>
      <c r="J23" s="283">
        <f>MARZO!L23</f>
        <v>1218822</v>
      </c>
      <c r="K23" s="457">
        <v>1505467</v>
      </c>
      <c r="L23" s="170">
        <f>SUM(J23:K23)</f>
        <v>2724289</v>
      </c>
      <c r="M23" s="283">
        <f>F23-I23</f>
        <v>99046864</v>
      </c>
      <c r="N23" s="170">
        <f>F23-L23</f>
        <v>187309650</v>
      </c>
      <c r="O23" s="10"/>
      <c r="P23" s="455">
        <v>0</v>
      </c>
      <c r="Q23" s="458">
        <v>0</v>
      </c>
      <c r="R23" s="10"/>
      <c r="S23" s="156" t="str">
        <f>+IF(MARZO!S23=0,"",MARZO!S23)</f>
        <v>1010104-3</v>
      </c>
      <c r="T23" s="55" t="str">
        <f>+IF(MARZO!T23=0,"",MARZO!T23)</f>
        <v>Prima de Vacaciones</v>
      </c>
      <c r="U23" s="29">
        <f>+ENERO!U23</f>
        <v>15348783</v>
      </c>
      <c r="V23" s="17">
        <f>MARZO!V23+ABRIL!AL23</f>
        <v>0</v>
      </c>
      <c r="W23" s="17">
        <f>MARZO!W23+ABRIL!AM23</f>
        <v>0</v>
      </c>
      <c r="X23" s="20">
        <f t="shared" si="17"/>
        <v>15348783</v>
      </c>
      <c r="Y23" s="21">
        <f>MARZO!AA23</f>
        <v>3807223</v>
      </c>
      <c r="Z23" s="457">
        <v>0</v>
      </c>
      <c r="AA23" s="20">
        <f t="shared" si="18"/>
        <v>3807223</v>
      </c>
      <c r="AB23" s="21">
        <f>MARZO!AD23</f>
        <v>3807223</v>
      </c>
      <c r="AC23" s="457">
        <v>0</v>
      </c>
      <c r="AD23" s="20">
        <f t="shared" si="19"/>
        <v>3807223</v>
      </c>
      <c r="AE23" s="21">
        <f>MARZO!AG23</f>
        <v>3772731</v>
      </c>
      <c r="AF23" s="457">
        <v>34492</v>
      </c>
      <c r="AG23" s="20">
        <f t="shared" si="20"/>
        <v>3807223</v>
      </c>
      <c r="AH23" s="21">
        <f t="shared" si="21"/>
        <v>11541560</v>
      </c>
      <c r="AI23" s="17">
        <f t="shared" si="22"/>
        <v>11541560</v>
      </c>
      <c r="AJ23" s="18">
        <f t="shared" si="23"/>
        <v>11541560</v>
      </c>
      <c r="AK23" s="10"/>
      <c r="AL23" s="455">
        <v>0</v>
      </c>
      <c r="AM23" s="458">
        <v>0</v>
      </c>
      <c r="AN23" s="10"/>
      <c r="AO23" s="453"/>
      <c r="AP23" s="532" t="s">
        <v>110</v>
      </c>
      <c r="AQ23" s="533">
        <f>X16+X65-AQ22</f>
        <v>349958128</v>
      </c>
      <c r="AR23" s="533">
        <f>AD16+AD65-AR22</f>
        <v>72604553</v>
      </c>
      <c r="AS23" s="533">
        <f>AG16+AG65-AS22</f>
        <v>70581490</v>
      </c>
      <c r="AT23" s="401"/>
      <c r="AU23" s="419">
        <f t="shared" si="25"/>
        <v>0.20746640009458503</v>
      </c>
      <c r="AV23" s="419">
        <f t="shared" si="26"/>
        <v>0.20168552850414151</v>
      </c>
      <c r="AW23" s="533">
        <f>(AR23-AD21-AD22-AD23-AD25-AD30-AD33-AD70-AD71-AD72-AD74-AD78-AD81)/$AO$2*12+AX22/12*2.5+AD30+AD33+AD78+AD81</f>
        <v>388779933</v>
      </c>
      <c r="AX23" s="533">
        <f>(AS23-AG21-AG22-AG23-AG25-AG30-AG33-AG70-AG71-AG72-AG74-AG78-AG81)/$AO$2*12+AX22/12*2.5+AG30+AG33+AG78+AG81</f>
        <v>387985827</v>
      </c>
      <c r="AY23" s="533">
        <f t="shared" si="27"/>
        <v>-38821805</v>
      </c>
      <c r="AZ23" s="62">
        <f t="shared" si="28"/>
        <v>-38027699</v>
      </c>
      <c r="BA23" s="467"/>
      <c r="BB23" s="678" t="s">
        <v>111</v>
      </c>
      <c r="BC23" s="679">
        <f>BC7+BC8+BC20+BC21+BC22</f>
        <v>3690024195</v>
      </c>
      <c r="BD23" s="138">
        <f>BD7+BD8+BD20+BD21+BD22+BD92</f>
        <v>1513859865</v>
      </c>
      <c r="BE23" s="139">
        <f>BE7+BE8+BE20+BE21+BE22+BE92</f>
        <v>266168717</v>
      </c>
      <c r="BF23" s="467"/>
      <c r="BG23" s="467"/>
      <c r="BH23" s="467"/>
      <c r="BI23" s="467"/>
      <c r="BJ23" s="467"/>
      <c r="BK23" s="467"/>
      <c r="BL23" s="467"/>
      <c r="BM23" s="164" t="s">
        <v>107</v>
      </c>
      <c r="BN23" s="101">
        <f>X177</f>
        <v>104106866</v>
      </c>
      <c r="BO23" s="99">
        <f>AA177</f>
        <v>29397489</v>
      </c>
      <c r="BP23" s="99">
        <f>AD177</f>
        <v>29397489</v>
      </c>
      <c r="BQ23" s="100">
        <f>AF177</f>
        <v>7189790</v>
      </c>
      <c r="BR23" s="10"/>
    </row>
    <row r="24" spans="1:70" s="514" customFormat="1" ht="15" x14ac:dyDescent="0.2">
      <c r="A24" s="188" t="str">
        <f>+IF(MARZO!A24=0,"",MARZO!A24)</f>
        <v>1130101-2</v>
      </c>
      <c r="B24" s="189" t="str">
        <f>+IF(MARZO!B24=0,"",MARZO!B24)</f>
        <v>Vigencias Anteriores</v>
      </c>
      <c r="C24" s="456">
        <f>+ENERO!C24</f>
        <v>45404339</v>
      </c>
      <c r="D24" s="456">
        <f>MARZO!D24+ABRIL!P24</f>
        <v>0</v>
      </c>
      <c r="E24" s="456">
        <f>MARZO!E24+ABRIL!Q24</f>
        <v>0</v>
      </c>
      <c r="F24" s="170">
        <f>SUM(C24:E24)</f>
        <v>45404339</v>
      </c>
      <c r="G24" s="283">
        <f>MARZO!I24</f>
        <v>17731721</v>
      </c>
      <c r="H24" s="457">
        <v>11587374</v>
      </c>
      <c r="I24" s="170">
        <f>SUM(G24:H24)</f>
        <v>29319095</v>
      </c>
      <c r="J24" s="283">
        <f>MARZO!L24</f>
        <v>17731721</v>
      </c>
      <c r="K24" s="457">
        <v>11587374</v>
      </c>
      <c r="L24" s="170">
        <f>SUM(J24:K24)</f>
        <v>29319095</v>
      </c>
      <c r="M24" s="283">
        <f>F24-I24</f>
        <v>16085244</v>
      </c>
      <c r="N24" s="170">
        <f>F24-L24</f>
        <v>16085244</v>
      </c>
      <c r="O24" s="467"/>
      <c r="P24" s="455">
        <v>0</v>
      </c>
      <c r="Q24" s="458">
        <v>0</v>
      </c>
      <c r="R24" s="10"/>
      <c r="S24" s="156" t="str">
        <f>+IF(MARZO!S24=0,"",MARZO!S24)</f>
        <v>1010104-4</v>
      </c>
      <c r="T24" s="55" t="str">
        <f>+IF(MARZO!T24=0,"",MARZO!T24)</f>
        <v>Prima Clima</v>
      </c>
      <c r="U24" s="29">
        <f>+ENERO!U24</f>
        <v>0</v>
      </c>
      <c r="V24" s="17">
        <f>MARZO!V24+ABRIL!AL24</f>
        <v>0</v>
      </c>
      <c r="W24" s="17">
        <f>MARZO!W24+ABRIL!AM24</f>
        <v>0</v>
      </c>
      <c r="X24" s="20">
        <f t="shared" si="17"/>
        <v>0</v>
      </c>
      <c r="Y24" s="21">
        <f>MARZO!AA24</f>
        <v>0</v>
      </c>
      <c r="Z24" s="457">
        <v>0</v>
      </c>
      <c r="AA24" s="20">
        <f t="shared" si="18"/>
        <v>0</v>
      </c>
      <c r="AB24" s="21">
        <f>MARZO!AD24</f>
        <v>0</v>
      </c>
      <c r="AC24" s="457">
        <v>0</v>
      </c>
      <c r="AD24" s="20">
        <f t="shared" si="19"/>
        <v>0</v>
      </c>
      <c r="AE24" s="21">
        <f>MARZO!AG24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43169890</v>
      </c>
      <c r="AS24" s="528">
        <f>AG35+AG83</f>
        <v>34114318</v>
      </c>
      <c r="AT24" s="528"/>
      <c r="AU24" s="456">
        <f t="shared" si="25"/>
        <v>0.22965760549220249</v>
      </c>
      <c r="AV24" s="456">
        <f t="shared" si="26"/>
        <v>0.18148326495340947</v>
      </c>
      <c r="AW24" s="456">
        <f>(AR24-AD41-AD88)/$AO$2*12+AD41+AD88</f>
        <v>106429566</v>
      </c>
      <c r="AX24" s="456">
        <f>(AS24-AG41-AG88)/$AO$2*12+AG41+AG88</f>
        <v>79357450</v>
      </c>
      <c r="AY24" s="456">
        <f t="shared" si="27"/>
        <v>81545441</v>
      </c>
      <c r="AZ24" s="170">
        <f t="shared" si="28"/>
        <v>108617557</v>
      </c>
      <c r="BA24" s="10"/>
      <c r="BB24" s="534"/>
      <c r="BC24" s="467"/>
      <c r="BD24" s="467"/>
      <c r="BE24" s="467"/>
      <c r="BF24" s="467"/>
      <c r="BG24" s="467"/>
      <c r="BH24" s="467"/>
      <c r="BI24" s="467"/>
      <c r="BJ24" s="467"/>
      <c r="BK24" s="467"/>
      <c r="BL24" s="467"/>
      <c r="BM24" s="164" t="s">
        <v>112</v>
      </c>
      <c r="BN24" s="101">
        <f>X170-X177-X174-X183-X191</f>
        <v>93660623</v>
      </c>
      <c r="BO24" s="99">
        <f>AA170-AA177-AA174-AA183-AA191</f>
        <v>9135102</v>
      </c>
      <c r="BP24" s="99">
        <f>AD170-AD177-AD174-AD183-AD191</f>
        <v>9135102</v>
      </c>
      <c r="BQ24" s="100">
        <f>AF170-AF177-AF174-AF183-AF191</f>
        <v>0</v>
      </c>
      <c r="BR24" s="467"/>
    </row>
    <row r="25" spans="1:70" s="467" customFormat="1" ht="15" x14ac:dyDescent="0.25">
      <c r="A25" s="57">
        <f>+IF(MARZO!A25=0,"",MARZO!A25)</f>
        <v>1130102</v>
      </c>
      <c r="B25" s="45" t="str">
        <f>+IF(MARZO!B25=0,"",MARZO!B25)</f>
        <v>ARS - REGIMEN SUBSIDIADO</v>
      </c>
      <c r="C25" s="53">
        <f t="shared" ref="C25:N25" si="29">SUM(C26:C27)</f>
        <v>2553198704</v>
      </c>
      <c r="D25" s="53">
        <f t="shared" si="29"/>
        <v>0</v>
      </c>
      <c r="E25" s="53">
        <f t="shared" si="29"/>
        <v>0</v>
      </c>
      <c r="F25" s="54">
        <f t="shared" si="29"/>
        <v>2553198704</v>
      </c>
      <c r="G25" s="52">
        <f t="shared" si="29"/>
        <v>737177110</v>
      </c>
      <c r="H25" s="53">
        <f t="shared" si="29"/>
        <v>243499248</v>
      </c>
      <c r="I25" s="54">
        <f t="shared" si="29"/>
        <v>980676358</v>
      </c>
      <c r="J25" s="52">
        <f t="shared" si="29"/>
        <v>638835661</v>
      </c>
      <c r="K25" s="53">
        <f t="shared" si="29"/>
        <v>212320599</v>
      </c>
      <c r="L25" s="54">
        <f t="shared" si="29"/>
        <v>851156260</v>
      </c>
      <c r="M25" s="52">
        <f t="shared" si="29"/>
        <v>1572522346</v>
      </c>
      <c r="N25" s="54">
        <f t="shared" si="29"/>
        <v>1702042444</v>
      </c>
      <c r="P25" s="52">
        <f>SUM(P26:P27)</f>
        <v>0</v>
      </c>
      <c r="Q25" s="54">
        <f>SUM(Q26:Q27)</f>
        <v>0</v>
      </c>
      <c r="R25" s="10"/>
      <c r="S25" s="156" t="str">
        <f>+IF(MARZO!S25=0,"",MARZO!S25)</f>
        <v>1010104-5</v>
      </c>
      <c r="T25" s="55" t="str">
        <f>+IF(MARZO!T25=0,"",MARZO!T25)</f>
        <v>Prima de Servicios</v>
      </c>
      <c r="U25" s="29">
        <f>+ENERO!U25</f>
        <v>0</v>
      </c>
      <c r="V25" s="17">
        <f>MARZO!V25+ABRIL!AL25</f>
        <v>0</v>
      </c>
      <c r="W25" s="17">
        <f>MARZO!W25+ABRIL!AM25</f>
        <v>0</v>
      </c>
      <c r="X25" s="20">
        <f t="shared" si="17"/>
        <v>0</v>
      </c>
      <c r="Y25" s="21">
        <f>MARZO!AA25</f>
        <v>0</v>
      </c>
      <c r="Z25" s="457">
        <v>0</v>
      </c>
      <c r="AA25" s="20">
        <f t="shared" si="18"/>
        <v>0</v>
      </c>
      <c r="AB25" s="21">
        <f>MARZO!AD25</f>
        <v>0</v>
      </c>
      <c r="AC25" s="457">
        <v>0</v>
      </c>
      <c r="AD25" s="20">
        <f t="shared" si="19"/>
        <v>0</v>
      </c>
      <c r="AE25" s="21">
        <f>MARZO!AG25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221605014</v>
      </c>
      <c r="AS25" s="456">
        <f>AG43+AG57+AG90+AG104</f>
        <v>200345345</v>
      </c>
      <c r="AT25" s="528"/>
      <c r="AU25" s="456">
        <f t="shared" si="25"/>
        <v>0.38702911199770557</v>
      </c>
      <c r="AV25" s="456">
        <f t="shared" si="26"/>
        <v>0.3498994881416535</v>
      </c>
      <c r="AW25" s="456">
        <f>(AR25-AD55-AD61-AD102-AD108)/$AO$2*12+AD55+AD61+AD102+AD108</f>
        <v>653135572</v>
      </c>
      <c r="AX25" s="456">
        <f>(AS25-AG55-AG61-AG102-AG108)/$AO$2*12+AG55+AG61+AG102+AG108</f>
        <v>590330861</v>
      </c>
      <c r="AY25" s="456">
        <f t="shared" si="27"/>
        <v>-80555869</v>
      </c>
      <c r="AZ25" s="170">
        <f t="shared" si="28"/>
        <v>-17751158</v>
      </c>
      <c r="BM25" s="167" t="s">
        <v>475</v>
      </c>
      <c r="BN25" s="124">
        <f>+SUM(BN26:BN28)</f>
        <v>328675926</v>
      </c>
      <c r="BO25" s="125">
        <f>+SUM(BO26:BO28)</f>
        <v>98547573</v>
      </c>
      <c r="BP25" s="125">
        <f>+SUM(BP26:BP28)</f>
        <v>98520572</v>
      </c>
      <c r="BQ25" s="126">
        <f>+SUM(BQ26:BQ28)</f>
        <v>18456499</v>
      </c>
    </row>
    <row r="26" spans="1:70" s="10" customFormat="1" ht="15" x14ac:dyDescent="0.2">
      <c r="A26" s="188" t="str">
        <f>+IF(MARZO!A26=0,"",MARZO!A26)</f>
        <v>1130102-1</v>
      </c>
      <c r="B26" s="189" t="str">
        <f>+CONCATENATE("Vigencia ",INSTRUCCIONES!$F$3)</f>
        <v>Vigencia 2014</v>
      </c>
      <c r="C26" s="456">
        <f>+ENERO!C26</f>
        <v>2490198704</v>
      </c>
      <c r="D26" s="456">
        <f>MARZO!D26+ABRIL!P26</f>
        <v>0</v>
      </c>
      <c r="E26" s="456">
        <f>MARZO!E26+ABRIL!Q26</f>
        <v>0</v>
      </c>
      <c r="F26" s="170">
        <f>SUM(C26:E26)</f>
        <v>2490198704</v>
      </c>
      <c r="G26" s="283">
        <f>MARZO!I26</f>
        <v>609770097</v>
      </c>
      <c r="H26" s="457">
        <v>204877143</v>
      </c>
      <c r="I26" s="170">
        <f>SUM(G26:H26)</f>
        <v>814647240</v>
      </c>
      <c r="J26" s="283">
        <f>MARZO!L26</f>
        <v>511428648</v>
      </c>
      <c r="K26" s="457">
        <v>173698494</v>
      </c>
      <c r="L26" s="170">
        <f>SUM(J26:K26)</f>
        <v>685127142</v>
      </c>
      <c r="M26" s="283">
        <f>F26-I26</f>
        <v>1675551464</v>
      </c>
      <c r="N26" s="170">
        <f>F26-L26</f>
        <v>1805071562</v>
      </c>
      <c r="P26" s="455">
        <v>0</v>
      </c>
      <c r="Q26" s="458">
        <v>0</v>
      </c>
      <c r="S26" s="156" t="str">
        <f>+IF(MARZO!S26=0,"",MARZO!S26)</f>
        <v>1010104-8</v>
      </c>
      <c r="T26" s="55" t="str">
        <f>+IF(MARZO!T26=0,"",MARZO!T26)</f>
        <v>Bonific. por Servicios Prestados (Convencional)</v>
      </c>
      <c r="U26" s="29">
        <f>+ENERO!U26</f>
        <v>0</v>
      </c>
      <c r="V26" s="17">
        <f>MARZO!V26+ABRIL!AL26</f>
        <v>0</v>
      </c>
      <c r="W26" s="17">
        <f>MARZO!W26+ABRIL!AM26</f>
        <v>0</v>
      </c>
      <c r="X26" s="20">
        <f t="shared" si="17"/>
        <v>0</v>
      </c>
      <c r="Y26" s="21">
        <f>MARZO!AA26</f>
        <v>0</v>
      </c>
      <c r="Z26" s="457">
        <v>0</v>
      </c>
      <c r="AA26" s="20">
        <f t="shared" si="18"/>
        <v>0</v>
      </c>
      <c r="AB26" s="21">
        <f>MARZO!AD26</f>
        <v>0</v>
      </c>
      <c r="AC26" s="457">
        <v>0</v>
      </c>
      <c r="AD26" s="20">
        <f t="shared" si="19"/>
        <v>0</v>
      </c>
      <c r="AE26" s="21">
        <f>MARZO!AG26</f>
        <v>0</v>
      </c>
      <c r="AF26" s="457">
        <v>0</v>
      </c>
      <c r="AG26" s="20">
        <f t="shared" si="20"/>
        <v>0</v>
      </c>
      <c r="AH26" s="21">
        <f t="shared" si="21"/>
        <v>0</v>
      </c>
      <c r="AI26" s="17">
        <f t="shared" si="22"/>
        <v>0</v>
      </c>
      <c r="AJ26" s="18">
        <f t="shared" si="23"/>
        <v>0</v>
      </c>
      <c r="AL26" s="455">
        <v>0</v>
      </c>
      <c r="AM26" s="458">
        <v>0</v>
      </c>
      <c r="AO26" s="23"/>
      <c r="AP26" s="536" t="s">
        <v>122</v>
      </c>
      <c r="AQ26" s="401">
        <f>X110</f>
        <v>596554629</v>
      </c>
      <c r="AR26" s="401">
        <f>AD110</f>
        <v>188277929</v>
      </c>
      <c r="AS26" s="401">
        <f>AG110</f>
        <v>137923992</v>
      </c>
      <c r="AT26" s="454">
        <f>AO2/12</f>
        <v>0.33333333333333331</v>
      </c>
      <c r="AU26" s="419">
        <f t="shared" si="25"/>
        <v>0.31560886438113617</v>
      </c>
      <c r="AV26" s="419">
        <f t="shared" si="26"/>
        <v>0.23120094169950695</v>
      </c>
      <c r="AW26" s="533">
        <f>(AR26-AD121-AD139-AD143-AD153-AD168)/$AO$2*12+AD121+AD139+AD143+AD153+AD168</f>
        <v>489215127</v>
      </c>
      <c r="AX26" s="533">
        <f>(AS26-AG121-AG139-AG143-AG153-AG168)/$AO$2*12+AG121+AG139+AG143+AG153+AG168</f>
        <v>347993362</v>
      </c>
      <c r="AY26" s="533">
        <f t="shared" si="27"/>
        <v>107339502</v>
      </c>
      <c r="AZ26" s="62">
        <f t="shared" si="28"/>
        <v>248561267</v>
      </c>
      <c r="BA26" s="467"/>
      <c r="BB26" s="467"/>
      <c r="BC26" s="467"/>
      <c r="BD26" s="467"/>
      <c r="BE26" s="467"/>
      <c r="BF26" s="467"/>
      <c r="BG26" s="467"/>
      <c r="BH26" s="467"/>
      <c r="BI26" s="467"/>
      <c r="BJ26" s="467"/>
      <c r="BK26" s="467"/>
      <c r="BM26" s="127" t="s">
        <v>476</v>
      </c>
      <c r="BN26" s="104">
        <f>+X196+X212</f>
        <v>203038050</v>
      </c>
      <c r="BO26" s="102">
        <f>+AA196+AA212</f>
        <v>59855664</v>
      </c>
      <c r="BP26" s="102">
        <f>+AD196+AD212</f>
        <v>59828664</v>
      </c>
      <c r="BQ26" s="103">
        <f>+AF196+AF212</f>
        <v>13486231</v>
      </c>
      <c r="BR26" s="467"/>
    </row>
    <row r="27" spans="1:70" s="514" customFormat="1" ht="15" x14ac:dyDescent="0.2">
      <c r="A27" s="188" t="str">
        <f>+IF(MARZO!A27=0,"",MARZO!A27)</f>
        <v>1130102-2</v>
      </c>
      <c r="B27" s="189" t="str">
        <f>+IF(MARZO!B27=0,"",MARZO!B27)</f>
        <v>Vigencias Anteriores</v>
      </c>
      <c r="C27" s="456">
        <f>+ENERO!C27</f>
        <v>63000000</v>
      </c>
      <c r="D27" s="456">
        <f>MARZO!D27+ABRIL!P27</f>
        <v>0</v>
      </c>
      <c r="E27" s="456">
        <f>MARZO!E27+ABRIL!Q27</f>
        <v>0</v>
      </c>
      <c r="F27" s="170">
        <f>SUM(C27:E27)</f>
        <v>63000000</v>
      </c>
      <c r="G27" s="283">
        <f>MARZO!I27</f>
        <v>127407013</v>
      </c>
      <c r="H27" s="457">
        <v>38622105</v>
      </c>
      <c r="I27" s="170">
        <f>SUM(G27:H27)</f>
        <v>166029118</v>
      </c>
      <c r="J27" s="283">
        <f>MARZO!L27</f>
        <v>127407013</v>
      </c>
      <c r="K27" s="457">
        <v>38622105</v>
      </c>
      <c r="L27" s="170">
        <f>SUM(J27:K27)</f>
        <v>166029118</v>
      </c>
      <c r="M27" s="283">
        <f>F27-I27</f>
        <v>-103029118</v>
      </c>
      <c r="N27" s="170">
        <f>F27-L27</f>
        <v>-103029118</v>
      </c>
      <c r="O27" s="467"/>
      <c r="P27" s="455">
        <v>0</v>
      </c>
      <c r="Q27" s="458">
        <v>0</v>
      </c>
      <c r="R27" s="10"/>
      <c r="S27" s="156" t="str">
        <f>+IF(MARZO!S27=0,"",MARZO!S27)</f>
        <v>1010104-9</v>
      </c>
      <c r="T27" s="55" t="str">
        <f>+IF(MARZO!T27=0,"",MARZO!T27)</f>
        <v>Auxilio de Transporte</v>
      </c>
      <c r="U27" s="29">
        <f>+ENERO!U27</f>
        <v>0</v>
      </c>
      <c r="V27" s="17">
        <f>MARZO!V27+ABRIL!AL27</f>
        <v>0</v>
      </c>
      <c r="W27" s="17">
        <f>MARZO!W27+ABRIL!AM27</f>
        <v>0</v>
      </c>
      <c r="X27" s="20">
        <f t="shared" si="17"/>
        <v>0</v>
      </c>
      <c r="Y27" s="21">
        <f>MARZO!AA27</f>
        <v>0</v>
      </c>
      <c r="Z27" s="457">
        <v>0</v>
      </c>
      <c r="AA27" s="20">
        <f t="shared" si="18"/>
        <v>0</v>
      </c>
      <c r="AB27" s="21">
        <f>MARZO!AD27</f>
        <v>0</v>
      </c>
      <c r="AC27" s="457">
        <v>0</v>
      </c>
      <c r="AD27" s="20">
        <f t="shared" si="19"/>
        <v>0</v>
      </c>
      <c r="AE27" s="21">
        <f>MARZO!AG27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45346645</v>
      </c>
      <c r="AS27" s="456">
        <f>AG170</f>
        <v>39135081</v>
      </c>
      <c r="AT27" s="528"/>
      <c r="AU27" s="456">
        <f t="shared" si="25"/>
        <v>0.22165560164926509</v>
      </c>
      <c r="AV27" s="456">
        <f t="shared" si="26"/>
        <v>0.19129331231996818</v>
      </c>
      <c r="AW27" s="456">
        <f>(AR27-AD174-AD183-AD191)/$AO$2*12+AD174+AD183+AD191</f>
        <v>122411827</v>
      </c>
      <c r="AX27" s="456">
        <f>(AS27-AG174-AG183-AG191)/$AO$2*12+AG174+AG183+AG191</f>
        <v>105667275</v>
      </c>
      <c r="AY27" s="456">
        <f t="shared" si="27"/>
        <v>82169716</v>
      </c>
      <c r="AZ27" s="170">
        <f t="shared" si="28"/>
        <v>98914268</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+IF(MARZO!A28=0,"",MARZO!A28)</f>
        <v>1130103</v>
      </c>
      <c r="B28" s="60" t="str">
        <f>+IF(MARZO!B28=0,"",MARZO!B28)</f>
        <v>SUBSIDIO A LA OFERTA- ATENCION PERSONAS POBRES NO CUBIERTOS CON SUBSIDIO A LA DEMANDA</v>
      </c>
      <c r="C28" s="53">
        <f t="shared" ref="C28:N28" si="30">C29+C32+C35</f>
        <v>227076373</v>
      </c>
      <c r="D28" s="53">
        <f t="shared" si="30"/>
        <v>-227076373</v>
      </c>
      <c r="E28" s="53">
        <f t="shared" si="30"/>
        <v>0</v>
      </c>
      <c r="F28" s="53">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+IF(MARZO!S28=0,"",MARZO!S28)</f>
        <v>1010104-10</v>
      </c>
      <c r="T28" s="55" t="str">
        <f>+IF(MARZO!T28=0,"",MARZO!T28)</f>
        <v>Subsidio de Alimentación</v>
      </c>
      <c r="U28" s="29">
        <f>+ENERO!U28</f>
        <v>9130335</v>
      </c>
      <c r="V28" s="17">
        <f>MARZO!V28+ABRIL!AL28</f>
        <v>0</v>
      </c>
      <c r="W28" s="17">
        <f>MARZO!W28+ABRIL!AM28</f>
        <v>0</v>
      </c>
      <c r="X28" s="20">
        <f t="shared" si="17"/>
        <v>9130335</v>
      </c>
      <c r="Y28" s="21">
        <f>MARZO!AA28</f>
        <v>2366569</v>
      </c>
      <c r="Z28" s="457">
        <v>739072</v>
      </c>
      <c r="AA28" s="20">
        <f t="shared" si="18"/>
        <v>3105641</v>
      </c>
      <c r="AB28" s="21">
        <f>MARZO!AD28</f>
        <v>2366569</v>
      </c>
      <c r="AC28" s="457">
        <v>739072</v>
      </c>
      <c r="AD28" s="20">
        <f t="shared" si="19"/>
        <v>3105641</v>
      </c>
      <c r="AE28" s="21">
        <f>MARZO!AG28</f>
        <v>2366569</v>
      </c>
      <c r="AF28" s="457">
        <v>739072</v>
      </c>
      <c r="AG28" s="20">
        <f t="shared" si="20"/>
        <v>3105641</v>
      </c>
      <c r="AH28" s="21">
        <f t="shared" si="21"/>
        <v>6024694</v>
      </c>
      <c r="AI28" s="17">
        <f t="shared" si="22"/>
        <v>6024694</v>
      </c>
      <c r="AJ28" s="18">
        <f t="shared" si="23"/>
        <v>6024694</v>
      </c>
      <c r="AK28" s="10"/>
      <c r="AL28" s="455">
        <v>0</v>
      </c>
      <c r="AM28" s="458">
        <v>0</v>
      </c>
      <c r="AN28" s="10"/>
      <c r="AO28" s="428"/>
      <c r="AP28" s="535" t="s">
        <v>129</v>
      </c>
      <c r="AQ28" s="528">
        <f>X193</f>
        <v>388893217</v>
      </c>
      <c r="AR28" s="528">
        <f>AD193</f>
        <v>158737863</v>
      </c>
      <c r="AS28" s="528">
        <f>AG193</f>
        <v>80289288</v>
      </c>
      <c r="AT28" s="528"/>
      <c r="AU28" s="456">
        <f t="shared" si="25"/>
        <v>0.40817853349188138</v>
      </c>
      <c r="AV28" s="456">
        <f t="shared" si="26"/>
        <v>0.20645587140698315</v>
      </c>
      <c r="AW28" s="456">
        <f>(AR28-AD205)/$AO$2*12+AD205</f>
        <v>355779007</v>
      </c>
      <c r="AX28" s="456">
        <f>(AS28-AG205)/$AO$2*12+AG205</f>
        <v>128420482</v>
      </c>
      <c r="AY28" s="456">
        <f t="shared" si="27"/>
        <v>33114210</v>
      </c>
      <c r="AZ28" s="170">
        <f t="shared" si="28"/>
        <v>260472735</v>
      </c>
      <c r="BA28" s="467"/>
      <c r="BB28" s="467"/>
      <c r="BC28" s="467"/>
      <c r="BD28" s="467"/>
      <c r="BE28" s="467"/>
      <c r="BF28" s="467"/>
      <c r="BG28" s="467"/>
      <c r="BH28" s="467"/>
      <c r="BI28" s="467"/>
      <c r="BJ28" s="467"/>
      <c r="BK28" s="467"/>
      <c r="BL28" s="467"/>
      <c r="BM28" s="89" t="s">
        <v>478</v>
      </c>
      <c r="BN28" s="101">
        <f>+X194-X196-X205</f>
        <v>125637876</v>
      </c>
      <c r="BO28" s="99">
        <f>+AA194-AA196-AA205</f>
        <v>38691909</v>
      </c>
      <c r="BP28" s="99">
        <f>+AD194-AD196-AD205</f>
        <v>38691908</v>
      </c>
      <c r="BQ28" s="100">
        <f>+AF194-AF196-AF205</f>
        <v>4970268</v>
      </c>
      <c r="BR28" s="10"/>
    </row>
    <row r="29" spans="1:70" s="10" customFormat="1" ht="15" x14ac:dyDescent="0.25">
      <c r="A29" s="61" t="str">
        <f>+IF(MARZO!A29=0,"",MARZO!A29)</f>
        <v>1130103-1</v>
      </c>
      <c r="B29" s="62" t="str">
        <f>+IF(MARZO!B29=0,"",MARZO!B29)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+IF(MARZO!S29=0,"",MARZO!S29)</f>
        <v>1010104-11</v>
      </c>
      <c r="T29" s="55" t="str">
        <f>+IF(MARZO!T29=0,"",MARZO!T29)</f>
        <v>Gastos de Representación</v>
      </c>
      <c r="U29" s="29">
        <f>+ENERO!U29</f>
        <v>0</v>
      </c>
      <c r="V29" s="17">
        <f>MARZO!V29+ABRIL!AL29</f>
        <v>0</v>
      </c>
      <c r="W29" s="17">
        <f>MARZO!W29+ABRIL!AM29</f>
        <v>0</v>
      </c>
      <c r="X29" s="20">
        <f t="shared" si="17"/>
        <v>0</v>
      </c>
      <c r="Y29" s="21">
        <f>MARZO!AA29</f>
        <v>0</v>
      </c>
      <c r="Z29" s="457">
        <v>0</v>
      </c>
      <c r="AA29" s="20">
        <f t="shared" si="18"/>
        <v>0</v>
      </c>
      <c r="AB29" s="21">
        <f>MARZO!AD29</f>
        <v>0</v>
      </c>
      <c r="AC29" s="457">
        <v>0</v>
      </c>
      <c r="AD29" s="20">
        <f t="shared" si="19"/>
        <v>0</v>
      </c>
      <c r="AE29" s="21">
        <f>MARZO!AG29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120000000</v>
      </c>
      <c r="BO29" s="125">
        <f>AA232-AA256-AA241</f>
        <v>55454476</v>
      </c>
      <c r="BP29" s="125">
        <f>AD232-AD256-AD241</f>
        <v>55454476</v>
      </c>
      <c r="BQ29" s="126">
        <f>AF232-AF256-AF241</f>
        <v>17309492</v>
      </c>
      <c r="BR29" s="467"/>
    </row>
    <row r="30" spans="1:70" s="514" customFormat="1" ht="15" x14ac:dyDescent="0.25">
      <c r="A30" s="188" t="str">
        <f>+IF(MARZO!A30=0,"",MARZO!A30)</f>
        <v>1130103-1-1</v>
      </c>
      <c r="B30" s="189" t="str">
        <f>+CONCATENATE("Vigencia ",INSTRUCCIONES!$F$3)</f>
        <v>Vigencia 2014</v>
      </c>
      <c r="C30" s="456">
        <f>+ENERO!C30</f>
        <v>227076373</v>
      </c>
      <c r="D30" s="456">
        <f>MARZO!D30+ABRIL!P30</f>
        <v>-227076373</v>
      </c>
      <c r="E30" s="456">
        <f>MARZO!E30+ABRIL!Q30</f>
        <v>0</v>
      </c>
      <c r="F30" s="170">
        <f>SUM(C30:E30)</f>
        <v>0</v>
      </c>
      <c r="G30" s="283">
        <f>MARZO!I30</f>
        <v>0</v>
      </c>
      <c r="H30" s="457">
        <v>0</v>
      </c>
      <c r="I30" s="170">
        <f>SUM(G30:H30)</f>
        <v>0</v>
      </c>
      <c r="J30" s="283">
        <f>MARZO!L30</f>
        <v>0</v>
      </c>
      <c r="K30" s="457">
        <v>0</v>
      </c>
      <c r="L30" s="170">
        <f>SUM(J30:K30)</f>
        <v>0</v>
      </c>
      <c r="M30" s="283">
        <f>F30-I30</f>
        <v>0</v>
      </c>
      <c r="N30" s="170">
        <f>F30-L30</f>
        <v>0</v>
      </c>
      <c r="O30" s="10"/>
      <c r="P30" s="455">
        <v>0</v>
      </c>
      <c r="Q30" s="458">
        <v>0</v>
      </c>
      <c r="R30" s="10"/>
      <c r="S30" s="156" t="str">
        <f>+IF(MARZO!S30=0,"",MARZO!S30)</f>
        <v>1010104-12</v>
      </c>
      <c r="T30" s="55" t="str">
        <f>+IF(MARZO!T30=0,"",MARZO!T30)</f>
        <v xml:space="preserve"> Indemnizaciones por Vacaciones o Supresión de Cargos por Reestructuración</v>
      </c>
      <c r="U30" s="29">
        <f>+ENERO!U30</f>
        <v>0</v>
      </c>
      <c r="V30" s="17">
        <f>MARZO!V30+ABRIL!AL30</f>
        <v>0</v>
      </c>
      <c r="W30" s="17">
        <f>MARZO!W30+ABRIL!AM30</f>
        <v>0</v>
      </c>
      <c r="X30" s="20">
        <f t="shared" si="17"/>
        <v>0</v>
      </c>
      <c r="Y30" s="21">
        <f>MARZO!AA30</f>
        <v>0</v>
      </c>
      <c r="Z30" s="457">
        <v>0</v>
      </c>
      <c r="AA30" s="20">
        <f t="shared" si="18"/>
        <v>0</v>
      </c>
      <c r="AB30" s="21">
        <f>MARZO!AD30</f>
        <v>0</v>
      </c>
      <c r="AC30" s="457">
        <v>0</v>
      </c>
      <c r="AD30" s="20">
        <f t="shared" si="19"/>
        <v>0</v>
      </c>
      <c r="AE30" s="21">
        <f>MARZO!AG30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120000000</v>
      </c>
      <c r="AR30" s="456">
        <f>AD220+AD232</f>
        <v>55454476</v>
      </c>
      <c r="AS30" s="456">
        <f>AG220+AG232</f>
        <v>36328984</v>
      </c>
      <c r="AT30" s="528"/>
      <c r="AU30" s="456">
        <f t="shared" si="25"/>
        <v>0.46212063333333331</v>
      </c>
      <c r="AV30" s="456">
        <f t="shared" si="26"/>
        <v>0.30274153333333331</v>
      </c>
      <c r="AW30" s="456">
        <f>(AR30-AD225-AD230-AD241-AD256)/$AO$2*12+AD225+AD230+AD241+AD256</f>
        <v>166363428</v>
      </c>
      <c r="AX30" s="456">
        <f>(AS30-AG225-AG230-AG241-AG256)/$AO$2*12+AG225+AG230+AG241+AG256</f>
        <v>108986952</v>
      </c>
      <c r="AY30" s="456">
        <f t="shared" si="27"/>
        <v>-46363428</v>
      </c>
      <c r="AZ30" s="170">
        <f t="shared" si="28"/>
        <v>11013048</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+IF(MARZO!A31=0,"",MARZO!A31)</f>
        <v>1130103-1-2</v>
      </c>
      <c r="B31" s="189" t="str">
        <f>+IF(MARZO!B31=0,"",MARZO!B31)</f>
        <v>Vigencias Anteriores</v>
      </c>
      <c r="C31" s="456">
        <f>+ENERO!C31</f>
        <v>0</v>
      </c>
      <c r="D31" s="456">
        <f>MARZO!D31+ABRIL!P31</f>
        <v>0</v>
      </c>
      <c r="E31" s="456">
        <f>MARZO!E31+ABRIL!Q31</f>
        <v>0</v>
      </c>
      <c r="F31" s="170">
        <f>SUM(C31:E31)</f>
        <v>0</v>
      </c>
      <c r="G31" s="283">
        <f>MARZO!I31</f>
        <v>0</v>
      </c>
      <c r="H31" s="457">
        <v>0</v>
      </c>
      <c r="I31" s="170">
        <f>SUM(G31:H31)</f>
        <v>0</v>
      </c>
      <c r="J31" s="283">
        <f>MARZO!L31</f>
        <v>0</v>
      </c>
      <c r="K31" s="457">
        <v>0</v>
      </c>
      <c r="L31" s="170">
        <f>SUM(J31:K31)</f>
        <v>0</v>
      </c>
      <c r="M31" s="283">
        <f>F31-I31</f>
        <v>0</v>
      </c>
      <c r="N31" s="170">
        <f>F31-L31</f>
        <v>0</v>
      </c>
      <c r="O31" s="467"/>
      <c r="P31" s="455">
        <v>0</v>
      </c>
      <c r="Q31" s="458">
        <v>0</v>
      </c>
      <c r="R31" s="10"/>
      <c r="S31" s="156" t="str">
        <f>+IF(MARZO!S31=0,"",MARZO!S31)</f>
        <v>1010104-13</v>
      </c>
      <c r="T31" s="55" t="str">
        <f>+IF(MARZO!T31=0,"",MARZO!T31)</f>
        <v>Bonificación Especial por Recreación</v>
      </c>
      <c r="U31" s="29">
        <f>+ENERO!U31</f>
        <v>2046504</v>
      </c>
      <c r="V31" s="17">
        <f>MARZO!V31+ABRIL!AL31</f>
        <v>0</v>
      </c>
      <c r="W31" s="17">
        <f>MARZO!W31+ABRIL!AM31</f>
        <v>0</v>
      </c>
      <c r="X31" s="20">
        <f t="shared" si="17"/>
        <v>2046504</v>
      </c>
      <c r="Y31" s="21">
        <f>MARZO!AA31</f>
        <v>506034</v>
      </c>
      <c r="Z31" s="457">
        <v>0</v>
      </c>
      <c r="AA31" s="20">
        <f t="shared" si="18"/>
        <v>506034</v>
      </c>
      <c r="AB31" s="21">
        <f>MARZO!AD31</f>
        <v>506034</v>
      </c>
      <c r="AC31" s="457">
        <v>0</v>
      </c>
      <c r="AD31" s="20">
        <f t="shared" si="19"/>
        <v>506034</v>
      </c>
      <c r="AE31" s="21">
        <f>MARZO!AG31</f>
        <v>501435</v>
      </c>
      <c r="AF31" s="457">
        <v>4599</v>
      </c>
      <c r="AG31" s="20">
        <f t="shared" si="20"/>
        <v>506034</v>
      </c>
      <c r="AH31" s="21">
        <f t="shared" si="21"/>
        <v>1540470</v>
      </c>
      <c r="AI31" s="17">
        <f t="shared" si="22"/>
        <v>1540470</v>
      </c>
      <c r="AJ31" s="18">
        <f t="shared" si="23"/>
        <v>1540470</v>
      </c>
      <c r="AK31" s="10"/>
      <c r="AL31" s="455">
        <v>0</v>
      </c>
      <c r="AM31" s="458">
        <v>0</v>
      </c>
      <c r="AN31" s="10"/>
      <c r="AO31" s="428"/>
      <c r="AP31" s="507" t="s">
        <v>139</v>
      </c>
      <c r="AQ31" s="528">
        <f>X258</f>
        <v>0</v>
      </c>
      <c r="AR31" s="528">
        <f>AD258</f>
        <v>55816298</v>
      </c>
      <c r="AS31" s="528">
        <f>AG258</f>
        <v>-996481202</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6085380</v>
      </c>
      <c r="BR31" s="10"/>
    </row>
    <row r="32" spans="1:70" s="10" customFormat="1" ht="15.75" thickBot="1" x14ac:dyDescent="0.3">
      <c r="A32" s="61" t="str">
        <f>+IF(MARZO!A32=0,"",MARZO!A32)</f>
        <v>1130103-2</v>
      </c>
      <c r="B32" s="62" t="str">
        <f>+IF(MARZO!B32=0,"",MARZO!B32)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+IF(MARZO!S32=0,"",MARZO!S32)</f>
        <v>1010104-14</v>
      </c>
      <c r="T32" s="55" t="str">
        <f>+IF(MARZO!T32=0,"",MARZO!T32)</f>
        <v/>
      </c>
      <c r="U32" s="29">
        <f>+ENERO!U32</f>
        <v>0</v>
      </c>
      <c r="V32" s="17">
        <f>MARZO!V32+ABRIL!AL32</f>
        <v>0</v>
      </c>
      <c r="W32" s="17">
        <f>MARZO!W32+ABRIL!AM32</f>
        <v>0</v>
      </c>
      <c r="X32" s="20">
        <f t="shared" si="17"/>
        <v>0</v>
      </c>
      <c r="Y32" s="21">
        <f>MARZO!AA32</f>
        <v>0</v>
      </c>
      <c r="Z32" s="457">
        <v>0</v>
      </c>
      <c r="AA32" s="20">
        <f t="shared" si="18"/>
        <v>0</v>
      </c>
      <c r="AB32" s="21">
        <f>MARZO!AD32</f>
        <v>0</v>
      </c>
      <c r="AC32" s="457">
        <v>0</v>
      </c>
      <c r="AD32" s="20">
        <f t="shared" si="19"/>
        <v>0</v>
      </c>
      <c r="AE32" s="21">
        <f>MARZO!AG32</f>
        <v>0</v>
      </c>
      <c r="AF32" s="457">
        <v>0</v>
      </c>
      <c r="AG32" s="20">
        <f t="shared" si="20"/>
        <v>0</v>
      </c>
      <c r="AH32" s="21">
        <f t="shared" si="21"/>
        <v>0</v>
      </c>
      <c r="AI32" s="17">
        <f t="shared" si="22"/>
        <v>0</v>
      </c>
      <c r="AJ32" s="18">
        <f t="shared" si="23"/>
        <v>0</v>
      </c>
      <c r="AL32" s="455">
        <v>0</v>
      </c>
      <c r="AM32" s="458">
        <v>0</v>
      </c>
      <c r="AO32" s="23"/>
      <c r="AP32" s="537" t="s">
        <v>144</v>
      </c>
      <c r="AQ32" s="483">
        <f>SUM(AQ22:AQ31)</f>
        <v>3690024195</v>
      </c>
      <c r="AR32" s="483">
        <f>SUM(AR22:AR31)</f>
        <v>1262436869</v>
      </c>
      <c r="AS32" s="483">
        <f>SUM(AS22:AS31)</f>
        <v>0</v>
      </c>
      <c r="AT32" s="538"/>
      <c r="AU32" s="539">
        <f t="shared" si="25"/>
        <v>0.34212156947659256</v>
      </c>
      <c r="AV32" s="539">
        <f t="shared" si="26"/>
        <v>0</v>
      </c>
      <c r="AW32" s="430">
        <f>SUM(AW22:AW31)</f>
        <v>3546387063</v>
      </c>
      <c r="AX32" s="430">
        <f>SUM(AX22:AX31)</f>
        <v>2942030321</v>
      </c>
      <c r="AY32" s="430">
        <f>SUM(AY22:AY31)</f>
        <v>143637132</v>
      </c>
      <c r="AZ32" s="431">
        <f>SUM(AZ22:AZ31)</f>
        <v>747993874</v>
      </c>
      <c r="BA32" s="467"/>
      <c r="BB32" s="514"/>
      <c r="BC32" s="514"/>
      <c r="BD32" s="514"/>
      <c r="BE32" s="514"/>
      <c r="BF32" s="514"/>
      <c r="BG32" s="467"/>
      <c r="BH32" s="467"/>
      <c r="BI32" s="467"/>
      <c r="BJ32" s="467"/>
      <c r="BK32" s="467"/>
      <c r="BM32" s="128" t="s">
        <v>140</v>
      </c>
      <c r="BN32" s="124">
        <f>+BN7+BN25+BN29+BN30+BN31</f>
        <v>3690024195</v>
      </c>
      <c r="BO32" s="125">
        <f t="shared" ref="BO32:BQ32" si="33">+BO7+BO25+BO29+BO30+BO31</f>
        <v>1206649173</v>
      </c>
      <c r="BP32" s="125">
        <f t="shared" si="33"/>
        <v>1206620571</v>
      </c>
      <c r="BQ32" s="126">
        <f t="shared" si="33"/>
        <v>237896148</v>
      </c>
      <c r="BR32" s="467"/>
    </row>
    <row r="33" spans="1:70" s="514" customFormat="1" ht="15.75" thickBot="1" x14ac:dyDescent="0.3">
      <c r="A33" s="188" t="str">
        <f>+IF(MARZO!A33=0,"",MARZO!A33)</f>
        <v>1130103-2-1</v>
      </c>
      <c r="B33" s="189" t="str">
        <f>+CONCATENATE("Vigencia ",INSTRUCCIONES!$F$3)</f>
        <v>Vigencia 2014</v>
      </c>
      <c r="C33" s="456">
        <f>+ENERO!C33</f>
        <v>0</v>
      </c>
      <c r="D33" s="456">
        <f>MARZO!D33+ABRIL!P33</f>
        <v>0</v>
      </c>
      <c r="E33" s="456">
        <f>MARZO!E33+ABRIL!Q33</f>
        <v>0</v>
      </c>
      <c r="F33" s="170">
        <f>SUM(C33:E33)</f>
        <v>0</v>
      </c>
      <c r="G33" s="283">
        <f>MARZO!I33</f>
        <v>0</v>
      </c>
      <c r="H33" s="457">
        <v>0</v>
      </c>
      <c r="I33" s="170">
        <f>SUM(G33:H33)</f>
        <v>0</v>
      </c>
      <c r="J33" s="283">
        <f>MARZO!L33</f>
        <v>0</v>
      </c>
      <c r="K33" s="457">
        <v>0</v>
      </c>
      <c r="L33" s="170">
        <f>SUM(J33:K33)</f>
        <v>0</v>
      </c>
      <c r="M33" s="283">
        <f>F33-I33</f>
        <v>0</v>
      </c>
      <c r="N33" s="170">
        <f>F33-L33</f>
        <v>0</v>
      </c>
      <c r="O33" s="10"/>
      <c r="P33" s="455">
        <v>0</v>
      </c>
      <c r="Q33" s="458">
        <v>0</v>
      </c>
      <c r="R33" s="10"/>
      <c r="S33" s="155">
        <f>+IF(MARZO!S33=0,"",MARZO!S33)</f>
        <v>1010199</v>
      </c>
      <c r="T33" s="159" t="str">
        <f>+IF(MARZO!T33=0,"",MARZO!T33)</f>
        <v>Vigencias Anteriores</v>
      </c>
      <c r="U33" s="29">
        <f>+ENERO!U33</f>
        <v>4029851</v>
      </c>
      <c r="V33" s="17">
        <f>MARZO!V33+ABRIL!AL33</f>
        <v>-3476851</v>
      </c>
      <c r="W33" s="17">
        <f>MARZO!W33+ABRIL!AM33</f>
        <v>0</v>
      </c>
      <c r="X33" s="20">
        <f t="shared" si="17"/>
        <v>553000</v>
      </c>
      <c r="Y33" s="21">
        <f>MARZO!AA33</f>
        <v>553000</v>
      </c>
      <c r="Z33" s="457">
        <v>0</v>
      </c>
      <c r="AA33" s="20">
        <f t="shared" si="18"/>
        <v>553000</v>
      </c>
      <c r="AB33" s="21">
        <f>MARZO!AD33</f>
        <v>553000</v>
      </c>
      <c r="AC33" s="457">
        <v>0</v>
      </c>
      <c r="AD33" s="20">
        <f t="shared" si="19"/>
        <v>553000</v>
      </c>
      <c r="AE33" s="21">
        <f>MARZO!AG33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307210692</v>
      </c>
      <c r="BP33" s="131">
        <f>AD258</f>
        <v>55816298</v>
      </c>
      <c r="BQ33" s="132">
        <f>AF258</f>
        <v>2189691178</v>
      </c>
      <c r="BR33" s="467"/>
    </row>
    <row r="34" spans="1:70" s="514" customFormat="1" ht="16.5" thickBot="1" x14ac:dyDescent="0.25">
      <c r="A34" s="188" t="str">
        <f>+IF(MARZO!A34=0,"",MARZO!A34)</f>
        <v>1130103-2-2</v>
      </c>
      <c r="B34" s="189" t="str">
        <f>+IF(MARZO!B34=0,"",MARZO!B34)</f>
        <v>Vigencias Anteriores</v>
      </c>
      <c r="C34" s="456">
        <f>+ENERO!C34</f>
        <v>0</v>
      </c>
      <c r="D34" s="456">
        <f>MARZO!D34+ABRIL!P34</f>
        <v>0</v>
      </c>
      <c r="E34" s="456">
        <f>MARZO!E34+ABRIL!Q34</f>
        <v>0</v>
      </c>
      <c r="F34" s="170">
        <f>SUM(C34:E34)</f>
        <v>0</v>
      </c>
      <c r="G34" s="283">
        <f>MARZO!I34</f>
        <v>0</v>
      </c>
      <c r="H34" s="457">
        <v>0</v>
      </c>
      <c r="I34" s="170">
        <f>SUM(G34:H34)</f>
        <v>0</v>
      </c>
      <c r="J34" s="283">
        <f>MARZO!L34</f>
        <v>0</v>
      </c>
      <c r="K34" s="457">
        <v>0</v>
      </c>
      <c r="L34" s="170">
        <f>SUM(J34:K34)</f>
        <v>0</v>
      </c>
      <c r="M34" s="283">
        <f>F34-I34</f>
        <v>0</v>
      </c>
      <c r="N34" s="170">
        <f>F34-L34</f>
        <v>0</v>
      </c>
      <c r="O34" s="467"/>
      <c r="P34" s="455">
        <v>0</v>
      </c>
      <c r="Q34" s="458">
        <v>0</v>
      </c>
      <c r="R34" s="10"/>
      <c r="S34" s="448" t="str">
        <f>+IF(MARZO!S34=0,"",MARZO!S34)</f>
        <v/>
      </c>
      <c r="T34" s="649" t="str">
        <f>+IF(MARZO!T34=0,"",MARZO!T34)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472"/>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+IF(MARZO!A35=0,"",MARZO!A35)</f>
        <v>1130103-3</v>
      </c>
      <c r="B35" s="62" t="str">
        <f>+IF(MARZO!B35=0,"",MARZO!B35)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+IF(MARZO!S35=0,"",MARZO!S35)</f>
        <v>1010200</v>
      </c>
      <c r="T35" s="158" t="str">
        <f>+IF(MARZO!T35=0,"",MARZO!T35)</f>
        <v>Servicios Personales Indirectos</v>
      </c>
      <c r="U35" s="157">
        <f t="shared" ref="U35:AJ35" si="35">SUM(U36:U41)</f>
        <v>113755696</v>
      </c>
      <c r="V35" s="144">
        <f t="shared" si="35"/>
        <v>-2668000</v>
      </c>
      <c r="W35" s="144">
        <f t="shared" si="35"/>
        <v>1200000</v>
      </c>
      <c r="X35" s="152">
        <f t="shared" si="35"/>
        <v>112287696</v>
      </c>
      <c r="Y35" s="151">
        <f t="shared" si="35"/>
        <v>15804229</v>
      </c>
      <c r="Z35" s="144">
        <f t="shared" si="35"/>
        <v>5476069</v>
      </c>
      <c r="AA35" s="152">
        <f t="shared" si="35"/>
        <v>21280298</v>
      </c>
      <c r="AB35" s="151">
        <f t="shared" si="35"/>
        <v>15803429</v>
      </c>
      <c r="AC35" s="144">
        <f t="shared" si="35"/>
        <v>5476069</v>
      </c>
      <c r="AD35" s="152">
        <f t="shared" si="35"/>
        <v>21279498</v>
      </c>
      <c r="AE35" s="151">
        <f t="shared" si="35"/>
        <v>10881760</v>
      </c>
      <c r="AF35" s="144">
        <f t="shared" si="35"/>
        <v>6421669</v>
      </c>
      <c r="AG35" s="152">
        <f t="shared" si="35"/>
        <v>17303429</v>
      </c>
      <c r="AH35" s="151">
        <f t="shared" si="35"/>
        <v>91007398</v>
      </c>
      <c r="AI35" s="144">
        <f t="shared" si="35"/>
        <v>91008198</v>
      </c>
      <c r="AJ35" s="153">
        <f t="shared" si="35"/>
        <v>94984267</v>
      </c>
      <c r="AK35" s="10"/>
      <c r="AL35" s="151">
        <f>SUM(AL36:AL41)</f>
        <v>0</v>
      </c>
      <c r="AM35" s="153">
        <f>SUM(AM36:AM41)</f>
        <v>0</v>
      </c>
      <c r="AN35" s="10"/>
      <c r="AO35" s="428"/>
      <c r="AP35" s="547"/>
      <c r="AQ35" s="363"/>
      <c r="AR35" s="548"/>
      <c r="AS35" s="548"/>
      <c r="AT35" s="548"/>
      <c r="AU35" s="549">
        <f>AR17-AR32</f>
        <v>167247849</v>
      </c>
      <c r="AV35" s="550">
        <f>AS17-AR32</f>
        <v>-84175147</v>
      </c>
      <c r="AW35" s="550" t="s">
        <v>158</v>
      </c>
      <c r="AX35" s="550"/>
      <c r="AY35" s="550">
        <f>AY17+AY32</f>
        <v>267795562</v>
      </c>
      <c r="AZ35" s="552">
        <f>AZ17+AY32</f>
        <v>-486600214</v>
      </c>
      <c r="BB35" s="514"/>
      <c r="BC35" s="514"/>
      <c r="BD35" s="514"/>
      <c r="BE35" s="514"/>
      <c r="BF35" s="514"/>
    </row>
    <row r="36" spans="1:70" s="467" customFormat="1" ht="15.75" thickBot="1" x14ac:dyDescent="0.25">
      <c r="A36" s="188" t="str">
        <f>+IF(MARZO!A36=0,"",MARZO!A36)</f>
        <v>1130103-3-1</v>
      </c>
      <c r="B36" s="189" t="str">
        <f>+CONCATENATE("Vigencia ",INSTRUCCIONES!$F$3)</f>
        <v>Vigencia 2014</v>
      </c>
      <c r="C36" s="456">
        <f>+ENERO!C36</f>
        <v>0</v>
      </c>
      <c r="D36" s="456">
        <f>MARZO!D36+ABRIL!P36</f>
        <v>0</v>
      </c>
      <c r="E36" s="456">
        <f>MARZO!E36+ABRIL!Q36</f>
        <v>0</v>
      </c>
      <c r="F36" s="170">
        <f t="shared" ref="F36:F41" si="36">SUM(C36:E36)</f>
        <v>0</v>
      </c>
      <c r="G36" s="283">
        <f>MARZO!I36</f>
        <v>0</v>
      </c>
      <c r="H36" s="457">
        <v>0</v>
      </c>
      <c r="I36" s="170">
        <f t="shared" ref="I36:I41" si="37">SUM(G36:H36)</f>
        <v>0</v>
      </c>
      <c r="J36" s="283">
        <f>MARZO!L36</f>
        <v>0</v>
      </c>
      <c r="K36" s="457">
        <v>0</v>
      </c>
      <c r="L36" s="170">
        <f t="shared" ref="L36:L41" si="38">SUM(J36:K36)</f>
        <v>0</v>
      </c>
      <c r="M36" s="283">
        <f t="shared" ref="M36:M41" si="39">F36-I36</f>
        <v>0</v>
      </c>
      <c r="N36" s="170">
        <f t="shared" ref="N36:N41" si="40">F36-L36</f>
        <v>0</v>
      </c>
      <c r="O36" s="10"/>
      <c r="P36" s="455">
        <v>0</v>
      </c>
      <c r="Q36" s="458">
        <v>0</v>
      </c>
      <c r="R36" s="10"/>
      <c r="S36" s="155" t="str">
        <f>+IF(MARZO!S36=0,"",MARZO!S36)</f>
        <v>1010200-1</v>
      </c>
      <c r="T36" s="159" t="str">
        <f>+IF(MARZO!T36=0,"",MARZO!T36)</f>
        <v>Remuneración y Honorarios por Servicios Técnicos y Profesionales</v>
      </c>
      <c r="U36" s="29">
        <f>+ENERO!U36</f>
        <v>16339906</v>
      </c>
      <c r="V36" s="17">
        <f>MARZO!V36+ABRIL!AL36</f>
        <v>0</v>
      </c>
      <c r="W36" s="17">
        <f>MARZO!W36+ABRIL!AM36</f>
        <v>0</v>
      </c>
      <c r="X36" s="20">
        <f t="shared" ref="X36:X41" si="41">SUM(U36:W36)</f>
        <v>16339906</v>
      </c>
      <c r="Y36" s="21">
        <f>MARZO!AA36</f>
        <v>2403746</v>
      </c>
      <c r="Z36" s="457">
        <v>1201873</v>
      </c>
      <c r="AA36" s="20">
        <f t="shared" ref="AA36:AA41" si="42">SUM(Y36:Z36)</f>
        <v>3605619</v>
      </c>
      <c r="AB36" s="21">
        <f>MARZO!AD36</f>
        <v>2403746</v>
      </c>
      <c r="AC36" s="457">
        <v>1201873</v>
      </c>
      <c r="AD36" s="20">
        <f t="shared" ref="AD36:AD41" si="43">SUM(AB36:AC36)</f>
        <v>3605619</v>
      </c>
      <c r="AE36" s="21">
        <f>MARZO!AG36</f>
        <v>1201873</v>
      </c>
      <c r="AF36" s="457">
        <v>1201873</v>
      </c>
      <c r="AG36" s="20">
        <f t="shared" ref="AG36:AG41" si="44">SUM(AE36:AF36)</f>
        <v>2403746</v>
      </c>
      <c r="AH36" s="21">
        <f t="shared" ref="AH36:AH41" si="45">X36-AA36</f>
        <v>12734287</v>
      </c>
      <c r="AI36" s="17">
        <f t="shared" ref="AI36:AI41" si="46">X36-AD36</f>
        <v>12734287</v>
      </c>
      <c r="AJ36" s="18">
        <f t="shared" ref="AJ36:AJ41" si="47">X36-AG36</f>
        <v>13936160</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+IF(MARZO!A37=0,"",MARZO!A37)</f>
        <v>1130103-3-2</v>
      </c>
      <c r="B37" s="189" t="str">
        <f>+IF(MARZO!B37=0,"",MARZO!B37)</f>
        <v>Vigencias Anteriores</v>
      </c>
      <c r="C37" s="456">
        <f>+ENERO!C37</f>
        <v>0</v>
      </c>
      <c r="D37" s="456">
        <f>MARZO!D37+ABRIL!P37</f>
        <v>0</v>
      </c>
      <c r="E37" s="456">
        <f>MARZO!E37+ABRIL!Q37</f>
        <v>0</v>
      </c>
      <c r="F37" s="170">
        <f t="shared" si="36"/>
        <v>0</v>
      </c>
      <c r="G37" s="283">
        <f>MARZO!I37</f>
        <v>0</v>
      </c>
      <c r="H37" s="457">
        <v>0</v>
      </c>
      <c r="I37" s="170">
        <f t="shared" si="37"/>
        <v>0</v>
      </c>
      <c r="J37" s="283">
        <f>MARZO!L37</f>
        <v>0</v>
      </c>
      <c r="K37" s="457">
        <v>0</v>
      </c>
      <c r="L37" s="170">
        <f t="shared" si="38"/>
        <v>0</v>
      </c>
      <c r="M37" s="283">
        <f t="shared" si="39"/>
        <v>0</v>
      </c>
      <c r="N37" s="170">
        <f t="shared" si="40"/>
        <v>0</v>
      </c>
      <c r="P37" s="455">
        <v>0</v>
      </c>
      <c r="Q37" s="458">
        <v>0</v>
      </c>
      <c r="R37" s="10"/>
      <c r="S37" s="155" t="str">
        <f>+IF(MARZO!S37=0,"",MARZO!S37)</f>
        <v>1010200-2</v>
      </c>
      <c r="T37" s="159" t="str">
        <f>+IF(MARZO!T37=0,"",MARZO!T37)</f>
        <v>Personal Supernumerario</v>
      </c>
      <c r="U37" s="29">
        <f>+ENERO!U37</f>
        <v>10000000</v>
      </c>
      <c r="V37" s="17">
        <f>MARZO!V37+ABRIL!AL37</f>
        <v>0</v>
      </c>
      <c r="W37" s="17">
        <f>MARZO!W37+ABRIL!AM37</f>
        <v>0</v>
      </c>
      <c r="X37" s="20">
        <f t="shared" si="41"/>
        <v>10000000</v>
      </c>
      <c r="Y37" s="21">
        <f>MARZO!AA37</f>
        <v>0</v>
      </c>
      <c r="Z37" s="457">
        <v>0</v>
      </c>
      <c r="AA37" s="20">
        <f t="shared" si="42"/>
        <v>0</v>
      </c>
      <c r="AB37" s="21">
        <f>MARZO!AD37</f>
        <v>0</v>
      </c>
      <c r="AC37" s="457">
        <v>0</v>
      </c>
      <c r="AD37" s="20">
        <f t="shared" si="43"/>
        <v>0</v>
      </c>
      <c r="AE37" s="21">
        <f>MARZO!AG37</f>
        <v>0</v>
      </c>
      <c r="AF37" s="457">
        <v>0</v>
      </c>
      <c r="AG37" s="20">
        <f t="shared" si="44"/>
        <v>0</v>
      </c>
      <c r="AH37" s="21">
        <f t="shared" si="45"/>
        <v>10000000</v>
      </c>
      <c r="AI37" s="17">
        <f t="shared" si="46"/>
        <v>10000000</v>
      </c>
      <c r="AJ37" s="18">
        <f t="shared" si="47"/>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+IF(MARZO!S38=0,"",MARZO!S38)</f>
        <v>1010200-3</v>
      </c>
      <c r="T38" s="159" t="str">
        <f>+IF(MARZO!T38=0,"",MARZO!T38)</f>
        <v>Honorarios de la Junta Directiva</v>
      </c>
      <c r="U38" s="29">
        <f>+ENERO!U38</f>
        <v>1098240</v>
      </c>
      <c r="V38" s="17">
        <f>MARZO!V38+ABRIL!AL38</f>
        <v>0</v>
      </c>
      <c r="W38" s="17">
        <f>MARZO!W38+ABRIL!AM38</f>
        <v>1200000</v>
      </c>
      <c r="X38" s="20">
        <f t="shared" si="41"/>
        <v>2298240</v>
      </c>
      <c r="Y38" s="21">
        <f>MARZO!AA38</f>
        <v>530550</v>
      </c>
      <c r="Z38" s="457">
        <v>554400</v>
      </c>
      <c r="AA38" s="20">
        <f t="shared" si="42"/>
        <v>1084950</v>
      </c>
      <c r="AB38" s="21">
        <f>MARZO!AD38</f>
        <v>530550</v>
      </c>
      <c r="AC38" s="457">
        <v>554400</v>
      </c>
      <c r="AD38" s="20">
        <f t="shared" si="43"/>
        <v>1084950</v>
      </c>
      <c r="AE38" s="21">
        <f>MARZO!AG38</f>
        <v>530550</v>
      </c>
      <c r="AF38" s="457">
        <v>0</v>
      </c>
      <c r="AG38" s="20">
        <f t="shared" si="44"/>
        <v>530550</v>
      </c>
      <c r="AH38" s="21">
        <f t="shared" si="45"/>
        <v>1213290</v>
      </c>
      <c r="AI38" s="17">
        <f t="shared" si="46"/>
        <v>1213290</v>
      </c>
      <c r="AJ38" s="18">
        <f t="shared" si="47"/>
        <v>1767690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+IF(MARZO!S39=0,"",MARZO!S39)</f>
        <v>1010200-4</v>
      </c>
      <c r="T39" s="159" t="str">
        <f>+IF(MARZO!T39=0,"",MARZO!T39)</f>
        <v>Otros Honorarios (Servicios de Cooperativa)</v>
      </c>
      <c r="U39" s="29">
        <f>+ENERO!U39</f>
        <v>80796809</v>
      </c>
      <c r="V39" s="17">
        <f>MARZO!V39+ABRIL!AL39</f>
        <v>0</v>
      </c>
      <c r="W39" s="17">
        <f>MARZO!W39+ABRIL!AM39</f>
        <v>0</v>
      </c>
      <c r="X39" s="20">
        <f t="shared" si="41"/>
        <v>80796809</v>
      </c>
      <c r="Y39" s="21">
        <f>MARZO!AA39</f>
        <v>10017192</v>
      </c>
      <c r="Z39" s="457">
        <v>3719796</v>
      </c>
      <c r="AA39" s="20">
        <f t="shared" si="42"/>
        <v>13736988</v>
      </c>
      <c r="AB39" s="21">
        <f>MARZO!AD39</f>
        <v>10016392</v>
      </c>
      <c r="AC39" s="457">
        <v>3719796</v>
      </c>
      <c r="AD39" s="20">
        <f t="shared" si="43"/>
        <v>13736188</v>
      </c>
      <c r="AE39" s="21">
        <f>MARZO!AG39</f>
        <v>6296596</v>
      </c>
      <c r="AF39" s="457">
        <v>5219796</v>
      </c>
      <c r="AG39" s="20">
        <f t="shared" si="44"/>
        <v>11516392</v>
      </c>
      <c r="AH39" s="21">
        <f t="shared" si="45"/>
        <v>67059821</v>
      </c>
      <c r="AI39" s="17">
        <f t="shared" si="46"/>
        <v>67060621</v>
      </c>
      <c r="AJ39" s="18">
        <f t="shared" si="47"/>
        <v>69280417</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+IF(MARZO!S40=0,"",MARZO!S40)</f>
        <v>1010200-6</v>
      </c>
      <c r="T40" s="159" t="str">
        <f>+IF(MARZO!T40=0,"",MARZO!T40)</f>
        <v>Certificación, Habilitación y Acreditación</v>
      </c>
      <c r="U40" s="29">
        <f>+ENERO!U40</f>
        <v>0</v>
      </c>
      <c r="V40" s="17">
        <f>MARZO!V40+ABRIL!AL40</f>
        <v>0</v>
      </c>
      <c r="W40" s="17">
        <f>MARZO!W40+ABRIL!AM40</f>
        <v>0</v>
      </c>
      <c r="X40" s="20">
        <f t="shared" si="41"/>
        <v>0</v>
      </c>
      <c r="Y40" s="21">
        <f>MARZO!AA40</f>
        <v>0</v>
      </c>
      <c r="Z40" s="457">
        <v>0</v>
      </c>
      <c r="AA40" s="20">
        <f t="shared" si="42"/>
        <v>0</v>
      </c>
      <c r="AB40" s="21">
        <f>MARZO!AD40</f>
        <v>0</v>
      </c>
      <c r="AC40" s="457">
        <v>0</v>
      </c>
      <c r="AD40" s="20">
        <f t="shared" si="43"/>
        <v>0</v>
      </c>
      <c r="AE40" s="21">
        <f>MARZO!AG40</f>
        <v>0</v>
      </c>
      <c r="AF40" s="457">
        <v>0</v>
      </c>
      <c r="AG40" s="20">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57">
        <f>+IF(MARZO!A41=0,"",MARZO!A41)</f>
        <v>1130104</v>
      </c>
      <c r="B41" s="45" t="str">
        <f>+IF(MARZO!B41=0,"",MARZO!B41)</f>
        <v>SUBSIDIO A LA OFERTA- ACTIVIDADES NO POS-S</v>
      </c>
      <c r="C41" s="27">
        <f>+ENERO!C41</f>
        <v>0</v>
      </c>
      <c r="D41" s="27">
        <f>MARZO!D41+ABRIL!P41</f>
        <v>0</v>
      </c>
      <c r="E41" s="27">
        <f>MARZO!E41+ABRIL!Q41</f>
        <v>0</v>
      </c>
      <c r="F41" s="28">
        <f t="shared" si="36"/>
        <v>0</v>
      </c>
      <c r="G41" s="31">
        <f>MARZO!I41</f>
        <v>0</v>
      </c>
      <c r="H41" s="457">
        <v>0</v>
      </c>
      <c r="I41" s="28">
        <f t="shared" si="37"/>
        <v>0</v>
      </c>
      <c r="J41" s="31">
        <f>MARZO!L41</f>
        <v>0</v>
      </c>
      <c r="K41" s="457">
        <v>0</v>
      </c>
      <c r="L41" s="28">
        <f t="shared" si="38"/>
        <v>0</v>
      </c>
      <c r="M41" s="31">
        <f t="shared" si="39"/>
        <v>0</v>
      </c>
      <c r="N41" s="28">
        <f t="shared" si="40"/>
        <v>0</v>
      </c>
      <c r="O41" s="467"/>
      <c r="P41" s="455">
        <v>0</v>
      </c>
      <c r="Q41" s="458">
        <v>0</v>
      </c>
      <c r="R41" s="10"/>
      <c r="S41" s="155">
        <f>+IF(MARZO!S41=0,"",MARZO!S41)</f>
        <v>1010299</v>
      </c>
      <c r="T41" s="159" t="str">
        <f>+IF(MARZO!T41=0,"",MARZO!T41)</f>
        <v>Vigencias Anteriores</v>
      </c>
      <c r="U41" s="29">
        <f>+ENERO!U41</f>
        <v>5520741</v>
      </c>
      <c r="V41" s="17">
        <f>MARZO!V41+ABRIL!AL41</f>
        <v>-2668000</v>
      </c>
      <c r="W41" s="17">
        <f>MARZO!W41+ABRIL!AM41</f>
        <v>0</v>
      </c>
      <c r="X41" s="20">
        <f t="shared" si="41"/>
        <v>2852741</v>
      </c>
      <c r="Y41" s="21">
        <f>MARZO!AA41</f>
        <v>2852741</v>
      </c>
      <c r="Z41" s="457">
        <v>0</v>
      </c>
      <c r="AA41" s="20">
        <f t="shared" si="42"/>
        <v>2852741</v>
      </c>
      <c r="AB41" s="21">
        <f>MARZO!AD41</f>
        <v>2852741</v>
      </c>
      <c r="AC41" s="457">
        <v>0</v>
      </c>
      <c r="AD41" s="20">
        <f t="shared" si="43"/>
        <v>2852741</v>
      </c>
      <c r="AE41" s="21">
        <f>MARZO!AG41</f>
        <v>2852741</v>
      </c>
      <c r="AF41" s="457">
        <v>0</v>
      </c>
      <c r="AG41" s="20">
        <f t="shared" si="44"/>
        <v>2852741</v>
      </c>
      <c r="AH41" s="21">
        <f t="shared" si="45"/>
        <v>0</v>
      </c>
      <c r="AI41" s="17">
        <f t="shared" si="46"/>
        <v>0</v>
      </c>
      <c r="AJ41" s="18">
        <f t="shared" si="47"/>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+IF(MARZO!A42=0,"",MARZO!A42)</f>
        <v>1130106</v>
      </c>
      <c r="B42" s="45" t="str">
        <f>+IF(MARZO!B42=0,"",MARZO!B42)</f>
        <v>SALUD PUBLICA - PLAN DE INTERVENCIONES COLECTIVAS</v>
      </c>
      <c r="C42" s="53">
        <f t="shared" ref="C42:N42" si="48">SUM(C43:C44)</f>
        <v>125397398</v>
      </c>
      <c r="D42" s="53">
        <f t="shared" si="48"/>
        <v>0</v>
      </c>
      <c r="E42" s="53">
        <f t="shared" si="48"/>
        <v>0</v>
      </c>
      <c r="F42" s="54">
        <f t="shared" si="48"/>
        <v>125397398</v>
      </c>
      <c r="G42" s="52">
        <f t="shared" si="48"/>
        <v>10017527</v>
      </c>
      <c r="H42" s="53">
        <f t="shared" si="48"/>
        <v>10017527</v>
      </c>
      <c r="I42" s="54">
        <f t="shared" si="48"/>
        <v>20035054</v>
      </c>
      <c r="J42" s="52">
        <f t="shared" si="48"/>
        <v>10017527</v>
      </c>
      <c r="K42" s="53">
        <f t="shared" si="48"/>
        <v>0</v>
      </c>
      <c r="L42" s="54">
        <f t="shared" si="48"/>
        <v>10017527</v>
      </c>
      <c r="M42" s="52">
        <f t="shared" si="48"/>
        <v>105362344</v>
      </c>
      <c r="N42" s="54">
        <f t="shared" si="48"/>
        <v>115379871</v>
      </c>
      <c r="P42" s="52">
        <f>SUM(P43:P44)</f>
        <v>0</v>
      </c>
      <c r="Q42" s="54">
        <f>SUM(Q43:Q44)</f>
        <v>0</v>
      </c>
      <c r="R42" s="10"/>
      <c r="S42" s="448" t="str">
        <f>+IF(MARZO!S42=0,"",MARZO!S42)</f>
        <v/>
      </c>
      <c r="T42" s="649" t="str">
        <f>+IF(MARZO!T42=0,"",MARZO!T42)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+IF(MARZO!A43=0,"",MARZO!A43)</f>
        <v>1130106-1</v>
      </c>
      <c r="B43" s="189" t="str">
        <f>+CONCATENATE("Vigencia ",INSTRUCCIONES!$F$3)</f>
        <v>Vigencia 2014</v>
      </c>
      <c r="C43" s="456">
        <f>+ENERO!C43</f>
        <v>125397398</v>
      </c>
      <c r="D43" s="456">
        <f>MARZO!D43+ABRIL!P43</f>
        <v>0</v>
      </c>
      <c r="E43" s="456">
        <f>MARZO!E43+ABRIL!Q43</f>
        <v>0</v>
      </c>
      <c r="F43" s="170">
        <f>SUM(C43:E43)</f>
        <v>125397398</v>
      </c>
      <c r="G43" s="283">
        <f>MARZO!I43</f>
        <v>10017527</v>
      </c>
      <c r="H43" s="457">
        <v>10017527</v>
      </c>
      <c r="I43" s="170">
        <f>SUM(G43:H43)</f>
        <v>20035054</v>
      </c>
      <c r="J43" s="283">
        <f>MARZO!L43</f>
        <v>10017527</v>
      </c>
      <c r="K43" s="457">
        <v>0</v>
      </c>
      <c r="L43" s="170">
        <f>SUM(J43:K43)</f>
        <v>10017527</v>
      </c>
      <c r="M43" s="283">
        <f>F43-I43</f>
        <v>105362344</v>
      </c>
      <c r="N43" s="170">
        <f>F43-L43</f>
        <v>115379871</v>
      </c>
      <c r="O43" s="467"/>
      <c r="P43" s="455">
        <v>0</v>
      </c>
      <c r="Q43" s="458">
        <v>0</v>
      </c>
      <c r="R43" s="10"/>
      <c r="S43" s="34">
        <f>+IF(MARZO!S43=0,"",MARZO!S43)</f>
        <v>1010300</v>
      </c>
      <c r="T43" s="158" t="str">
        <f>+IF(MARZO!T43=0,"",MARZO!T43)</f>
        <v>Contribuciones Inherentes nómina al Sector Privado</v>
      </c>
      <c r="U43" s="157">
        <f t="shared" ref="U43:AJ43" si="49">U44+U49+U55</f>
        <v>119647956</v>
      </c>
      <c r="V43" s="144">
        <f t="shared" si="49"/>
        <v>487148</v>
      </c>
      <c r="W43" s="144">
        <f t="shared" si="49"/>
        <v>0</v>
      </c>
      <c r="X43" s="152">
        <f t="shared" si="49"/>
        <v>120135104</v>
      </c>
      <c r="Y43" s="151">
        <f t="shared" si="49"/>
        <v>49083431</v>
      </c>
      <c r="Z43" s="144">
        <f t="shared" si="49"/>
        <v>7562600</v>
      </c>
      <c r="AA43" s="152">
        <f t="shared" si="49"/>
        <v>56646031</v>
      </c>
      <c r="AB43" s="151">
        <f t="shared" si="49"/>
        <v>49083431</v>
      </c>
      <c r="AC43" s="144">
        <f t="shared" si="49"/>
        <v>7562600</v>
      </c>
      <c r="AD43" s="152">
        <f t="shared" si="49"/>
        <v>56646031</v>
      </c>
      <c r="AE43" s="151">
        <f t="shared" si="49"/>
        <v>44062002</v>
      </c>
      <c r="AF43" s="144">
        <f t="shared" si="49"/>
        <v>7363281</v>
      </c>
      <c r="AG43" s="152">
        <f t="shared" si="49"/>
        <v>51425283</v>
      </c>
      <c r="AH43" s="151">
        <f t="shared" si="49"/>
        <v>63489073</v>
      </c>
      <c r="AI43" s="144">
        <f t="shared" si="49"/>
        <v>63489073</v>
      </c>
      <c r="AJ43" s="153">
        <f t="shared" si="49"/>
        <v>68709821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+IF(MARZO!A44=0,"",MARZO!A44)</f>
        <v>1130106-2</v>
      </c>
      <c r="B44" s="189" t="str">
        <f>+IF(MARZO!B44=0,"",MARZO!B44)</f>
        <v>Vigencias Anteriores</v>
      </c>
      <c r="C44" s="456">
        <f>+ENERO!C44</f>
        <v>0</v>
      </c>
      <c r="D44" s="456">
        <f>MARZO!D44+ABRIL!P44</f>
        <v>0</v>
      </c>
      <c r="E44" s="456">
        <f>MARZO!E44+ABRIL!Q44</f>
        <v>0</v>
      </c>
      <c r="F44" s="170">
        <f>SUM(C44:E44)</f>
        <v>0</v>
      </c>
      <c r="G44" s="283">
        <f>MARZO!I44</f>
        <v>0</v>
      </c>
      <c r="H44" s="457">
        <v>0</v>
      </c>
      <c r="I44" s="170">
        <f>SUM(G44:H44)</f>
        <v>0</v>
      </c>
      <c r="J44" s="283">
        <f>MARZO!L44</f>
        <v>0</v>
      </c>
      <c r="K44" s="457">
        <v>0</v>
      </c>
      <c r="L44" s="170">
        <f>SUM(J44:K44)</f>
        <v>0</v>
      </c>
      <c r="M44" s="283">
        <f>F44-I44</f>
        <v>0</v>
      </c>
      <c r="N44" s="170">
        <f>F44-L44</f>
        <v>0</v>
      </c>
      <c r="O44" s="467"/>
      <c r="P44" s="455">
        <v>0</v>
      </c>
      <c r="Q44" s="458">
        <v>0</v>
      </c>
      <c r="R44" s="10"/>
      <c r="S44" s="155">
        <f>+IF(MARZO!S44=0,"",MARZO!S44)</f>
        <v>1010301</v>
      </c>
      <c r="T44" s="159" t="str">
        <f>+IF(MARZO!T44=0,"",MARZO!T44)</f>
        <v>Contribuciones - Sin Situación de Fondos</v>
      </c>
      <c r="U44" s="29">
        <f t="shared" ref="U44:AJ44" si="50">SUM(U45:U48)</f>
        <v>56401928</v>
      </c>
      <c r="V44" s="17">
        <f t="shared" si="50"/>
        <v>0</v>
      </c>
      <c r="W44" s="17">
        <f t="shared" si="50"/>
        <v>0</v>
      </c>
      <c r="X44" s="20">
        <f t="shared" si="50"/>
        <v>56401928</v>
      </c>
      <c r="Y44" s="21">
        <f t="shared" si="50"/>
        <v>8162725</v>
      </c>
      <c r="Z44" s="169">
        <f t="shared" si="50"/>
        <v>4175800</v>
      </c>
      <c r="AA44" s="20">
        <f t="shared" si="50"/>
        <v>12338525</v>
      </c>
      <c r="AB44" s="21">
        <f t="shared" si="50"/>
        <v>8162725</v>
      </c>
      <c r="AC44" s="169">
        <f t="shared" si="50"/>
        <v>4175800</v>
      </c>
      <c r="AD44" s="20">
        <f t="shared" si="50"/>
        <v>12338525</v>
      </c>
      <c r="AE44" s="21">
        <f t="shared" si="50"/>
        <v>8162725</v>
      </c>
      <c r="AF44" s="169">
        <f t="shared" si="50"/>
        <v>2829000</v>
      </c>
      <c r="AG44" s="20">
        <f t="shared" si="50"/>
        <v>10991725</v>
      </c>
      <c r="AH44" s="21">
        <f t="shared" si="50"/>
        <v>44063403</v>
      </c>
      <c r="AI44" s="17">
        <f t="shared" si="50"/>
        <v>44063403</v>
      </c>
      <c r="AJ44" s="18">
        <f t="shared" si="50"/>
        <v>45410203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+IF(MARZO!A45=0,"",MARZO!A45)</f>
        <v>1130107</v>
      </c>
      <c r="B45" s="45" t="str">
        <f>+IF(MARZO!B45=0,"",MARZO!B45)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+IF(MARZO!S45=0,"",MARZO!S45)</f>
        <v>1010301-1</v>
      </c>
      <c r="T45" s="55" t="str">
        <f>+IF(MARZO!T45=0,"",MARZO!T45)</f>
        <v>Aportes a E.P.S.- Sin sit. Fondos</v>
      </c>
      <c r="U45" s="29">
        <f>+ENERO!U45</f>
        <v>24712429</v>
      </c>
      <c r="V45" s="17">
        <f>MARZO!V45+ABRIL!AL45</f>
        <v>0</v>
      </c>
      <c r="W45" s="17">
        <f>MARZO!W45+ABRIL!AM45</f>
        <v>0</v>
      </c>
      <c r="X45" s="20">
        <f>SUM(U45:W45)</f>
        <v>24712429</v>
      </c>
      <c r="Y45" s="21">
        <f>MARZO!AA45</f>
        <v>3435625</v>
      </c>
      <c r="Z45" s="457">
        <v>2519800</v>
      </c>
      <c r="AA45" s="20">
        <f>SUM(Y45:Z45)</f>
        <v>5955425</v>
      </c>
      <c r="AB45" s="21">
        <f>MARZO!AD45</f>
        <v>3435625</v>
      </c>
      <c r="AC45" s="457">
        <v>2519800</v>
      </c>
      <c r="AD45" s="20">
        <f>SUM(AB45:AC45)</f>
        <v>5955425</v>
      </c>
      <c r="AE45" s="21">
        <f>MARZO!AG45</f>
        <v>3435625</v>
      </c>
      <c r="AF45" s="457">
        <v>1173000</v>
      </c>
      <c r="AG45" s="20">
        <f>SUM(AE45:AF45)</f>
        <v>4608625</v>
      </c>
      <c r="AH45" s="21">
        <f>X45-AA45</f>
        <v>18757004</v>
      </c>
      <c r="AI45" s="17">
        <f>X45-AD45</f>
        <v>18757004</v>
      </c>
      <c r="AJ45" s="18">
        <f>X45-AG45</f>
        <v>20103804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+IF(MARZO!A46=0,"",MARZO!A46)</f>
        <v>1130107-1</v>
      </c>
      <c r="B46" s="189" t="str">
        <f>+CONCATENATE("Vigencia ",INSTRUCCIONES!$F$3)</f>
        <v>Vigencia 2014</v>
      </c>
      <c r="C46" s="456">
        <f>+ENERO!C46</f>
        <v>0</v>
      </c>
      <c r="D46" s="456">
        <f>MARZO!D46+ABRIL!P46</f>
        <v>0</v>
      </c>
      <c r="E46" s="456">
        <f>MARZO!E46+ABRIL!Q46</f>
        <v>0</v>
      </c>
      <c r="F46" s="170">
        <f>SUM(C46:E46)</f>
        <v>0</v>
      </c>
      <c r="G46" s="283">
        <f>MARZO!I46</f>
        <v>0</v>
      </c>
      <c r="H46" s="457">
        <v>0</v>
      </c>
      <c r="I46" s="170">
        <f>SUM(G46:H46)</f>
        <v>0</v>
      </c>
      <c r="J46" s="283">
        <f>MARZO!L46</f>
        <v>0</v>
      </c>
      <c r="K46" s="457">
        <v>0</v>
      </c>
      <c r="L46" s="170">
        <f>SUM(J46:K46)</f>
        <v>0</v>
      </c>
      <c r="M46" s="283">
        <f>F46-I46</f>
        <v>0</v>
      </c>
      <c r="N46" s="170">
        <f>F46-L46</f>
        <v>0</v>
      </c>
      <c r="O46" s="467"/>
      <c r="P46" s="455">
        <v>0</v>
      </c>
      <c r="Q46" s="458">
        <v>0</v>
      </c>
      <c r="R46" s="10"/>
      <c r="S46" s="156" t="str">
        <f>+IF(MARZO!S46=0,"",MARZO!S46)</f>
        <v>1010301-2</v>
      </c>
      <c r="T46" s="55" t="str">
        <f>+IF(MARZO!T46=0,"",MARZO!T46)</f>
        <v>Aportes Fondos Pensionales - Sin Sit. Fondos</v>
      </c>
      <c r="U46" s="29">
        <f>+ENERO!U46</f>
        <v>26693987</v>
      </c>
      <c r="V46" s="17">
        <f>MARZO!V46+ABRIL!AL46</f>
        <v>0</v>
      </c>
      <c r="W46" s="17">
        <f>MARZO!W46+ABRIL!AM46</f>
        <v>0</v>
      </c>
      <c r="X46" s="20">
        <f>SUM(U46:W46)</f>
        <v>26693987</v>
      </c>
      <c r="Y46" s="21">
        <f>MARZO!AA46</f>
        <v>4727100</v>
      </c>
      <c r="Z46" s="457">
        <v>1656000</v>
      </c>
      <c r="AA46" s="20">
        <f>SUM(Y46:Z46)</f>
        <v>6383100</v>
      </c>
      <c r="AB46" s="21">
        <f>MARZO!AD46</f>
        <v>4727100</v>
      </c>
      <c r="AC46" s="457">
        <v>1656000</v>
      </c>
      <c r="AD46" s="20">
        <f>SUM(AB46:AC46)</f>
        <v>6383100</v>
      </c>
      <c r="AE46" s="21">
        <f>MARZO!AG46</f>
        <v>4727100</v>
      </c>
      <c r="AF46" s="457">
        <v>1656000</v>
      </c>
      <c r="AG46" s="20">
        <f>SUM(AE46:AF46)</f>
        <v>6383100</v>
      </c>
      <c r="AH46" s="21">
        <f>X46-AA46</f>
        <v>20310887</v>
      </c>
      <c r="AI46" s="17">
        <f>X46-AD46</f>
        <v>20310887</v>
      </c>
      <c r="AJ46" s="18">
        <f>X46-AG46</f>
        <v>20310887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+IF(MARZO!A47=0,"",MARZO!A47)</f>
        <v>1130107-2</v>
      </c>
      <c r="B47" s="189" t="str">
        <f>+IF(MARZO!B47=0,"",MARZO!B47)</f>
        <v>Vigencias Anteriores</v>
      </c>
      <c r="C47" s="456">
        <f>+ENERO!C47</f>
        <v>0</v>
      </c>
      <c r="D47" s="456">
        <f>MARZO!D47+ABRIL!P47</f>
        <v>0</v>
      </c>
      <c r="E47" s="456">
        <f>MARZO!E47+ABRIL!Q47</f>
        <v>0</v>
      </c>
      <c r="F47" s="170">
        <f>SUM(C47:E47)</f>
        <v>0</v>
      </c>
      <c r="G47" s="283">
        <f>MARZO!I47</f>
        <v>0</v>
      </c>
      <c r="H47" s="457">
        <v>0</v>
      </c>
      <c r="I47" s="170">
        <f>SUM(G47:H47)</f>
        <v>0</v>
      </c>
      <c r="J47" s="283">
        <f>MARZO!L47</f>
        <v>0</v>
      </c>
      <c r="K47" s="457">
        <v>0</v>
      </c>
      <c r="L47" s="170">
        <f>SUM(J47:K47)</f>
        <v>0</v>
      </c>
      <c r="M47" s="283">
        <f>F47-I47</f>
        <v>0</v>
      </c>
      <c r="N47" s="170">
        <f>F47-L47</f>
        <v>0</v>
      </c>
      <c r="O47" s="467"/>
      <c r="P47" s="455">
        <v>0</v>
      </c>
      <c r="Q47" s="458">
        <v>0</v>
      </c>
      <c r="R47" s="10"/>
      <c r="S47" s="156" t="str">
        <f>+IF(MARZO!S47=0,"",MARZO!S47)</f>
        <v>1010301-3</v>
      </c>
      <c r="T47" s="55" t="str">
        <f>+IF(MARZO!T47=0,"",MARZO!T47)</f>
        <v xml:space="preserve">Aportes a Fondos de Cesantia - Sin Sit. de Fondos </v>
      </c>
      <c r="U47" s="29">
        <f>+ENERO!U47</f>
        <v>4995512</v>
      </c>
      <c r="V47" s="17">
        <f>MARZO!V47+ABRIL!AL47</f>
        <v>0</v>
      </c>
      <c r="W47" s="17">
        <f>MARZO!W47+ABRIL!AM47</f>
        <v>0</v>
      </c>
      <c r="X47" s="20">
        <f>SUM(U47:W47)</f>
        <v>4995512</v>
      </c>
      <c r="Y47" s="21">
        <f>MARZO!AA47</f>
        <v>0</v>
      </c>
      <c r="Z47" s="457">
        <v>0</v>
      </c>
      <c r="AA47" s="20">
        <f>SUM(Y47:Z47)</f>
        <v>0</v>
      </c>
      <c r="AB47" s="21">
        <f>MARZO!AD47</f>
        <v>0</v>
      </c>
      <c r="AC47" s="457">
        <v>0</v>
      </c>
      <c r="AD47" s="20">
        <f>SUM(AB47:AC47)</f>
        <v>0</v>
      </c>
      <c r="AE47" s="21">
        <f>MARZO!AG47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+IF(MARZO!A48=0,"",MARZO!A48)</f>
        <v>1130108</v>
      </c>
      <c r="B48" s="45" t="str">
        <f>+IF(MARZO!B48=0,"",MARZO!B48)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+IF(MARZO!S48=0,"",MARZO!S48)</f>
        <v>1010301-4</v>
      </c>
      <c r="T48" s="55" t="str">
        <f>+IF(MARZO!T48=0,"",MARZO!T48)</f>
        <v xml:space="preserve">Aporte a ARL. - Sin Sit. de Fondos </v>
      </c>
      <c r="U48" s="29">
        <f>+ENERO!U48</f>
        <v>0</v>
      </c>
      <c r="V48" s="17">
        <f>MARZO!V48+ABRIL!AL48</f>
        <v>0</v>
      </c>
      <c r="W48" s="17">
        <f>MARZO!W48+ABRIL!AM48</f>
        <v>0</v>
      </c>
      <c r="X48" s="20">
        <f>SUM(U48:W48)</f>
        <v>0</v>
      </c>
      <c r="Y48" s="21">
        <f>MARZO!AA48</f>
        <v>0</v>
      </c>
      <c r="Z48" s="457">
        <v>0</v>
      </c>
      <c r="AA48" s="20">
        <f>SUM(Y48:Z48)</f>
        <v>0</v>
      </c>
      <c r="AB48" s="21">
        <f>MARZO!AD48</f>
        <v>0</v>
      </c>
      <c r="AC48" s="457">
        <v>0</v>
      </c>
      <c r="AD48" s="20">
        <f>SUM(AB48:AC48)</f>
        <v>0</v>
      </c>
      <c r="AE48" s="21">
        <f>MARZO!AG48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+IF(MARZO!A49=0,"",MARZO!A49)</f>
        <v>1130108-1</v>
      </c>
      <c r="B49" s="189" t="str">
        <f>+CONCATENATE("Vigencia ",INSTRUCCIONES!$F$3)</f>
        <v>Vigencia 2014</v>
      </c>
      <c r="C49" s="456">
        <f>+ENERO!C49</f>
        <v>0</v>
      </c>
      <c r="D49" s="456">
        <f>MARZO!D49+ABRIL!P49</f>
        <v>0</v>
      </c>
      <c r="E49" s="456">
        <f>MARZO!E49+ABRIL!Q49</f>
        <v>0</v>
      </c>
      <c r="F49" s="170">
        <f>SUM(C49:E49)</f>
        <v>0</v>
      </c>
      <c r="G49" s="283">
        <f>MARZO!I49</f>
        <v>0</v>
      </c>
      <c r="H49" s="457">
        <v>0</v>
      </c>
      <c r="I49" s="170">
        <f>SUM(G49:H49)</f>
        <v>0</v>
      </c>
      <c r="J49" s="283">
        <f>MARZO!L49</f>
        <v>0</v>
      </c>
      <c r="K49" s="457">
        <v>0</v>
      </c>
      <c r="L49" s="170">
        <f>SUM(J49:K49)</f>
        <v>0</v>
      </c>
      <c r="M49" s="283">
        <f>F49-I49</f>
        <v>0</v>
      </c>
      <c r="N49" s="170">
        <f>F49-L49</f>
        <v>0</v>
      </c>
      <c r="O49" s="467"/>
      <c r="P49" s="455">
        <v>0</v>
      </c>
      <c r="Q49" s="458">
        <v>0</v>
      </c>
      <c r="R49" s="10"/>
      <c r="S49" s="155">
        <f>+IF(MARZO!S49=0,"",MARZO!S49)</f>
        <v>1010302</v>
      </c>
      <c r="T49" s="159" t="str">
        <f>+IF(MARZO!T49=0,"",MARZO!T49)</f>
        <v>Contribuciones - Otros</v>
      </c>
      <c r="U49" s="29">
        <f t="shared" ref="U49:AJ49" si="53">SUM(U50:U54)</f>
        <v>63246028</v>
      </c>
      <c r="V49" s="17">
        <f t="shared" si="53"/>
        <v>0</v>
      </c>
      <c r="W49" s="17">
        <f t="shared" si="53"/>
        <v>0</v>
      </c>
      <c r="X49" s="20">
        <f t="shared" si="53"/>
        <v>63246028</v>
      </c>
      <c r="Y49" s="21">
        <f t="shared" si="53"/>
        <v>40433558</v>
      </c>
      <c r="Z49" s="169">
        <f t="shared" si="53"/>
        <v>3386800</v>
      </c>
      <c r="AA49" s="20">
        <f t="shared" si="53"/>
        <v>43820358</v>
      </c>
      <c r="AB49" s="21">
        <f t="shared" si="53"/>
        <v>40433558</v>
      </c>
      <c r="AC49" s="169">
        <f t="shared" si="53"/>
        <v>3386800</v>
      </c>
      <c r="AD49" s="20">
        <f t="shared" si="53"/>
        <v>43820358</v>
      </c>
      <c r="AE49" s="21">
        <f t="shared" si="53"/>
        <v>35899277</v>
      </c>
      <c r="AF49" s="169">
        <f t="shared" si="53"/>
        <v>4534281</v>
      </c>
      <c r="AG49" s="20">
        <f t="shared" si="53"/>
        <v>40433558</v>
      </c>
      <c r="AH49" s="21">
        <f t="shared" si="53"/>
        <v>19425670</v>
      </c>
      <c r="AI49" s="17">
        <f t="shared" si="53"/>
        <v>19425670</v>
      </c>
      <c r="AJ49" s="18">
        <f t="shared" si="53"/>
        <v>22812470</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+IF(MARZO!A50=0,"",MARZO!A50)</f>
        <v>1130108-2</v>
      </c>
      <c r="B50" s="189" t="str">
        <f>+IF(MARZO!B50=0,"",MARZO!B50)</f>
        <v>Vigencias Anteriores</v>
      </c>
      <c r="C50" s="456">
        <f>+ENERO!C50</f>
        <v>0</v>
      </c>
      <c r="D50" s="456">
        <f>MARZO!D50+ABRIL!P50</f>
        <v>0</v>
      </c>
      <c r="E50" s="456">
        <f>MARZO!E50+ABRIL!Q50</f>
        <v>0</v>
      </c>
      <c r="F50" s="170">
        <f>SUM(C50:E50)</f>
        <v>0</v>
      </c>
      <c r="G50" s="283">
        <f>MARZO!I50</f>
        <v>0</v>
      </c>
      <c r="H50" s="457">
        <v>0</v>
      </c>
      <c r="I50" s="170">
        <f>SUM(G50:H50)</f>
        <v>0</v>
      </c>
      <c r="J50" s="283">
        <f>MARZO!L50</f>
        <v>0</v>
      </c>
      <c r="K50" s="457">
        <v>0</v>
      </c>
      <c r="L50" s="170">
        <f>SUM(J50:K50)</f>
        <v>0</v>
      </c>
      <c r="M50" s="283">
        <f>F50-I50</f>
        <v>0</v>
      </c>
      <c r="N50" s="170">
        <f>F50-L50</f>
        <v>0</v>
      </c>
      <c r="O50" s="467"/>
      <c r="P50" s="455">
        <v>0</v>
      </c>
      <c r="Q50" s="458">
        <v>0</v>
      </c>
      <c r="R50" s="10"/>
      <c r="S50" s="156" t="str">
        <f>+IF(MARZO!S50=0,"",MARZO!S50)</f>
        <v>1010302-1</v>
      </c>
      <c r="T50" s="55" t="str">
        <f>+IF(MARZO!T50=0,"",MARZO!T50)</f>
        <v>Aportes a E.P.S.- Con sit. Fondos</v>
      </c>
      <c r="U50" s="29">
        <f>+ENERO!U50</f>
        <v>4719263</v>
      </c>
      <c r="V50" s="17">
        <f>MARZO!V50+ABRIL!AL50</f>
        <v>0</v>
      </c>
      <c r="W50" s="17">
        <f>MARZO!W50+ABRIL!AM50</f>
        <v>0</v>
      </c>
      <c r="X50" s="20">
        <f t="shared" ref="X50:X55" si="54">SUM(U50:W50)</f>
        <v>4719263</v>
      </c>
      <c r="Y50" s="21">
        <f>MARZO!AA50</f>
        <v>4318160</v>
      </c>
      <c r="Z50" s="457">
        <v>0</v>
      </c>
      <c r="AA50" s="20">
        <f t="shared" ref="AA50:AA55" si="55">SUM(Y50:Z50)</f>
        <v>4318160</v>
      </c>
      <c r="AB50" s="21">
        <f>MARZO!AD50</f>
        <v>4318160</v>
      </c>
      <c r="AC50" s="457">
        <v>0</v>
      </c>
      <c r="AD50" s="20">
        <f t="shared" ref="AD50:AD55" si="56">SUM(AB50:AC50)</f>
        <v>4318160</v>
      </c>
      <c r="AE50" s="21">
        <f>MARZO!AG50</f>
        <v>2896060</v>
      </c>
      <c r="AF50" s="457">
        <v>1422100</v>
      </c>
      <c r="AG50" s="20">
        <f t="shared" ref="AG50:AG55" si="57">SUM(AE50:AF50)</f>
        <v>4318160</v>
      </c>
      <c r="AH50" s="21">
        <f t="shared" ref="AH50:AH55" si="58">X50-AA50</f>
        <v>401103</v>
      </c>
      <c r="AI50" s="17">
        <f t="shared" ref="AI50:AI55" si="59">X50-AD50</f>
        <v>401103</v>
      </c>
      <c r="AJ50" s="18">
        <f t="shared" ref="AJ50:AJ55" si="60">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+IF(MARZO!A51=0,"",MARZO!A51)</f>
        <v>1130109</v>
      </c>
      <c r="B51" s="45" t="str">
        <f>+IF(MARZO!B51=0,"",MARZO!B51)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+IF(MARZO!S51=0,"",MARZO!S51)</f>
        <v>1010302-2</v>
      </c>
      <c r="T51" s="55" t="str">
        <f>+IF(MARZO!T51=0,"",MARZO!T51)</f>
        <v>Aportes Fondos Pensionales - Con Sit. Fondos</v>
      </c>
      <c r="U51" s="29">
        <f>+ENERO!U51</f>
        <v>14856625</v>
      </c>
      <c r="V51" s="17">
        <f>MARZO!V51+ABRIL!AL51</f>
        <v>0</v>
      </c>
      <c r="W51" s="17">
        <f>MARZO!W51+ABRIL!AM51</f>
        <v>0</v>
      </c>
      <c r="X51" s="20">
        <f t="shared" si="54"/>
        <v>14856625</v>
      </c>
      <c r="Y51" s="21">
        <f>MARZO!AA51</f>
        <v>5790260</v>
      </c>
      <c r="Z51" s="457">
        <v>1901600</v>
      </c>
      <c r="AA51" s="20">
        <f t="shared" si="55"/>
        <v>7691860</v>
      </c>
      <c r="AB51" s="21">
        <f>MARZO!AD51</f>
        <v>5790260</v>
      </c>
      <c r="AC51" s="457">
        <v>1901600</v>
      </c>
      <c r="AD51" s="20">
        <f t="shared" si="56"/>
        <v>7691860</v>
      </c>
      <c r="AE51" s="21">
        <f>MARZO!AG51</f>
        <v>4257960</v>
      </c>
      <c r="AF51" s="457">
        <v>1532300</v>
      </c>
      <c r="AG51" s="20">
        <f t="shared" si="57"/>
        <v>5790260</v>
      </c>
      <c r="AH51" s="21">
        <f t="shared" si="58"/>
        <v>7164765</v>
      </c>
      <c r="AI51" s="17">
        <f t="shared" si="59"/>
        <v>7164765</v>
      </c>
      <c r="AJ51" s="18">
        <f t="shared" si="60"/>
        <v>9066365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+IF(MARZO!A52=0,"",MARZO!A52)</f>
        <v>1130109-1</v>
      </c>
      <c r="B52" s="189" t="str">
        <f>+CONCATENATE("Vigencia ",INSTRUCCIONES!$F$3)</f>
        <v>Vigencia 2014</v>
      </c>
      <c r="C52" s="456">
        <f>+ENERO!C52</f>
        <v>0</v>
      </c>
      <c r="D52" s="456">
        <f>MARZO!D52+ABRIL!P52</f>
        <v>0</v>
      </c>
      <c r="E52" s="456">
        <f>MARZO!E52+ABRIL!Q52</f>
        <v>0</v>
      </c>
      <c r="F52" s="170">
        <f>SUM(C52:E52)</f>
        <v>0</v>
      </c>
      <c r="G52" s="283">
        <f>MARZO!I52</f>
        <v>0</v>
      </c>
      <c r="H52" s="457">
        <v>0</v>
      </c>
      <c r="I52" s="170">
        <f>SUM(G52:H52)</f>
        <v>0</v>
      </c>
      <c r="J52" s="283">
        <f>MARZO!L52</f>
        <v>0</v>
      </c>
      <c r="K52" s="457">
        <v>0</v>
      </c>
      <c r="L52" s="170">
        <f>SUM(J52:K52)</f>
        <v>0</v>
      </c>
      <c r="M52" s="283">
        <f>F52-I52</f>
        <v>0</v>
      </c>
      <c r="N52" s="170">
        <f>F52-L52</f>
        <v>0</v>
      </c>
      <c r="O52" s="467"/>
      <c r="P52" s="455">
        <v>0</v>
      </c>
      <c r="Q52" s="458">
        <v>0</v>
      </c>
      <c r="R52" s="10"/>
      <c r="S52" s="156" t="str">
        <f>+IF(MARZO!S52=0,"",MARZO!S52)</f>
        <v>1010302-3</v>
      </c>
      <c r="T52" s="55" t="str">
        <f>+IF(MARZO!T52=0,"",MARZO!T52)</f>
        <v xml:space="preserve">Aportes a Fondos de Cesantia - Con Sit. de Fondos </v>
      </c>
      <c r="U52" s="29">
        <f>+ENERO!U52</f>
        <v>26296821</v>
      </c>
      <c r="V52" s="17">
        <f>MARZO!V52+ABRIL!AL52</f>
        <v>0</v>
      </c>
      <c r="W52" s="17">
        <f>MARZO!W52+ABRIL!AM52</f>
        <v>0</v>
      </c>
      <c r="X52" s="20">
        <f t="shared" si="54"/>
        <v>26296821</v>
      </c>
      <c r="Y52" s="21">
        <f>MARZO!AA52</f>
        <v>25977938</v>
      </c>
      <c r="Z52" s="457">
        <v>0</v>
      </c>
      <c r="AA52" s="20">
        <f t="shared" si="55"/>
        <v>25977938</v>
      </c>
      <c r="AB52" s="21">
        <f>MARZO!AD52</f>
        <v>25977938</v>
      </c>
      <c r="AC52" s="457">
        <v>0</v>
      </c>
      <c r="AD52" s="20">
        <f t="shared" si="56"/>
        <v>25977938</v>
      </c>
      <c r="AE52" s="21">
        <f>MARZO!AG52</f>
        <v>25908757</v>
      </c>
      <c r="AF52" s="457">
        <v>69181</v>
      </c>
      <c r="AG52" s="20">
        <f t="shared" si="57"/>
        <v>25977938</v>
      </c>
      <c r="AH52" s="21">
        <f t="shared" si="58"/>
        <v>318883</v>
      </c>
      <c r="AI52" s="17">
        <f t="shared" si="59"/>
        <v>318883</v>
      </c>
      <c r="AJ52" s="18">
        <f t="shared" si="60"/>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+IF(MARZO!A53=0,"",MARZO!A53)</f>
        <v>1130109-2</v>
      </c>
      <c r="B53" s="189" t="str">
        <f>+IF(MARZO!B53=0,"",MARZO!B53)</f>
        <v>Vigencias Anteriores</v>
      </c>
      <c r="C53" s="456">
        <f>+ENERO!C53</f>
        <v>0</v>
      </c>
      <c r="D53" s="456">
        <f>MARZO!D53+ABRIL!P53</f>
        <v>0</v>
      </c>
      <c r="E53" s="456">
        <f>MARZO!E53+ABRIL!Q53</f>
        <v>0</v>
      </c>
      <c r="F53" s="170">
        <f>SUM(C53:E53)</f>
        <v>0</v>
      </c>
      <c r="G53" s="283">
        <f>MARZO!I53</f>
        <v>0</v>
      </c>
      <c r="H53" s="457">
        <v>0</v>
      </c>
      <c r="I53" s="170">
        <f>SUM(G53:H53)</f>
        <v>0</v>
      </c>
      <c r="J53" s="283">
        <f>MARZO!L53</f>
        <v>0</v>
      </c>
      <c r="K53" s="457">
        <v>0</v>
      </c>
      <c r="L53" s="170">
        <f>SUM(J53:K53)</f>
        <v>0</v>
      </c>
      <c r="M53" s="283">
        <f>F53-I53</f>
        <v>0</v>
      </c>
      <c r="N53" s="170">
        <f>F53-L53</f>
        <v>0</v>
      </c>
      <c r="O53" s="467"/>
      <c r="P53" s="455">
        <v>0</v>
      </c>
      <c r="Q53" s="458">
        <v>0</v>
      </c>
      <c r="R53" s="10"/>
      <c r="S53" s="156" t="str">
        <f>+IF(MARZO!S53=0,"",MARZO!S53)</f>
        <v>1010302-4</v>
      </c>
      <c r="T53" s="55" t="str">
        <f>+IF(MARZO!T53=0,"",MARZO!T53)</f>
        <v>Aporte a ARL. - Con Sit. de Fondos</v>
      </c>
      <c r="U53" s="29">
        <f>+ENERO!U53</f>
        <v>1807452</v>
      </c>
      <c r="V53" s="17">
        <f>MARZO!V53+ABRIL!AL53</f>
        <v>0</v>
      </c>
      <c r="W53" s="17">
        <f>MARZO!W53+ABRIL!AM53</f>
        <v>0</v>
      </c>
      <c r="X53" s="20">
        <f t="shared" si="54"/>
        <v>1807452</v>
      </c>
      <c r="Y53" s="21">
        <f>MARZO!AA53</f>
        <v>865700</v>
      </c>
      <c r="Z53" s="457">
        <v>299400</v>
      </c>
      <c r="AA53" s="20">
        <f t="shared" si="55"/>
        <v>1165100</v>
      </c>
      <c r="AB53" s="21">
        <f>MARZO!AD53</f>
        <v>865700</v>
      </c>
      <c r="AC53" s="457">
        <v>299400</v>
      </c>
      <c r="AD53" s="20">
        <f t="shared" si="56"/>
        <v>1165100</v>
      </c>
      <c r="AE53" s="21">
        <f>MARZO!AG53</f>
        <v>556100</v>
      </c>
      <c r="AF53" s="457">
        <v>309600</v>
      </c>
      <c r="AG53" s="20">
        <f t="shared" si="57"/>
        <v>865700</v>
      </c>
      <c r="AH53" s="21">
        <f t="shared" si="58"/>
        <v>642352</v>
      </c>
      <c r="AI53" s="17">
        <f t="shared" si="59"/>
        <v>642352</v>
      </c>
      <c r="AJ53" s="18">
        <f t="shared" si="60"/>
        <v>941752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+IF(MARZO!A54=0,"",MARZO!A54)</f>
        <v>1130110</v>
      </c>
      <c r="B54" s="45" t="str">
        <f>+IF(MARZO!B54=0,"",MARZO!B54)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+IF(MARZO!S54=0,"",MARZO!S54)</f>
        <v>1010302-5</v>
      </c>
      <c r="T54" s="55" t="str">
        <f>+IF(MARZO!T54=0,"",MARZO!T54)</f>
        <v>Aporte a Caja Compensación Familiar</v>
      </c>
      <c r="U54" s="29">
        <f>+ENERO!U54</f>
        <v>15565867</v>
      </c>
      <c r="V54" s="17">
        <f>MARZO!V54+ABRIL!AL54</f>
        <v>0</v>
      </c>
      <c r="W54" s="17">
        <f>MARZO!W54+ABRIL!AM54</f>
        <v>0</v>
      </c>
      <c r="X54" s="20">
        <f t="shared" si="54"/>
        <v>15565867</v>
      </c>
      <c r="Y54" s="21">
        <f>MARZO!AA54</f>
        <v>3481500</v>
      </c>
      <c r="Z54" s="457">
        <v>1185800</v>
      </c>
      <c r="AA54" s="20">
        <f t="shared" si="55"/>
        <v>4667300</v>
      </c>
      <c r="AB54" s="21">
        <f>MARZO!AD54</f>
        <v>3481500</v>
      </c>
      <c r="AC54" s="457">
        <v>1185800</v>
      </c>
      <c r="AD54" s="20">
        <f t="shared" si="56"/>
        <v>4667300</v>
      </c>
      <c r="AE54" s="21">
        <f>MARZO!AG54</f>
        <v>2280400</v>
      </c>
      <c r="AF54" s="457">
        <v>1201100</v>
      </c>
      <c r="AG54" s="20">
        <f t="shared" si="57"/>
        <v>3481500</v>
      </c>
      <c r="AH54" s="21">
        <f t="shared" si="58"/>
        <v>10898567</v>
      </c>
      <c r="AI54" s="17">
        <f t="shared" si="59"/>
        <v>10898567</v>
      </c>
      <c r="AJ54" s="18">
        <f t="shared" si="60"/>
        <v>12084367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+IF(MARZO!A55=0,"",MARZO!A55)</f>
        <v>1130110-1</v>
      </c>
      <c r="B55" s="189" t="str">
        <f>+CONCATENATE("Vigencia ",INSTRUCCIONES!$F$3)</f>
        <v>Vigencia 2014</v>
      </c>
      <c r="C55" s="456">
        <f>+ENERO!C55</f>
        <v>0</v>
      </c>
      <c r="D55" s="456">
        <f>MARZO!D55+ABRIL!P55</f>
        <v>0</v>
      </c>
      <c r="E55" s="456">
        <f>MARZO!E55+ABRIL!Q55</f>
        <v>0</v>
      </c>
      <c r="F55" s="170">
        <f>SUM(C55:E55)</f>
        <v>0</v>
      </c>
      <c r="G55" s="283">
        <f>MARZO!I55</f>
        <v>0</v>
      </c>
      <c r="H55" s="457">
        <v>0</v>
      </c>
      <c r="I55" s="170">
        <f>SUM(G55:H55)</f>
        <v>0</v>
      </c>
      <c r="J55" s="283">
        <f>MARZO!L55</f>
        <v>0</v>
      </c>
      <c r="K55" s="457">
        <v>0</v>
      </c>
      <c r="L55" s="170">
        <f>SUM(J55:K55)</f>
        <v>0</v>
      </c>
      <c r="M55" s="283">
        <f>F55-I55</f>
        <v>0</v>
      </c>
      <c r="N55" s="170">
        <f>F55-L55</f>
        <v>0</v>
      </c>
      <c r="O55" s="467"/>
      <c r="P55" s="455">
        <v>0</v>
      </c>
      <c r="Q55" s="458">
        <v>0</v>
      </c>
      <c r="R55" s="10"/>
      <c r="S55" s="155">
        <f>+IF(MARZO!S55=0,"",MARZO!S55)</f>
        <v>1010399</v>
      </c>
      <c r="T55" s="159" t="str">
        <f>+IF(MARZO!T55=0,"",MARZO!T55)</f>
        <v>Vigencias Anteriores</v>
      </c>
      <c r="U55" s="29">
        <f>+ENERO!U55</f>
        <v>0</v>
      </c>
      <c r="V55" s="17">
        <f>MARZO!V55+ABRIL!AL55</f>
        <v>487148</v>
      </c>
      <c r="W55" s="17">
        <f>MARZO!W55+ABRIL!AM55</f>
        <v>0</v>
      </c>
      <c r="X55" s="20">
        <f t="shared" si="54"/>
        <v>487148</v>
      </c>
      <c r="Y55" s="21">
        <f>MARZO!AA55</f>
        <v>487148</v>
      </c>
      <c r="Z55" s="457">
        <v>0</v>
      </c>
      <c r="AA55" s="20">
        <f t="shared" si="55"/>
        <v>487148</v>
      </c>
      <c r="AB55" s="21">
        <f>MARZO!AD55</f>
        <v>487148</v>
      </c>
      <c r="AC55" s="457">
        <v>0</v>
      </c>
      <c r="AD55" s="20">
        <f t="shared" si="56"/>
        <v>487148</v>
      </c>
      <c r="AE55" s="21">
        <f>MARZO!AG55</f>
        <v>0</v>
      </c>
      <c r="AF55" s="457">
        <v>0</v>
      </c>
      <c r="AG55" s="20">
        <f t="shared" si="57"/>
        <v>0</v>
      </c>
      <c r="AH55" s="21">
        <f t="shared" si="58"/>
        <v>0</v>
      </c>
      <c r="AI55" s="17">
        <f t="shared" si="59"/>
        <v>0</v>
      </c>
      <c r="AJ55" s="18">
        <f t="shared" si="60"/>
        <v>487148</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+IF(MARZO!A56=0,"",MARZO!A56)</f>
        <v>1130110-2</v>
      </c>
      <c r="B56" s="189" t="str">
        <f>+IF(MARZO!B56=0,"",MARZO!B56)</f>
        <v>Vigencias Anteriores</v>
      </c>
      <c r="C56" s="456">
        <f>+ENERO!C56</f>
        <v>0</v>
      </c>
      <c r="D56" s="456">
        <f>MARZO!D56+ABRIL!P56</f>
        <v>0</v>
      </c>
      <c r="E56" s="456">
        <f>MARZO!E56+ABRIL!Q56</f>
        <v>0</v>
      </c>
      <c r="F56" s="170">
        <f>SUM(C56:E56)</f>
        <v>0</v>
      </c>
      <c r="G56" s="283">
        <f>MARZO!I56</f>
        <v>0</v>
      </c>
      <c r="H56" s="457">
        <v>0</v>
      </c>
      <c r="I56" s="170">
        <f>SUM(G56:H56)</f>
        <v>0</v>
      </c>
      <c r="J56" s="283">
        <f>MARZO!L56</f>
        <v>0</v>
      </c>
      <c r="K56" s="457">
        <v>0</v>
      </c>
      <c r="L56" s="170">
        <f>SUM(J56:K56)</f>
        <v>0</v>
      </c>
      <c r="M56" s="283">
        <f>F56-I56</f>
        <v>0</v>
      </c>
      <c r="N56" s="170">
        <f>F56-L56</f>
        <v>0</v>
      </c>
      <c r="O56" s="467"/>
      <c r="P56" s="455">
        <v>0</v>
      </c>
      <c r="Q56" s="458">
        <v>0</v>
      </c>
      <c r="R56" s="10"/>
      <c r="S56" s="448" t="str">
        <f>+IF(MARZO!S56=0,"",MARZO!S56)</f>
        <v/>
      </c>
      <c r="T56" s="649" t="str">
        <f>+IF(MARZO!T56=0,"",MARZO!T56)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+IF(MARZO!A57=0,"",MARZO!A57)</f>
        <v>1130111</v>
      </c>
      <c r="B57" s="45" t="str">
        <f>+IF(MARZO!B57=0,"",MARZO!B57)</f>
        <v>IPS PRIVADAS</v>
      </c>
      <c r="C57" s="53">
        <f t="shared" ref="C57:N57" si="63">SUM(C58:C59)</f>
        <v>0</v>
      </c>
      <c r="D57" s="53">
        <f t="shared" si="63"/>
        <v>0</v>
      </c>
      <c r="E57" s="53">
        <f t="shared" si="63"/>
        <v>0</v>
      </c>
      <c r="F57" s="54">
        <f t="shared" si="63"/>
        <v>0</v>
      </c>
      <c r="G57" s="52">
        <f t="shared" si="63"/>
        <v>0</v>
      </c>
      <c r="H57" s="53">
        <f t="shared" si="63"/>
        <v>0</v>
      </c>
      <c r="I57" s="54">
        <f t="shared" si="63"/>
        <v>0</v>
      </c>
      <c r="J57" s="52">
        <f t="shared" si="63"/>
        <v>0</v>
      </c>
      <c r="K57" s="53">
        <f t="shared" si="63"/>
        <v>0</v>
      </c>
      <c r="L57" s="54">
        <f t="shared" si="63"/>
        <v>0</v>
      </c>
      <c r="M57" s="52">
        <f t="shared" si="63"/>
        <v>0</v>
      </c>
      <c r="N57" s="54">
        <f t="shared" si="63"/>
        <v>0</v>
      </c>
      <c r="P57" s="52">
        <f>SUM(P58:P59)</f>
        <v>0</v>
      </c>
      <c r="Q57" s="54">
        <f>SUM(Q58:Q59)</f>
        <v>0</v>
      </c>
      <c r="R57" s="10"/>
      <c r="S57" s="34">
        <f>+IF(MARZO!S57=0,"",MARZO!S57)</f>
        <v>1010400</v>
      </c>
      <c r="T57" s="158" t="str">
        <f>+IF(MARZO!T57=0,"",MARZO!T57)</f>
        <v>Contribuciones Inherentes nómina del Sector Publico</v>
      </c>
      <c r="U57" s="157">
        <f t="shared" ref="U57:AJ57" si="64">U58+U61</f>
        <v>19457334</v>
      </c>
      <c r="V57" s="144">
        <f t="shared" si="64"/>
        <v>0</v>
      </c>
      <c r="W57" s="144">
        <f t="shared" si="64"/>
        <v>0</v>
      </c>
      <c r="X57" s="152">
        <f t="shared" si="64"/>
        <v>19457334</v>
      </c>
      <c r="Y57" s="151">
        <f t="shared" si="64"/>
        <v>4590300</v>
      </c>
      <c r="Z57" s="144">
        <f t="shared" si="64"/>
        <v>1481600</v>
      </c>
      <c r="AA57" s="152">
        <f t="shared" si="64"/>
        <v>6071900</v>
      </c>
      <c r="AB57" s="151">
        <f t="shared" si="64"/>
        <v>4590300</v>
      </c>
      <c r="AC57" s="144">
        <f t="shared" si="64"/>
        <v>1481600</v>
      </c>
      <c r="AD57" s="152">
        <f t="shared" si="64"/>
        <v>6071900</v>
      </c>
      <c r="AE57" s="151">
        <f t="shared" si="64"/>
        <v>3089400</v>
      </c>
      <c r="AF57" s="144">
        <f t="shared" si="64"/>
        <v>1500900</v>
      </c>
      <c r="AG57" s="152">
        <f t="shared" si="64"/>
        <v>4590300</v>
      </c>
      <c r="AH57" s="151">
        <f t="shared" si="64"/>
        <v>13385434</v>
      </c>
      <c r="AI57" s="144">
        <f t="shared" si="64"/>
        <v>13385434</v>
      </c>
      <c r="AJ57" s="153">
        <f t="shared" si="64"/>
        <v>14867034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+IF(MARZO!A58=0,"",MARZO!A58)</f>
        <v>1130111-1</v>
      </c>
      <c r="B58" s="189" t="str">
        <f>+CONCATENATE("Vigencia ",INSTRUCCIONES!$F$3)</f>
        <v>Vigencia 2014</v>
      </c>
      <c r="C58" s="456">
        <f>+ENERO!C58</f>
        <v>0</v>
      </c>
      <c r="D58" s="456">
        <f>MARZO!D58+ABRIL!P58</f>
        <v>0</v>
      </c>
      <c r="E58" s="456">
        <f>MARZO!E58+ABRIL!Q58</f>
        <v>0</v>
      </c>
      <c r="F58" s="170">
        <f>SUM(C58:E58)</f>
        <v>0</v>
      </c>
      <c r="G58" s="283">
        <f>MARZO!I58</f>
        <v>0</v>
      </c>
      <c r="H58" s="457">
        <v>0</v>
      </c>
      <c r="I58" s="170">
        <f>SUM(G58:H58)</f>
        <v>0</v>
      </c>
      <c r="J58" s="283">
        <f>MARZO!L58</f>
        <v>0</v>
      </c>
      <c r="K58" s="457">
        <v>0</v>
      </c>
      <c r="L58" s="170">
        <f>SUM(J58:K58)</f>
        <v>0</v>
      </c>
      <c r="M58" s="283">
        <f>F58-I58</f>
        <v>0</v>
      </c>
      <c r="N58" s="170">
        <f>F58-L58</f>
        <v>0</v>
      </c>
      <c r="O58" s="467"/>
      <c r="P58" s="455">
        <v>0</v>
      </c>
      <c r="Q58" s="458">
        <v>0</v>
      </c>
      <c r="R58" s="10"/>
      <c r="S58" s="155">
        <f>+IF(MARZO!S58=0,"",MARZO!S58)</f>
        <v>1010402</v>
      </c>
      <c r="T58" s="159" t="str">
        <f>+IF(MARZO!T58=0,"",MARZO!T58)</f>
        <v>Contribuciones - Otros</v>
      </c>
      <c r="U58" s="29">
        <f t="shared" ref="U58:AJ58" si="65">SUM(U59:U60)</f>
        <v>19457334</v>
      </c>
      <c r="V58" s="17">
        <f t="shared" si="65"/>
        <v>0</v>
      </c>
      <c r="W58" s="17">
        <f t="shared" si="65"/>
        <v>0</v>
      </c>
      <c r="X58" s="20">
        <f t="shared" si="65"/>
        <v>19457334</v>
      </c>
      <c r="Y58" s="21">
        <f t="shared" si="65"/>
        <v>4590300</v>
      </c>
      <c r="Z58" s="169">
        <f t="shared" si="65"/>
        <v>1481600</v>
      </c>
      <c r="AA58" s="20">
        <f t="shared" si="65"/>
        <v>6071900</v>
      </c>
      <c r="AB58" s="21">
        <f t="shared" si="65"/>
        <v>4590300</v>
      </c>
      <c r="AC58" s="169">
        <f t="shared" si="65"/>
        <v>1481600</v>
      </c>
      <c r="AD58" s="20">
        <f t="shared" si="65"/>
        <v>6071900</v>
      </c>
      <c r="AE58" s="21">
        <f t="shared" si="65"/>
        <v>3089400</v>
      </c>
      <c r="AF58" s="169">
        <f t="shared" si="65"/>
        <v>1500900</v>
      </c>
      <c r="AG58" s="20">
        <f t="shared" si="65"/>
        <v>4590300</v>
      </c>
      <c r="AH58" s="21">
        <f t="shared" si="65"/>
        <v>13385434</v>
      </c>
      <c r="AI58" s="17">
        <f t="shared" si="65"/>
        <v>13385434</v>
      </c>
      <c r="AJ58" s="18">
        <f t="shared" si="65"/>
        <v>14867034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+IF(MARZO!A59=0,"",MARZO!A59)</f>
        <v>1130111-2</v>
      </c>
      <c r="B59" s="189" t="str">
        <f>+IF(MARZO!B59=0,"",MARZO!B59)</f>
        <v>Vigencias Anteriores</v>
      </c>
      <c r="C59" s="456">
        <f>+ENERO!C59</f>
        <v>0</v>
      </c>
      <c r="D59" s="456">
        <f>MARZO!D59+ABRIL!P59</f>
        <v>0</v>
      </c>
      <c r="E59" s="456">
        <f>MARZO!E59+ABRIL!Q59</f>
        <v>0</v>
      </c>
      <c r="F59" s="170">
        <f>SUM(C59:E59)</f>
        <v>0</v>
      </c>
      <c r="G59" s="283">
        <f>MARZO!I59</f>
        <v>0</v>
      </c>
      <c r="H59" s="457">
        <v>0</v>
      </c>
      <c r="I59" s="170">
        <f>SUM(G59:H59)</f>
        <v>0</v>
      </c>
      <c r="J59" s="283">
        <f>MARZO!L59</f>
        <v>0</v>
      </c>
      <c r="K59" s="457">
        <v>0</v>
      </c>
      <c r="L59" s="170">
        <f>SUM(J59:K59)</f>
        <v>0</v>
      </c>
      <c r="M59" s="283">
        <f>F59-I59</f>
        <v>0</v>
      </c>
      <c r="N59" s="170">
        <f>F59-L59</f>
        <v>0</v>
      </c>
      <c r="O59" s="467"/>
      <c r="P59" s="455">
        <v>0</v>
      </c>
      <c r="Q59" s="458">
        <v>0</v>
      </c>
      <c r="R59" s="10"/>
      <c r="S59" s="156" t="str">
        <f>+IF(MARZO!S59=0,"",MARZO!S59)</f>
        <v>1010402-1</v>
      </c>
      <c r="T59" s="159" t="str">
        <f>+IF(MARZO!T59=0,"",MARZO!T59)</f>
        <v>S.E.N.A.</v>
      </c>
      <c r="U59" s="29">
        <f>+ENERO!U59</f>
        <v>7782934</v>
      </c>
      <c r="V59" s="17">
        <f>MARZO!V59+ABRIL!AL59</f>
        <v>0</v>
      </c>
      <c r="W59" s="17">
        <f>MARZO!W59+ABRIL!AM59</f>
        <v>0</v>
      </c>
      <c r="X59" s="20">
        <f>SUM(U59:W59)</f>
        <v>7782934</v>
      </c>
      <c r="Y59" s="21">
        <f>MARZO!AA59</f>
        <v>1757100</v>
      </c>
      <c r="Z59" s="457">
        <v>592600</v>
      </c>
      <c r="AA59" s="20">
        <f>SUM(Y59:Z59)</f>
        <v>2349700</v>
      </c>
      <c r="AB59" s="21">
        <f>MARZO!AD59</f>
        <v>1757100</v>
      </c>
      <c r="AC59" s="457">
        <v>592600</v>
      </c>
      <c r="AD59" s="20">
        <f>SUM(AB59:AC59)</f>
        <v>2349700</v>
      </c>
      <c r="AE59" s="21">
        <f>MARZO!AG59</f>
        <v>1156800</v>
      </c>
      <c r="AF59" s="457">
        <v>600300</v>
      </c>
      <c r="AG59" s="20">
        <f>SUM(AE59:AF59)</f>
        <v>1757100</v>
      </c>
      <c r="AH59" s="21">
        <f>X59-AA59</f>
        <v>5433234</v>
      </c>
      <c r="AI59" s="17">
        <f>X59-AD59</f>
        <v>5433234</v>
      </c>
      <c r="AJ59" s="18">
        <f>X59-AG59</f>
        <v>6025834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+IF(MARZO!A60=0,"",MARZO!A60)</f>
        <v>1130112</v>
      </c>
      <c r="B60" s="45" t="str">
        <f>+IF(MARZO!B60=0,"",MARZO!B60)</f>
        <v>IPS PUBLICAS</v>
      </c>
      <c r="C60" s="53">
        <f t="shared" ref="C60:N60" si="66">SUM(C61:C62)</f>
        <v>8883897</v>
      </c>
      <c r="D60" s="53">
        <f t="shared" si="66"/>
        <v>0</v>
      </c>
      <c r="E60" s="53">
        <f t="shared" si="66"/>
        <v>0</v>
      </c>
      <c r="F60" s="54">
        <f t="shared" si="66"/>
        <v>8883897</v>
      </c>
      <c r="G60" s="52">
        <f t="shared" si="66"/>
        <v>2409617</v>
      </c>
      <c r="H60" s="53">
        <f t="shared" si="66"/>
        <v>173194</v>
      </c>
      <c r="I60" s="54">
        <f t="shared" si="66"/>
        <v>2582811</v>
      </c>
      <c r="J60" s="52">
        <f t="shared" si="66"/>
        <v>2024843</v>
      </c>
      <c r="K60" s="53">
        <f t="shared" si="66"/>
        <v>0</v>
      </c>
      <c r="L60" s="54">
        <f t="shared" si="66"/>
        <v>2024843</v>
      </c>
      <c r="M60" s="52">
        <f t="shared" si="66"/>
        <v>6301086</v>
      </c>
      <c r="N60" s="54">
        <f t="shared" si="66"/>
        <v>6859054</v>
      </c>
      <c r="P60" s="52">
        <f>SUM(P61:P62)</f>
        <v>0</v>
      </c>
      <c r="Q60" s="54">
        <f>SUM(Q61:Q62)</f>
        <v>0</v>
      </c>
      <c r="R60" s="10"/>
      <c r="S60" s="156" t="str">
        <f>+IF(MARZO!S60=0,"",MARZO!S60)</f>
        <v>1010402-2</v>
      </c>
      <c r="T60" s="159" t="str">
        <f>+IF(MARZO!T60=0,"",MARZO!T60)</f>
        <v>I.C.B.F.</v>
      </c>
      <c r="U60" s="29">
        <f>+ENERO!U60</f>
        <v>11674400</v>
      </c>
      <c r="V60" s="17">
        <f>MARZO!V60+ABRIL!AL60</f>
        <v>0</v>
      </c>
      <c r="W60" s="17">
        <f>MARZO!W60+ABRIL!AM60</f>
        <v>0</v>
      </c>
      <c r="X60" s="20">
        <f>SUM(U60:W60)</f>
        <v>11674400</v>
      </c>
      <c r="Y60" s="21">
        <f>MARZO!AA60</f>
        <v>2833200</v>
      </c>
      <c r="Z60" s="457">
        <v>889000</v>
      </c>
      <c r="AA60" s="20">
        <f>SUM(Y60:Z60)</f>
        <v>3722200</v>
      </c>
      <c r="AB60" s="21">
        <f>MARZO!AD60</f>
        <v>2833200</v>
      </c>
      <c r="AC60" s="457">
        <v>889000</v>
      </c>
      <c r="AD60" s="20">
        <f>SUM(AB60:AC60)</f>
        <v>3722200</v>
      </c>
      <c r="AE60" s="21">
        <f>MARZO!AG60</f>
        <v>1932600</v>
      </c>
      <c r="AF60" s="457">
        <v>900600</v>
      </c>
      <c r="AG60" s="20">
        <f>SUM(AE60:AF60)</f>
        <v>2833200</v>
      </c>
      <c r="AH60" s="21">
        <f>X60-AA60</f>
        <v>7952200</v>
      </c>
      <c r="AI60" s="17">
        <f>X60-AD60</f>
        <v>7952200</v>
      </c>
      <c r="AJ60" s="18">
        <f>X60-AG60</f>
        <v>8841200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+IF(MARZO!A61=0,"",MARZO!A61)</f>
        <v>1130112-1</v>
      </c>
      <c r="B61" s="189" t="str">
        <f>+CONCATENATE("Vigencia ",INSTRUCCIONES!$F$3)</f>
        <v>Vigencia 2014</v>
      </c>
      <c r="C61" s="456">
        <f>+ENERO!C61</f>
        <v>5883897</v>
      </c>
      <c r="D61" s="456">
        <f>MARZO!D61+ABRIL!P61</f>
        <v>0</v>
      </c>
      <c r="E61" s="456">
        <f>MARZO!E61+ABRIL!Q61</f>
        <v>0</v>
      </c>
      <c r="F61" s="170">
        <f>SUM(C61:E61)</f>
        <v>5883897</v>
      </c>
      <c r="G61" s="283">
        <f>MARZO!I61</f>
        <v>384774</v>
      </c>
      <c r="H61" s="457">
        <v>173194</v>
      </c>
      <c r="I61" s="170">
        <f>SUM(G61:H61)</f>
        <v>557968</v>
      </c>
      <c r="J61" s="283">
        <f>MARZO!L61</f>
        <v>0</v>
      </c>
      <c r="K61" s="457">
        <v>0</v>
      </c>
      <c r="L61" s="170">
        <f>SUM(J61:K61)</f>
        <v>0</v>
      </c>
      <c r="M61" s="283">
        <f>F61-I61</f>
        <v>5325929</v>
      </c>
      <c r="N61" s="170">
        <f>F61-L61</f>
        <v>5883897</v>
      </c>
      <c r="O61" s="467"/>
      <c r="P61" s="455">
        <v>0</v>
      </c>
      <c r="Q61" s="458">
        <v>0</v>
      </c>
      <c r="R61" s="10"/>
      <c r="S61" s="155">
        <f>+IF(MARZO!S61=0,"",MARZO!S61)</f>
        <v>1010499</v>
      </c>
      <c r="T61" s="159" t="str">
        <f>+IF(MARZO!T61=0,"",MARZO!T61)</f>
        <v>Vigencias Anteriores</v>
      </c>
      <c r="U61" s="29">
        <f>+ENERO!U61</f>
        <v>0</v>
      </c>
      <c r="V61" s="17">
        <f>MARZO!V61+ABRIL!AL61</f>
        <v>0</v>
      </c>
      <c r="W61" s="17">
        <f>MARZO!W61+ABRIL!AM61</f>
        <v>0</v>
      </c>
      <c r="X61" s="20">
        <f>SUM(U61:W61)</f>
        <v>0</v>
      </c>
      <c r="Y61" s="21">
        <f>MARZO!AA61</f>
        <v>0</v>
      </c>
      <c r="Z61" s="457">
        <v>0</v>
      </c>
      <c r="AA61" s="20">
        <f>SUM(Y61:Z61)</f>
        <v>0</v>
      </c>
      <c r="AB61" s="21">
        <f>MARZO!AD61</f>
        <v>0</v>
      </c>
      <c r="AC61" s="457">
        <v>0</v>
      </c>
      <c r="AD61" s="20">
        <f>SUM(AB61:AC61)</f>
        <v>0</v>
      </c>
      <c r="AE61" s="21">
        <f>MARZO!AG61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+IF(MARZO!A62=0,"",MARZO!A62)</f>
        <v>1130112-2</v>
      </c>
      <c r="B62" s="189" t="str">
        <f>+IF(MARZO!B62=0,"",MARZO!B62)</f>
        <v>Vigencias Anteriores</v>
      </c>
      <c r="C62" s="456">
        <f>+ENERO!C62</f>
        <v>3000000</v>
      </c>
      <c r="D62" s="456">
        <f>MARZO!D62+ABRIL!P62</f>
        <v>0</v>
      </c>
      <c r="E62" s="456">
        <f>MARZO!E62+ABRIL!Q62</f>
        <v>0</v>
      </c>
      <c r="F62" s="170">
        <f>SUM(C62:E62)</f>
        <v>3000000</v>
      </c>
      <c r="G62" s="283">
        <f>MARZO!I62</f>
        <v>2024843</v>
      </c>
      <c r="H62" s="457">
        <v>0</v>
      </c>
      <c r="I62" s="170">
        <f>SUM(G62:H62)</f>
        <v>2024843</v>
      </c>
      <c r="J62" s="283">
        <f>MARZO!L62</f>
        <v>2024843</v>
      </c>
      <c r="K62" s="457">
        <v>0</v>
      </c>
      <c r="L62" s="170">
        <f>SUM(J62:K62)</f>
        <v>2024843</v>
      </c>
      <c r="M62" s="283">
        <f>F62-I62</f>
        <v>975157</v>
      </c>
      <c r="N62" s="170">
        <f>F62-L62</f>
        <v>975157</v>
      </c>
      <c r="O62" s="467"/>
      <c r="P62" s="455">
        <v>0</v>
      </c>
      <c r="Q62" s="458">
        <v>0</v>
      </c>
      <c r="R62" s="10"/>
      <c r="S62" s="448" t="str">
        <f>+IF(MARZO!S62=0,"",MARZO!S62)</f>
        <v/>
      </c>
      <c r="T62" s="649" t="str">
        <f>+IF(MARZO!T62=0,"",MARZO!T62)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+IF(MARZO!A63=0,"",MARZO!A63)</f>
        <v>1130113</v>
      </c>
      <c r="B63" s="45" t="str">
        <f>+IF(MARZO!B63=0,"",MARZO!B63)</f>
        <v>COMPAÑIAS DE SEGUROS  - ACCIDENTES DE TRANSITO (SOAT)</v>
      </c>
      <c r="C63" s="53">
        <f t="shared" ref="C63:N63" si="67">SUM(C64:C65)</f>
        <v>52973202</v>
      </c>
      <c r="D63" s="53">
        <f t="shared" si="67"/>
        <v>0</v>
      </c>
      <c r="E63" s="53">
        <f t="shared" si="67"/>
        <v>0</v>
      </c>
      <c r="F63" s="54">
        <f t="shared" si="67"/>
        <v>52973202</v>
      </c>
      <c r="G63" s="52">
        <f t="shared" si="67"/>
        <v>18834420</v>
      </c>
      <c r="H63" s="53">
        <f t="shared" si="67"/>
        <v>2662637</v>
      </c>
      <c r="I63" s="54">
        <f t="shared" si="67"/>
        <v>21497057</v>
      </c>
      <c r="J63" s="52">
        <f t="shared" si="67"/>
        <v>9513816</v>
      </c>
      <c r="K63" s="53">
        <f t="shared" si="67"/>
        <v>5573392</v>
      </c>
      <c r="L63" s="54">
        <f t="shared" si="67"/>
        <v>15087208</v>
      </c>
      <c r="M63" s="52">
        <f t="shared" si="67"/>
        <v>31476145</v>
      </c>
      <c r="N63" s="54">
        <f t="shared" si="67"/>
        <v>37885994</v>
      </c>
      <c r="P63" s="52">
        <f>SUM(P64:P65)</f>
        <v>0</v>
      </c>
      <c r="Q63" s="54">
        <f>SUM(Q64:Q65)</f>
        <v>0</v>
      </c>
      <c r="R63" s="10"/>
      <c r="S63" s="469">
        <f>+IF(MARZO!S63=0,"",MARZO!S63)</f>
        <v>1020010</v>
      </c>
      <c r="T63" s="470" t="str">
        <f>+IF(MARZO!T63=0,"",MARZO!T63)</f>
        <v>Gastos de Operación</v>
      </c>
      <c r="U63" s="157">
        <f t="shared" ref="U63:AJ63" si="68">U65+U83+U90+U104</f>
        <v>1656122409</v>
      </c>
      <c r="V63" s="144">
        <f t="shared" si="68"/>
        <v>5657703</v>
      </c>
      <c r="W63" s="144">
        <f t="shared" si="68"/>
        <v>18789110</v>
      </c>
      <c r="X63" s="152">
        <f t="shared" si="68"/>
        <v>1680569222</v>
      </c>
      <c r="Y63" s="151">
        <f t="shared" si="68"/>
        <v>437622823</v>
      </c>
      <c r="Z63" s="144">
        <f t="shared" si="68"/>
        <v>109816490</v>
      </c>
      <c r="AA63" s="152">
        <f t="shared" si="68"/>
        <v>547439313</v>
      </c>
      <c r="AB63" s="151">
        <f t="shared" si="68"/>
        <v>437622023</v>
      </c>
      <c r="AC63" s="144">
        <f t="shared" si="68"/>
        <v>109816490</v>
      </c>
      <c r="AD63" s="152">
        <f t="shared" si="68"/>
        <v>547438513</v>
      </c>
      <c r="AE63" s="151">
        <f t="shared" si="68"/>
        <v>403139496</v>
      </c>
      <c r="AF63" s="144">
        <f t="shared" si="68"/>
        <v>103926805</v>
      </c>
      <c r="AG63" s="152">
        <f t="shared" si="68"/>
        <v>507066301</v>
      </c>
      <c r="AH63" s="151">
        <f t="shared" si="68"/>
        <v>1133129909</v>
      </c>
      <c r="AI63" s="144">
        <f t="shared" si="68"/>
        <v>1133130709</v>
      </c>
      <c r="AJ63" s="153">
        <f t="shared" si="68"/>
        <v>1173502921</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+IF(MARZO!A64=0,"",MARZO!A64)</f>
        <v>1130113-1</v>
      </c>
      <c r="B64" s="189" t="str">
        <f>+CONCATENATE("Vigencia ",INSTRUCCIONES!$F$3)</f>
        <v>Vigencia 2014</v>
      </c>
      <c r="C64" s="456">
        <f>+ENERO!C64</f>
        <v>40103182</v>
      </c>
      <c r="D64" s="456">
        <f>MARZO!D64+ABRIL!P64</f>
        <v>0</v>
      </c>
      <c r="E64" s="456">
        <f>MARZO!E64+ABRIL!Q64</f>
        <v>0</v>
      </c>
      <c r="F64" s="170">
        <f>SUM(C64:E64)</f>
        <v>40103182</v>
      </c>
      <c r="G64" s="283">
        <f>MARZO!I64</f>
        <v>10945257</v>
      </c>
      <c r="H64" s="457">
        <v>2607674</v>
      </c>
      <c r="I64" s="170">
        <f>SUM(G64:H64)</f>
        <v>13552931</v>
      </c>
      <c r="J64" s="283">
        <f>MARZO!L64</f>
        <v>1624653</v>
      </c>
      <c r="K64" s="457">
        <v>5518429</v>
      </c>
      <c r="L64" s="170">
        <f>SUM(J64:K64)</f>
        <v>7143082</v>
      </c>
      <c r="M64" s="283">
        <f>F64-I64</f>
        <v>26550251</v>
      </c>
      <c r="N64" s="170">
        <f>F64-L64</f>
        <v>32960100</v>
      </c>
      <c r="O64" s="467"/>
      <c r="P64" s="455">
        <v>0</v>
      </c>
      <c r="Q64" s="458">
        <v>0</v>
      </c>
      <c r="R64" s="10"/>
      <c r="S64" s="448" t="str">
        <f>+IF(MARZO!S64=0,"",MARZO!S64)</f>
        <v/>
      </c>
      <c r="T64" s="649" t="str">
        <f>+IF(MARZO!T64=0,"",MARZO!T64)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+IF(MARZO!A65=0,"",MARZO!A65)</f>
        <v>1130113-2</v>
      </c>
      <c r="B65" s="189" t="str">
        <f>+IF(MARZO!B65=0,"",MARZO!B65)</f>
        <v>Vigencias Anteriores</v>
      </c>
      <c r="C65" s="456">
        <f>+ENERO!C65</f>
        <v>12870020</v>
      </c>
      <c r="D65" s="456">
        <f>MARZO!D65+ABRIL!P65</f>
        <v>0</v>
      </c>
      <c r="E65" s="456">
        <f>MARZO!E65+ABRIL!Q65</f>
        <v>0</v>
      </c>
      <c r="F65" s="170">
        <f>SUM(C65:E65)</f>
        <v>12870020</v>
      </c>
      <c r="G65" s="283">
        <f>MARZO!I65</f>
        <v>7889163</v>
      </c>
      <c r="H65" s="457">
        <v>54963</v>
      </c>
      <c r="I65" s="170">
        <f>SUM(G65:H65)</f>
        <v>7944126</v>
      </c>
      <c r="J65" s="283">
        <f>MARZO!L65</f>
        <v>7889163</v>
      </c>
      <c r="K65" s="457">
        <v>54963</v>
      </c>
      <c r="L65" s="170">
        <f>SUM(J65:K65)</f>
        <v>7944126</v>
      </c>
      <c r="M65" s="283">
        <f>F65-I65</f>
        <v>4925894</v>
      </c>
      <c r="N65" s="170">
        <f>F65-L65</f>
        <v>4925894</v>
      </c>
      <c r="O65" s="467"/>
      <c r="P65" s="455">
        <v>0</v>
      </c>
      <c r="Q65" s="458">
        <v>0</v>
      </c>
      <c r="R65" s="10"/>
      <c r="S65" s="34">
        <f>+IF(MARZO!S65=0,"",MARZO!S65)</f>
        <v>1020100</v>
      </c>
      <c r="T65" s="158" t="str">
        <f>+IF(MARZO!T65=0,"",MARZO!T65)</f>
        <v>Servicios Personales Asociados a Nómina</v>
      </c>
      <c r="U65" s="157">
        <f t="shared" ref="U65:AJ65" si="69">SUM(U66:U69)+U81</f>
        <v>1157487731</v>
      </c>
      <c r="V65" s="144">
        <f t="shared" si="69"/>
        <v>5657703</v>
      </c>
      <c r="W65" s="144">
        <f t="shared" si="69"/>
        <v>8749212</v>
      </c>
      <c r="X65" s="152">
        <f t="shared" si="69"/>
        <v>1171894646</v>
      </c>
      <c r="Y65" s="151">
        <f t="shared" si="69"/>
        <v>281341521</v>
      </c>
      <c r="Z65" s="144">
        <f t="shared" si="69"/>
        <v>85319517</v>
      </c>
      <c r="AA65" s="152">
        <f t="shared" si="69"/>
        <v>366661038</v>
      </c>
      <c r="AB65" s="151">
        <f t="shared" si="69"/>
        <v>281341521</v>
      </c>
      <c r="AC65" s="144">
        <f t="shared" si="69"/>
        <v>85319517</v>
      </c>
      <c r="AD65" s="152">
        <f t="shared" si="69"/>
        <v>366661038</v>
      </c>
      <c r="AE65" s="151">
        <f t="shared" si="69"/>
        <v>266517497</v>
      </c>
      <c r="AF65" s="144">
        <f t="shared" si="69"/>
        <v>79408153</v>
      </c>
      <c r="AG65" s="152">
        <f t="shared" si="69"/>
        <v>345925650</v>
      </c>
      <c r="AH65" s="151">
        <f t="shared" si="69"/>
        <v>805233608</v>
      </c>
      <c r="AI65" s="144">
        <f t="shared" si="69"/>
        <v>805233608</v>
      </c>
      <c r="AJ65" s="153">
        <f t="shared" si="69"/>
        <v>825968996</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+IF(MARZO!A66=0,"",MARZO!A66)</f>
        <v>1130114</v>
      </c>
      <c r="B66" s="45" t="str">
        <f>+IF(MARZO!B66=0,"",MARZO!B66)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+IF(MARZO!S66=0,"",MARZO!S66)</f>
        <v>1020101</v>
      </c>
      <c r="T66" s="159" t="str">
        <f>+IF(MARZO!T66=0,"",MARZO!T66)</f>
        <v>Sueldos del Personal de nómina</v>
      </c>
      <c r="U66" s="29">
        <f>+ENERO!U66</f>
        <v>901111176</v>
      </c>
      <c r="V66" s="17">
        <f>MARZO!V66+ABRIL!AL66</f>
        <v>0</v>
      </c>
      <c r="W66" s="17">
        <f>MARZO!W66+ABRIL!AM66</f>
        <v>0</v>
      </c>
      <c r="X66" s="20">
        <f>SUM(U66:W66)</f>
        <v>901111176</v>
      </c>
      <c r="Y66" s="21">
        <f>MARZO!AA66</f>
        <v>229316674</v>
      </c>
      <c r="Z66" s="457">
        <v>76285481</v>
      </c>
      <c r="AA66" s="20">
        <f>SUM(Y66:Z66)</f>
        <v>305602155</v>
      </c>
      <c r="AB66" s="21">
        <f>MARZO!AD66</f>
        <v>229316674</v>
      </c>
      <c r="AC66" s="457">
        <v>76285481</v>
      </c>
      <c r="AD66" s="20">
        <f>SUM(AB66:AC66)</f>
        <v>305602155</v>
      </c>
      <c r="AE66" s="21">
        <f>MARZO!AG66</f>
        <v>217496055</v>
      </c>
      <c r="AF66" s="457">
        <v>69393775</v>
      </c>
      <c r="AG66" s="20">
        <f>SUM(AE66:AF66)</f>
        <v>286889830</v>
      </c>
      <c r="AH66" s="21">
        <f>X66-AA66</f>
        <v>595509021</v>
      </c>
      <c r="AI66" s="17">
        <f>X66-AD66</f>
        <v>595509021</v>
      </c>
      <c r="AJ66" s="18">
        <f>X66-AG66</f>
        <v>614221346</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+IF(MARZO!A67=0,"",MARZO!A67)</f>
        <v>1130114-1</v>
      </c>
      <c r="B67" s="189" t="str">
        <f>+CONCATENATE("Vigencia ",INSTRUCCIONES!$F$3)</f>
        <v>Vigencia 2014</v>
      </c>
      <c r="C67" s="456">
        <f>+ENERO!C67</f>
        <v>0</v>
      </c>
      <c r="D67" s="456">
        <f>MARZO!D67+ABRIL!P67</f>
        <v>0</v>
      </c>
      <c r="E67" s="456">
        <f>MARZO!E67+ABRIL!Q67</f>
        <v>0</v>
      </c>
      <c r="F67" s="170">
        <f>SUM(C67:E67)</f>
        <v>0</v>
      </c>
      <c r="G67" s="283">
        <f>MARZO!I67</f>
        <v>0</v>
      </c>
      <c r="H67" s="457">
        <v>0</v>
      </c>
      <c r="I67" s="170">
        <f>SUM(G67:H67)</f>
        <v>0</v>
      </c>
      <c r="J67" s="283">
        <f>MARZO!L67</f>
        <v>0</v>
      </c>
      <c r="K67" s="457">
        <v>0</v>
      </c>
      <c r="L67" s="170">
        <f>SUM(J67:K67)</f>
        <v>0</v>
      </c>
      <c r="M67" s="283">
        <f>F67-I67</f>
        <v>0</v>
      </c>
      <c r="N67" s="170">
        <f>F67-L67</f>
        <v>0</v>
      </c>
      <c r="O67" s="467"/>
      <c r="P67" s="455">
        <v>0</v>
      </c>
      <c r="Q67" s="458">
        <v>0</v>
      </c>
      <c r="R67" s="10"/>
      <c r="S67" s="155">
        <f>+IF(MARZO!S67=0,"",MARZO!S67)</f>
        <v>1020102</v>
      </c>
      <c r="T67" s="159" t="str">
        <f>+IF(MARZO!T67=0,"",MARZO!T67)</f>
        <v>Horas Extras,Dominic.,Festivos y Rec. Nocturnos</v>
      </c>
      <c r="U67" s="29">
        <f>+ENERO!U67</f>
        <v>116857377</v>
      </c>
      <c r="V67" s="17">
        <f>MARZO!V67+ABRIL!AL67</f>
        <v>0</v>
      </c>
      <c r="W67" s="17">
        <f>MARZO!W67+ABRIL!AM67</f>
        <v>0</v>
      </c>
      <c r="X67" s="20">
        <f>SUM(U67:W67)</f>
        <v>116857377</v>
      </c>
      <c r="Y67" s="21">
        <f>MARZO!AA67</f>
        <v>21872510</v>
      </c>
      <c r="Z67" s="457">
        <v>7983948</v>
      </c>
      <c r="AA67" s="20">
        <f>SUM(Y67:Z67)</f>
        <v>29856458</v>
      </c>
      <c r="AB67" s="21">
        <f>MARZO!AD67</f>
        <v>21872510</v>
      </c>
      <c r="AC67" s="457">
        <v>7983948</v>
      </c>
      <c r="AD67" s="20">
        <f>SUM(AB67:AC67)</f>
        <v>29856458</v>
      </c>
      <c r="AE67" s="21">
        <f>MARZO!AG67</f>
        <v>21842256</v>
      </c>
      <c r="AF67" s="457">
        <v>7983948</v>
      </c>
      <c r="AG67" s="20">
        <f>SUM(AE67:AF67)</f>
        <v>29826204</v>
      </c>
      <c r="AH67" s="21">
        <f>X67-AA67</f>
        <v>87000919</v>
      </c>
      <c r="AI67" s="17">
        <f>X67-AD67</f>
        <v>87000919</v>
      </c>
      <c r="AJ67" s="18">
        <f>X67-AG67</f>
        <v>87031173</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+IF(MARZO!A68=0,"",MARZO!A68)</f>
        <v>1130114-2</v>
      </c>
      <c r="B68" s="189" t="str">
        <f>+IF(MARZO!B68=0,"",MARZO!B68)</f>
        <v>Vigencias Anteriores</v>
      </c>
      <c r="C68" s="456">
        <f>+ENERO!C68</f>
        <v>0</v>
      </c>
      <c r="D68" s="456">
        <f>MARZO!D68+ABRIL!P68</f>
        <v>0</v>
      </c>
      <c r="E68" s="456">
        <f>MARZO!E68+ABRIL!Q68</f>
        <v>0</v>
      </c>
      <c r="F68" s="170">
        <f>SUM(C68:E68)</f>
        <v>0</v>
      </c>
      <c r="G68" s="283">
        <f>MARZO!I68</f>
        <v>0</v>
      </c>
      <c r="H68" s="457">
        <v>0</v>
      </c>
      <c r="I68" s="170">
        <f>SUM(G68:H68)</f>
        <v>0</v>
      </c>
      <c r="J68" s="283">
        <f>MARZO!L68</f>
        <v>0</v>
      </c>
      <c r="K68" s="457">
        <v>0</v>
      </c>
      <c r="L68" s="170">
        <f>SUM(J68:K68)</f>
        <v>0</v>
      </c>
      <c r="M68" s="283">
        <f>F68-I68</f>
        <v>0</v>
      </c>
      <c r="N68" s="170">
        <f>F68-L68</f>
        <v>0</v>
      </c>
      <c r="O68" s="467"/>
      <c r="P68" s="455">
        <v>0</v>
      </c>
      <c r="Q68" s="458">
        <v>0</v>
      </c>
      <c r="R68" s="10"/>
      <c r="S68" s="155">
        <f>+IF(MARZO!S68=0,"",MARZO!S68)</f>
        <v>1020103</v>
      </c>
      <c r="T68" s="159" t="str">
        <f>+IF(MARZO!T68=0,"",MARZO!T68)</f>
        <v>Prima Técnica</v>
      </c>
      <c r="U68" s="29">
        <f>+ENERO!U68</f>
        <v>0</v>
      </c>
      <c r="V68" s="17">
        <f>MARZO!V68+ABRIL!AL68</f>
        <v>0</v>
      </c>
      <c r="W68" s="17">
        <f>MARZO!W68+ABRIL!AM68</f>
        <v>0</v>
      </c>
      <c r="X68" s="20">
        <f>SUM(U68:W68)</f>
        <v>0</v>
      </c>
      <c r="Y68" s="21">
        <f>MARZO!AA68</f>
        <v>0</v>
      </c>
      <c r="Z68" s="457">
        <v>0</v>
      </c>
      <c r="AA68" s="20">
        <f>SUM(Y68:Z68)</f>
        <v>0</v>
      </c>
      <c r="AB68" s="21">
        <f>MARZO!AD68</f>
        <v>0</v>
      </c>
      <c r="AC68" s="457">
        <v>0</v>
      </c>
      <c r="AD68" s="20">
        <f>SUM(AB68:AC68)</f>
        <v>0</v>
      </c>
      <c r="AE68" s="21">
        <f>MARZO!AG68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+IF(MARZO!A69=0,"",MARZO!A69)</f>
        <v>1130115</v>
      </c>
      <c r="B69" s="45" t="str">
        <f>+IF(MARZO!B69=0,"",MARZO!B69)</f>
        <v>ENTIDADES DE REGIMEN ESPECIAL (Magisterio, Fuerza Pca.)</v>
      </c>
      <c r="C69" s="53">
        <f t="shared" ref="C69:N69" si="71">SUM(C70:C71)</f>
        <v>111446544</v>
      </c>
      <c r="D69" s="53">
        <f t="shared" si="71"/>
        <v>0</v>
      </c>
      <c r="E69" s="53">
        <f t="shared" si="71"/>
        <v>0</v>
      </c>
      <c r="F69" s="54">
        <f t="shared" si="71"/>
        <v>111446544</v>
      </c>
      <c r="G69" s="52">
        <f t="shared" si="71"/>
        <v>28345449</v>
      </c>
      <c r="H69" s="53">
        <f t="shared" si="71"/>
        <v>5271532</v>
      </c>
      <c r="I69" s="54">
        <f t="shared" si="71"/>
        <v>33616981</v>
      </c>
      <c r="J69" s="52">
        <f t="shared" si="71"/>
        <v>21489247</v>
      </c>
      <c r="K69" s="53">
        <f t="shared" si="71"/>
        <v>0</v>
      </c>
      <c r="L69" s="54">
        <f t="shared" si="71"/>
        <v>21489247</v>
      </c>
      <c r="M69" s="52">
        <f t="shared" si="71"/>
        <v>77829563</v>
      </c>
      <c r="N69" s="54">
        <f t="shared" si="71"/>
        <v>89957297</v>
      </c>
      <c r="P69" s="52">
        <f>SUM(P70:P71)</f>
        <v>0</v>
      </c>
      <c r="Q69" s="54">
        <f>SUM(Q70:Q71)</f>
        <v>0</v>
      </c>
      <c r="R69" s="10"/>
      <c r="S69" s="155">
        <f>+IF(MARZO!S69=0,"",MARZO!S69)</f>
        <v>1020104</v>
      </c>
      <c r="T69" s="159" t="str">
        <f>+IF(MARZO!T69=0,"",MARZO!T69)</f>
        <v>Otros</v>
      </c>
      <c r="U69" s="29">
        <f t="shared" ref="U69:AJ69" si="72">SUM(U70:U80)</f>
        <v>130781064</v>
      </c>
      <c r="V69" s="17">
        <f t="shared" si="72"/>
        <v>0</v>
      </c>
      <c r="W69" s="17">
        <f t="shared" si="72"/>
        <v>0</v>
      </c>
      <c r="X69" s="20">
        <f t="shared" si="72"/>
        <v>130781064</v>
      </c>
      <c r="Y69" s="21">
        <f t="shared" si="72"/>
        <v>7472308</v>
      </c>
      <c r="Z69" s="169">
        <f t="shared" si="72"/>
        <v>1050088</v>
      </c>
      <c r="AA69" s="20">
        <f t="shared" si="72"/>
        <v>8522396</v>
      </c>
      <c r="AB69" s="21">
        <f t="shared" si="72"/>
        <v>7472308</v>
      </c>
      <c r="AC69" s="169">
        <f t="shared" si="72"/>
        <v>1050088</v>
      </c>
      <c r="AD69" s="20">
        <f t="shared" si="72"/>
        <v>8522396</v>
      </c>
      <c r="AE69" s="21">
        <f t="shared" si="72"/>
        <v>5479499</v>
      </c>
      <c r="AF69" s="169">
        <f t="shared" si="72"/>
        <v>1050088</v>
      </c>
      <c r="AG69" s="20">
        <f t="shared" si="72"/>
        <v>6529587</v>
      </c>
      <c r="AH69" s="21">
        <f t="shared" si="72"/>
        <v>122258668</v>
      </c>
      <c r="AI69" s="17">
        <f t="shared" si="72"/>
        <v>122258668</v>
      </c>
      <c r="AJ69" s="18">
        <f t="shared" si="72"/>
        <v>124251477</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+IF(MARZO!A70=0,"",MARZO!A70)</f>
        <v>1130115-1</v>
      </c>
      <c r="B70" s="189" t="str">
        <f>+CONCATENATE("Vigencia ",INSTRUCCIONES!$F$3)</f>
        <v>Vigencia 2014</v>
      </c>
      <c r="C70" s="456">
        <f>+ENERO!C70</f>
        <v>75639118</v>
      </c>
      <c r="D70" s="456">
        <f>MARZO!D70+ABRIL!P70</f>
        <v>0</v>
      </c>
      <c r="E70" s="456">
        <f>MARZO!E70+ABRIL!Q70</f>
        <v>0</v>
      </c>
      <c r="F70" s="170">
        <f>SUM(C70:E70)</f>
        <v>75639118</v>
      </c>
      <c r="G70" s="283">
        <f>MARZO!I70</f>
        <v>6853167</v>
      </c>
      <c r="H70" s="457">
        <v>5271532</v>
      </c>
      <c r="I70" s="170">
        <f>SUM(G70:H70)</f>
        <v>12124699</v>
      </c>
      <c r="J70" s="283">
        <f>MARZO!L70</f>
        <v>-3035</v>
      </c>
      <c r="K70" s="457">
        <v>0</v>
      </c>
      <c r="L70" s="170">
        <f>SUM(J70:K70)</f>
        <v>-3035</v>
      </c>
      <c r="M70" s="283">
        <f>F70-I70</f>
        <v>63514419</v>
      </c>
      <c r="N70" s="170">
        <f>F70-L70</f>
        <v>75642153</v>
      </c>
      <c r="O70" s="467"/>
      <c r="P70" s="455">
        <v>0</v>
      </c>
      <c r="Q70" s="458">
        <v>0</v>
      </c>
      <c r="R70" s="10"/>
      <c r="S70" s="156" t="str">
        <f>+IF(MARZO!S70=0,"",MARZO!S70)</f>
        <v>1020104-1</v>
      </c>
      <c r="T70" s="55" t="str">
        <f>+IF(MARZO!T70=0,"",MARZO!T70)</f>
        <v xml:space="preserve">Prima de Navidad </v>
      </c>
      <c r="U70" s="29">
        <f>+ENERO!U70</f>
        <v>78694383</v>
      </c>
      <c r="V70" s="17">
        <f>MARZO!V70+ABRIL!AL70</f>
        <v>0</v>
      </c>
      <c r="W70" s="17">
        <f>MARZO!W70+ABRIL!AM70</f>
        <v>0</v>
      </c>
      <c r="X70" s="20">
        <f t="shared" ref="X70:X81" si="73">SUM(U70:W70)</f>
        <v>78694383</v>
      </c>
      <c r="Y70" s="21">
        <f>MARZO!AA70</f>
        <v>0</v>
      </c>
      <c r="Z70" s="457">
        <v>0</v>
      </c>
      <c r="AA70" s="20">
        <f t="shared" ref="AA70:AA81" si="74">SUM(Y70:Z70)</f>
        <v>0</v>
      </c>
      <c r="AB70" s="21">
        <f>MARZO!AD70</f>
        <v>0</v>
      </c>
      <c r="AC70" s="457">
        <v>0</v>
      </c>
      <c r="AD70" s="20">
        <f t="shared" ref="AD70:AD81" si="75">SUM(AB70:AC70)</f>
        <v>0</v>
      </c>
      <c r="AE70" s="21">
        <f>MARZO!AG70</f>
        <v>0</v>
      </c>
      <c r="AF70" s="457">
        <v>0</v>
      </c>
      <c r="AG70" s="20">
        <f t="shared" ref="AG70:AG81" si="76">SUM(AE70:AF70)</f>
        <v>0</v>
      </c>
      <c r="AH70" s="21">
        <f t="shared" ref="AH70:AH81" si="77">X70-AA70</f>
        <v>78694383</v>
      </c>
      <c r="AI70" s="17">
        <f t="shared" ref="AI70:AI81" si="78">X70-AD70</f>
        <v>78694383</v>
      </c>
      <c r="AJ70" s="18">
        <f t="shared" ref="AJ70:AJ81" si="79">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+IF(MARZO!A71=0,"",MARZO!A71)</f>
        <v>1130115-2</v>
      </c>
      <c r="B71" s="189" t="str">
        <f>+IF(MARZO!B71=0,"",MARZO!B71)</f>
        <v>Vigencias Anteriores</v>
      </c>
      <c r="C71" s="456">
        <f>+ENERO!C71</f>
        <v>35807426</v>
      </c>
      <c r="D71" s="456">
        <f>MARZO!D71+ABRIL!P71</f>
        <v>0</v>
      </c>
      <c r="E71" s="456">
        <f>MARZO!E71+ABRIL!Q71</f>
        <v>0</v>
      </c>
      <c r="F71" s="170">
        <f>SUM(C71:E71)</f>
        <v>35807426</v>
      </c>
      <c r="G71" s="283">
        <f>MARZO!I71</f>
        <v>21492282</v>
      </c>
      <c r="H71" s="457">
        <v>0</v>
      </c>
      <c r="I71" s="170">
        <f>SUM(G71:H71)</f>
        <v>21492282</v>
      </c>
      <c r="J71" s="283">
        <f>MARZO!L71</f>
        <v>21492282</v>
      </c>
      <c r="K71" s="457">
        <v>0</v>
      </c>
      <c r="L71" s="170">
        <f>SUM(J71:K71)</f>
        <v>21492282</v>
      </c>
      <c r="M71" s="283">
        <f>F71-I71</f>
        <v>14315144</v>
      </c>
      <c r="N71" s="170">
        <f>F71-L71</f>
        <v>14315144</v>
      </c>
      <c r="O71" s="467"/>
      <c r="P71" s="455">
        <v>0</v>
      </c>
      <c r="Q71" s="458">
        <v>0</v>
      </c>
      <c r="R71" s="10"/>
      <c r="S71" s="156" t="str">
        <f>+IF(MARZO!S71=0,"",MARZO!S71)</f>
        <v>1020104-2</v>
      </c>
      <c r="T71" s="55" t="str">
        <f>+IF(MARZO!T71=0,"",MARZO!T71)</f>
        <v>Prima Vida Cara</v>
      </c>
      <c r="U71" s="29">
        <f>+ENERO!U71</f>
        <v>0</v>
      </c>
      <c r="V71" s="17">
        <f>MARZO!V71+ABRIL!AL71</f>
        <v>0</v>
      </c>
      <c r="W71" s="17">
        <f>MARZO!W71+ABRIL!AM71</f>
        <v>0</v>
      </c>
      <c r="X71" s="20">
        <f t="shared" si="73"/>
        <v>0</v>
      </c>
      <c r="Y71" s="21">
        <f>MARZO!AA71</f>
        <v>0</v>
      </c>
      <c r="Z71" s="457">
        <v>0</v>
      </c>
      <c r="AA71" s="20">
        <f t="shared" si="74"/>
        <v>0</v>
      </c>
      <c r="AB71" s="21">
        <f>MARZO!AD71</f>
        <v>0</v>
      </c>
      <c r="AC71" s="457">
        <v>0</v>
      </c>
      <c r="AD71" s="20">
        <f t="shared" si="75"/>
        <v>0</v>
      </c>
      <c r="AE71" s="21">
        <f>MARZO!AG71</f>
        <v>0</v>
      </c>
      <c r="AF71" s="457">
        <v>0</v>
      </c>
      <c r="AG71" s="20">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+IF(MARZO!A72=0,"",MARZO!A72)</f>
        <v>1130116</v>
      </c>
      <c r="B72" s="45" t="str">
        <f>+IF(MARZO!B72=0,"",MARZO!B72)</f>
        <v>ADMINISTRADORAS DE RIESGOS PROFESIONALES</v>
      </c>
      <c r="C72" s="53">
        <f t="shared" ref="C72:N72" si="80">SUM(C73:C74)</f>
        <v>17675457</v>
      </c>
      <c r="D72" s="53">
        <f t="shared" si="80"/>
        <v>0</v>
      </c>
      <c r="E72" s="53">
        <f t="shared" si="80"/>
        <v>0</v>
      </c>
      <c r="F72" s="54">
        <f t="shared" si="80"/>
        <v>17675457</v>
      </c>
      <c r="G72" s="52">
        <f t="shared" si="80"/>
        <v>6302342</v>
      </c>
      <c r="H72" s="53">
        <f t="shared" si="80"/>
        <v>1420701</v>
      </c>
      <c r="I72" s="54">
        <f t="shared" si="80"/>
        <v>7723043</v>
      </c>
      <c r="J72" s="52">
        <f t="shared" si="80"/>
        <v>3613887</v>
      </c>
      <c r="K72" s="53">
        <f t="shared" si="80"/>
        <v>97400</v>
      </c>
      <c r="L72" s="54">
        <f t="shared" si="80"/>
        <v>3711287</v>
      </c>
      <c r="M72" s="52">
        <f t="shared" si="80"/>
        <v>9952414</v>
      </c>
      <c r="N72" s="54">
        <f t="shared" si="80"/>
        <v>13964170</v>
      </c>
      <c r="P72" s="52">
        <f>SUM(P73:P74)</f>
        <v>0</v>
      </c>
      <c r="Q72" s="54">
        <f>SUM(Q73:Q74)</f>
        <v>0</v>
      </c>
      <c r="R72" s="10"/>
      <c r="S72" s="156" t="str">
        <f>+IF(MARZO!S72=0,"",MARZO!S72)</f>
        <v>1020104-3</v>
      </c>
      <c r="T72" s="55" t="str">
        <f>+IF(MARZO!T72=0,"",MARZO!T72)</f>
        <v>Prima de Vacaciones</v>
      </c>
      <c r="U72" s="29">
        <f>+ENERO!U72</f>
        <v>37546299</v>
      </c>
      <c r="V72" s="17">
        <f>MARZO!V72+ABRIL!AL72</f>
        <v>0</v>
      </c>
      <c r="W72" s="17">
        <f>MARZO!W72+ABRIL!AM72</f>
        <v>0</v>
      </c>
      <c r="X72" s="20">
        <f t="shared" si="73"/>
        <v>37546299</v>
      </c>
      <c r="Y72" s="21">
        <f>MARZO!AA72</f>
        <v>5914146</v>
      </c>
      <c r="Z72" s="457">
        <v>668417</v>
      </c>
      <c r="AA72" s="20">
        <f t="shared" si="74"/>
        <v>6582563</v>
      </c>
      <c r="AB72" s="21">
        <f>MARZO!AD72</f>
        <v>5914146</v>
      </c>
      <c r="AC72" s="457">
        <v>668417</v>
      </c>
      <c r="AD72" s="20">
        <f t="shared" si="75"/>
        <v>6582563</v>
      </c>
      <c r="AE72" s="21">
        <f>MARZO!AG72</f>
        <v>4155785</v>
      </c>
      <c r="AF72" s="457">
        <v>668417</v>
      </c>
      <c r="AG72" s="20">
        <f t="shared" si="76"/>
        <v>4824202</v>
      </c>
      <c r="AH72" s="21">
        <f t="shared" si="77"/>
        <v>30963736</v>
      </c>
      <c r="AI72" s="17">
        <f t="shared" si="78"/>
        <v>30963736</v>
      </c>
      <c r="AJ72" s="18">
        <f t="shared" si="79"/>
        <v>32722097</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+IF(MARZO!A73=0,"",MARZO!A73)</f>
        <v>1130116-1</v>
      </c>
      <c r="B73" s="189" t="str">
        <f>+CONCATENATE("Vigencia ",INSTRUCCIONES!$F$3)</f>
        <v>Vigencia 2014</v>
      </c>
      <c r="C73" s="456">
        <f>+ENERO!C73</f>
        <v>13187137</v>
      </c>
      <c r="D73" s="456">
        <f>MARZO!D73+ABRIL!P73</f>
        <v>0</v>
      </c>
      <c r="E73" s="456">
        <f>MARZO!E73+ABRIL!Q73</f>
        <v>0</v>
      </c>
      <c r="F73" s="170">
        <f>SUM(C73:E73)</f>
        <v>13187137</v>
      </c>
      <c r="G73" s="283">
        <f>MARZO!I73</f>
        <v>3749641</v>
      </c>
      <c r="H73" s="457">
        <v>1420701</v>
      </c>
      <c r="I73" s="170">
        <f>SUM(G73:H73)</f>
        <v>5170342</v>
      </c>
      <c r="J73" s="283">
        <f>MARZO!L73</f>
        <v>1061186</v>
      </c>
      <c r="K73" s="457">
        <v>97400</v>
      </c>
      <c r="L73" s="170">
        <f>SUM(J73:K73)</f>
        <v>1158586</v>
      </c>
      <c r="M73" s="283">
        <f>F73-I73</f>
        <v>8016795</v>
      </c>
      <c r="N73" s="170">
        <f>F73-L73</f>
        <v>12028551</v>
      </c>
      <c r="O73" s="467"/>
      <c r="P73" s="455">
        <v>0</v>
      </c>
      <c r="Q73" s="458">
        <v>0</v>
      </c>
      <c r="R73" s="10"/>
      <c r="S73" s="156" t="str">
        <f>+IF(MARZO!S73=0,"",MARZO!S73)</f>
        <v>1020104-4</v>
      </c>
      <c r="T73" s="55" t="str">
        <f>+IF(MARZO!T73=0,"",MARZO!T73)</f>
        <v>Prima Clima</v>
      </c>
      <c r="U73" s="29">
        <f>+ENERO!U73</f>
        <v>0</v>
      </c>
      <c r="V73" s="17">
        <f>MARZO!V73+ABRIL!AL73</f>
        <v>0</v>
      </c>
      <c r="W73" s="17">
        <f>MARZO!W73+ABRIL!AM73</f>
        <v>0</v>
      </c>
      <c r="X73" s="20">
        <f t="shared" si="73"/>
        <v>0</v>
      </c>
      <c r="Y73" s="21">
        <f>MARZO!AA73</f>
        <v>0</v>
      </c>
      <c r="Z73" s="457">
        <v>0</v>
      </c>
      <c r="AA73" s="20">
        <f t="shared" si="74"/>
        <v>0</v>
      </c>
      <c r="AB73" s="21">
        <f>MARZO!AD73</f>
        <v>0</v>
      </c>
      <c r="AC73" s="457">
        <v>0</v>
      </c>
      <c r="AD73" s="20">
        <f t="shared" si="75"/>
        <v>0</v>
      </c>
      <c r="AE73" s="21">
        <f>MARZO!AG73</f>
        <v>0</v>
      </c>
      <c r="AF73" s="457">
        <v>0</v>
      </c>
      <c r="AG73" s="20">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+IF(MARZO!A74=0,"",MARZO!A74)</f>
        <v>1130116-2</v>
      </c>
      <c r="B74" s="189" t="str">
        <f>+IF(MARZO!B74=0,"",MARZO!B74)</f>
        <v>Vigencias Anteriores</v>
      </c>
      <c r="C74" s="456">
        <f>+ENERO!C74</f>
        <v>4488320</v>
      </c>
      <c r="D74" s="456">
        <f>MARZO!D74+ABRIL!P74</f>
        <v>0</v>
      </c>
      <c r="E74" s="456">
        <f>MARZO!E74+ABRIL!Q74</f>
        <v>0</v>
      </c>
      <c r="F74" s="170">
        <f>SUM(C74:E74)</f>
        <v>4488320</v>
      </c>
      <c r="G74" s="283">
        <f>MARZO!I74</f>
        <v>2552701</v>
      </c>
      <c r="H74" s="457">
        <v>0</v>
      </c>
      <c r="I74" s="170">
        <f>SUM(G74:H74)</f>
        <v>2552701</v>
      </c>
      <c r="J74" s="283">
        <f>MARZO!L74</f>
        <v>2552701</v>
      </c>
      <c r="K74" s="457">
        <v>0</v>
      </c>
      <c r="L74" s="170">
        <f>SUM(J74:K74)</f>
        <v>2552701</v>
      </c>
      <c r="M74" s="283">
        <f>F74-I74</f>
        <v>1935619</v>
      </c>
      <c r="N74" s="170">
        <f>F74-L74</f>
        <v>1935619</v>
      </c>
      <c r="O74" s="467"/>
      <c r="P74" s="455">
        <v>0</v>
      </c>
      <c r="Q74" s="458">
        <v>0</v>
      </c>
      <c r="R74" s="10"/>
      <c r="S74" s="156" t="str">
        <f>+IF(MARZO!S74=0,"",MARZO!S74)</f>
        <v>1020104-5</v>
      </c>
      <c r="T74" s="55" t="str">
        <f>+IF(MARZO!T74=0,"",MARZO!T74)</f>
        <v>Prima de Servicios</v>
      </c>
      <c r="U74" s="29">
        <f>+ENERO!U74</f>
        <v>5675116</v>
      </c>
      <c r="V74" s="17">
        <f>MARZO!V74+ABRIL!AL74</f>
        <v>0</v>
      </c>
      <c r="W74" s="17">
        <f>MARZO!W74+ABRIL!AM74</f>
        <v>0</v>
      </c>
      <c r="X74" s="20">
        <f t="shared" si="73"/>
        <v>5675116</v>
      </c>
      <c r="Y74" s="21">
        <f>MARZO!AA74</f>
        <v>0</v>
      </c>
      <c r="Z74" s="457">
        <v>0</v>
      </c>
      <c r="AA74" s="20">
        <f t="shared" si="74"/>
        <v>0</v>
      </c>
      <c r="AB74" s="21">
        <f>MARZO!AD74</f>
        <v>0</v>
      </c>
      <c r="AC74" s="457">
        <v>0</v>
      </c>
      <c r="AD74" s="20">
        <f t="shared" si="75"/>
        <v>0</v>
      </c>
      <c r="AE74" s="21">
        <f>MARZO!AG74</f>
        <v>0</v>
      </c>
      <c r="AF74" s="457">
        <v>0</v>
      </c>
      <c r="AG74" s="20">
        <f t="shared" si="76"/>
        <v>0</v>
      </c>
      <c r="AH74" s="21">
        <f t="shared" si="77"/>
        <v>5675116</v>
      </c>
      <c r="AI74" s="17">
        <f t="shared" si="78"/>
        <v>5675116</v>
      </c>
      <c r="AJ74" s="18">
        <f t="shared" si="79"/>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+IF(MARZO!A75=0,"",MARZO!A75)</f>
        <v>1130117</v>
      </c>
      <c r="B75" s="45" t="str">
        <f>+IF(MARZO!B75=0,"",MARZO!B75)</f>
        <v>CUOTAS DE RECUPERACION</v>
      </c>
      <c r="C75" s="53">
        <f t="shared" ref="C75:N75" si="81">SUM(C76:C77)</f>
        <v>1100000</v>
      </c>
      <c r="D75" s="53">
        <f t="shared" si="81"/>
        <v>0</v>
      </c>
      <c r="E75" s="53">
        <f t="shared" si="81"/>
        <v>0</v>
      </c>
      <c r="F75" s="54">
        <f t="shared" si="81"/>
        <v>1100000</v>
      </c>
      <c r="G75" s="52">
        <f t="shared" si="81"/>
        <v>22748059</v>
      </c>
      <c r="H75" s="53">
        <f t="shared" si="81"/>
        <v>9276946</v>
      </c>
      <c r="I75" s="54">
        <f t="shared" si="81"/>
        <v>32025005</v>
      </c>
      <c r="J75" s="52">
        <f t="shared" si="81"/>
        <v>22748059</v>
      </c>
      <c r="K75" s="53">
        <f t="shared" si="81"/>
        <v>9276946</v>
      </c>
      <c r="L75" s="54">
        <f t="shared" si="81"/>
        <v>32025005</v>
      </c>
      <c r="M75" s="52">
        <f t="shared" si="81"/>
        <v>-30925005</v>
      </c>
      <c r="N75" s="54">
        <f t="shared" si="81"/>
        <v>-30925005</v>
      </c>
      <c r="P75" s="52">
        <f>SUM(P76:P77)</f>
        <v>0</v>
      </c>
      <c r="Q75" s="54">
        <f>SUM(Q76:Q77)</f>
        <v>0</v>
      </c>
      <c r="R75" s="10"/>
      <c r="S75" s="156" t="str">
        <f>+IF(MARZO!S75=0,"",MARZO!S75)</f>
        <v>1020104-8</v>
      </c>
      <c r="T75" s="55" t="str">
        <f>+IF(MARZO!T75=0,"",MARZO!T75)</f>
        <v>Bonific. por Servicios Prestados (Convencional)</v>
      </c>
      <c r="U75" s="29">
        <f>+ENERO!U75</f>
        <v>0</v>
      </c>
      <c r="V75" s="17">
        <f>MARZO!V75+ABRIL!AL75</f>
        <v>0</v>
      </c>
      <c r="W75" s="17">
        <f>MARZO!W75+ABRIL!AM75</f>
        <v>0</v>
      </c>
      <c r="X75" s="20">
        <f t="shared" si="73"/>
        <v>0</v>
      </c>
      <c r="Y75" s="21">
        <f>MARZO!AA75</f>
        <v>0</v>
      </c>
      <c r="Z75" s="457">
        <v>0</v>
      </c>
      <c r="AA75" s="20">
        <f t="shared" si="74"/>
        <v>0</v>
      </c>
      <c r="AB75" s="21">
        <f>MARZO!AD75</f>
        <v>0</v>
      </c>
      <c r="AC75" s="457">
        <v>0</v>
      </c>
      <c r="AD75" s="20">
        <f t="shared" si="75"/>
        <v>0</v>
      </c>
      <c r="AE75" s="21">
        <f>MARZO!AG75</f>
        <v>0</v>
      </c>
      <c r="AF75" s="457">
        <v>0</v>
      </c>
      <c r="AG75" s="20">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+IF(MARZO!A76=0,"",MARZO!A76)</f>
        <v>1130117-1</v>
      </c>
      <c r="B76" s="189" t="str">
        <f>+CONCATENATE("Vigencia ",INSTRUCCIONES!$F$3)</f>
        <v>Vigencia 2014</v>
      </c>
      <c r="C76" s="456">
        <f>+ENERO!C76</f>
        <v>1100000</v>
      </c>
      <c r="D76" s="456">
        <f>MARZO!D76+ABRIL!P76</f>
        <v>0</v>
      </c>
      <c r="E76" s="456">
        <f>MARZO!E76+ABRIL!Q76</f>
        <v>0</v>
      </c>
      <c r="F76" s="170">
        <f t="shared" ref="F76:F83" si="82">SUM(C76:E76)</f>
        <v>1100000</v>
      </c>
      <c r="G76" s="283">
        <f>MARZO!I76</f>
        <v>22748059</v>
      </c>
      <c r="H76" s="457">
        <v>9276946</v>
      </c>
      <c r="I76" s="170">
        <f t="shared" ref="I76:I83" si="83">SUM(G76:H76)</f>
        <v>32025005</v>
      </c>
      <c r="J76" s="283">
        <f>MARZO!L76</f>
        <v>22748059</v>
      </c>
      <c r="K76" s="457">
        <v>9276946</v>
      </c>
      <c r="L76" s="170">
        <f t="shared" ref="L76:L83" si="84">SUM(J76:K76)</f>
        <v>32025005</v>
      </c>
      <c r="M76" s="283">
        <f t="shared" ref="M76:M83" si="85">F76-I76</f>
        <v>-30925005</v>
      </c>
      <c r="N76" s="170">
        <f t="shared" ref="N76:N83" si="86">F76-L76</f>
        <v>-30925005</v>
      </c>
      <c r="O76" s="467"/>
      <c r="P76" s="455">
        <v>0</v>
      </c>
      <c r="Q76" s="458">
        <v>0</v>
      </c>
      <c r="R76" s="10"/>
      <c r="S76" s="156" t="str">
        <f>+IF(MARZO!S76=0,"",MARZO!S76)</f>
        <v>1020104-9</v>
      </c>
      <c r="T76" s="55" t="str">
        <f>+IF(MARZO!T76=0,"",MARZO!T76)</f>
        <v>Auxilio de Transporte</v>
      </c>
      <c r="U76" s="29">
        <f>+ENERO!U76</f>
        <v>0</v>
      </c>
      <c r="V76" s="17">
        <f>MARZO!V76+ABRIL!AL76</f>
        <v>0</v>
      </c>
      <c r="W76" s="17">
        <f>MARZO!W76+ABRIL!AM76</f>
        <v>0</v>
      </c>
      <c r="X76" s="20">
        <f t="shared" si="73"/>
        <v>0</v>
      </c>
      <c r="Y76" s="21">
        <f>MARZO!AA76</f>
        <v>0</v>
      </c>
      <c r="Z76" s="457">
        <v>0</v>
      </c>
      <c r="AA76" s="20">
        <f t="shared" si="74"/>
        <v>0</v>
      </c>
      <c r="AB76" s="21">
        <f>MARZO!AD76</f>
        <v>0</v>
      </c>
      <c r="AC76" s="457">
        <v>0</v>
      </c>
      <c r="AD76" s="20">
        <f t="shared" si="75"/>
        <v>0</v>
      </c>
      <c r="AE76" s="21">
        <f>MARZO!AG76</f>
        <v>0</v>
      </c>
      <c r="AF76" s="457">
        <v>0</v>
      </c>
      <c r="AG76" s="20">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+IF(MARZO!A77=0,"",MARZO!A77)</f>
        <v>1130117-2</v>
      </c>
      <c r="B77" s="189" t="str">
        <f>+IF(MARZO!B77=0,"",MARZO!B77)</f>
        <v>Vigencias Anteriores</v>
      </c>
      <c r="C77" s="456">
        <f>+ENERO!C77</f>
        <v>0</v>
      </c>
      <c r="D77" s="456">
        <f>MARZO!D77+ABRIL!P77</f>
        <v>0</v>
      </c>
      <c r="E77" s="456">
        <f>MARZO!E77+ABRIL!Q77</f>
        <v>0</v>
      </c>
      <c r="F77" s="170">
        <f t="shared" si="82"/>
        <v>0</v>
      </c>
      <c r="G77" s="283">
        <f>MARZO!I77</f>
        <v>0</v>
      </c>
      <c r="H77" s="457">
        <v>0</v>
      </c>
      <c r="I77" s="170">
        <f t="shared" si="83"/>
        <v>0</v>
      </c>
      <c r="J77" s="283">
        <f>MARZO!L77</f>
        <v>0</v>
      </c>
      <c r="K77" s="457">
        <v>0</v>
      </c>
      <c r="L77" s="170">
        <f t="shared" si="84"/>
        <v>0</v>
      </c>
      <c r="M77" s="283">
        <f t="shared" si="85"/>
        <v>0</v>
      </c>
      <c r="N77" s="170">
        <f t="shared" si="86"/>
        <v>0</v>
      </c>
      <c r="O77" s="467"/>
      <c r="P77" s="455">
        <v>0</v>
      </c>
      <c r="Q77" s="458">
        <v>0</v>
      </c>
      <c r="R77" s="10"/>
      <c r="S77" s="156" t="str">
        <f>+IF(MARZO!S77=0,"",MARZO!S77)</f>
        <v>1020104-10</v>
      </c>
      <c r="T77" s="55" t="str">
        <f>+IF(MARZO!T77=0,"",MARZO!T77)</f>
        <v>Subsidio de Alimentación</v>
      </c>
      <c r="U77" s="29">
        <f>+ENERO!U77</f>
        <v>3859093</v>
      </c>
      <c r="V77" s="17">
        <f>MARZO!V77+ABRIL!AL77</f>
        <v>0</v>
      </c>
      <c r="W77" s="17">
        <f>MARZO!W77+ABRIL!AM77</f>
        <v>0</v>
      </c>
      <c r="X77" s="20">
        <f t="shared" si="73"/>
        <v>3859093</v>
      </c>
      <c r="Y77" s="21">
        <f>MARZO!AA77</f>
        <v>774486</v>
      </c>
      <c r="Z77" s="457">
        <v>292549</v>
      </c>
      <c r="AA77" s="20">
        <f t="shared" si="74"/>
        <v>1067035</v>
      </c>
      <c r="AB77" s="21">
        <f>MARZO!AD77</f>
        <v>774486</v>
      </c>
      <c r="AC77" s="457">
        <v>292549</v>
      </c>
      <c r="AD77" s="20">
        <f t="shared" si="75"/>
        <v>1067035</v>
      </c>
      <c r="AE77" s="21">
        <f>MARZO!AG77</f>
        <v>774486</v>
      </c>
      <c r="AF77" s="457">
        <v>292549</v>
      </c>
      <c r="AG77" s="20">
        <f t="shared" si="76"/>
        <v>1067035</v>
      </c>
      <c r="AH77" s="21">
        <f t="shared" si="77"/>
        <v>2792058</v>
      </c>
      <c r="AI77" s="17">
        <f t="shared" si="78"/>
        <v>2792058</v>
      </c>
      <c r="AJ77" s="18">
        <f t="shared" si="79"/>
        <v>2792058</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+IF(MARZO!A78=0,"",MARZO!A78)</f>
        <v>1130118</v>
      </c>
      <c r="B78" s="45" t="str">
        <f>+IF(MARZO!B78=0,"",MARZO!B78)</f>
        <v>PARTICULARES   (Venta de Contado)</v>
      </c>
      <c r="C78" s="53">
        <f>SUM(C79:C80)</f>
        <v>81679743</v>
      </c>
      <c r="D78" s="53">
        <f>SUM(D79:D80)</f>
        <v>0</v>
      </c>
      <c r="E78" s="53">
        <f>SUM(E79:E80)</f>
        <v>0</v>
      </c>
      <c r="F78" s="54">
        <f t="shared" si="82"/>
        <v>81679743</v>
      </c>
      <c r="G78" s="52">
        <f>SUM(G79:G80)</f>
        <v>4798975</v>
      </c>
      <c r="H78" s="53">
        <f>SUM(H79:H80)</f>
        <v>123934</v>
      </c>
      <c r="I78" s="54">
        <f t="shared" si="83"/>
        <v>4922909</v>
      </c>
      <c r="J78" s="52">
        <f>SUM(J79:J80)</f>
        <v>4363331</v>
      </c>
      <c r="K78" s="53">
        <f>SUM(K79:K80)</f>
        <v>44300</v>
      </c>
      <c r="L78" s="54">
        <f t="shared" si="84"/>
        <v>4407631</v>
      </c>
      <c r="M78" s="52">
        <f t="shared" si="85"/>
        <v>76756834</v>
      </c>
      <c r="N78" s="54">
        <f t="shared" si="86"/>
        <v>77272112</v>
      </c>
      <c r="O78" s="467"/>
      <c r="P78" s="52">
        <f>SUM(P79:P80)</f>
        <v>0</v>
      </c>
      <c r="Q78" s="54">
        <f>SUM(Q79:Q80)</f>
        <v>0</v>
      </c>
      <c r="R78" s="10"/>
      <c r="S78" s="156" t="str">
        <f>+IF(MARZO!S78=0,"",MARZO!S78)</f>
        <v>1020104-12</v>
      </c>
      <c r="T78" s="55" t="str">
        <f>+IF(MARZO!T78=0,"",MARZO!T78)</f>
        <v>Indemnizaciones por Vacaciones o Supresión de Cargos por Reestructuración</v>
      </c>
      <c r="U78" s="29">
        <f>+ENERO!U78</f>
        <v>0</v>
      </c>
      <c r="V78" s="17">
        <f>MARZO!V78+ABRIL!AL78</f>
        <v>0</v>
      </c>
      <c r="W78" s="17">
        <f>MARZO!W78+ABRIL!AM78</f>
        <v>0</v>
      </c>
      <c r="X78" s="20">
        <f t="shared" si="73"/>
        <v>0</v>
      </c>
      <c r="Y78" s="21">
        <f>MARZO!AA78</f>
        <v>0</v>
      </c>
      <c r="Z78" s="457">
        <v>0</v>
      </c>
      <c r="AA78" s="20">
        <f t="shared" si="74"/>
        <v>0</v>
      </c>
      <c r="AB78" s="21">
        <f>MARZO!AD78</f>
        <v>0</v>
      </c>
      <c r="AC78" s="457">
        <v>0</v>
      </c>
      <c r="AD78" s="20">
        <f t="shared" si="75"/>
        <v>0</v>
      </c>
      <c r="AE78" s="21">
        <f>MARZO!AG78</f>
        <v>0</v>
      </c>
      <c r="AF78" s="457">
        <v>0</v>
      </c>
      <c r="AG78" s="20">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+IF(MARZO!A79=0,"",MARZO!A79)</f>
        <v>1130118-1</v>
      </c>
      <c r="B79" s="189" t="str">
        <f>+CONCATENATE("Vigencia ",INSTRUCCIONES!$F$3)</f>
        <v>Vigencia 2014</v>
      </c>
      <c r="C79" s="456">
        <f>+ENERO!C79</f>
        <v>81679743</v>
      </c>
      <c r="D79" s="456">
        <f>MARZO!D79+ABRIL!P79</f>
        <v>0</v>
      </c>
      <c r="E79" s="456">
        <f>MARZO!E79+ABRIL!Q79</f>
        <v>0</v>
      </c>
      <c r="F79" s="170">
        <f t="shared" si="82"/>
        <v>81679743</v>
      </c>
      <c r="G79" s="283">
        <f>MARZO!I79</f>
        <v>4798975</v>
      </c>
      <c r="H79" s="457">
        <v>123934</v>
      </c>
      <c r="I79" s="170">
        <f t="shared" si="83"/>
        <v>4922909</v>
      </c>
      <c r="J79" s="283">
        <f>MARZO!L79</f>
        <v>4363331</v>
      </c>
      <c r="K79" s="457">
        <v>44300</v>
      </c>
      <c r="L79" s="170">
        <f t="shared" si="84"/>
        <v>4407631</v>
      </c>
      <c r="M79" s="283">
        <f t="shared" si="85"/>
        <v>76756834</v>
      </c>
      <c r="N79" s="170">
        <f t="shared" si="86"/>
        <v>77272112</v>
      </c>
      <c r="P79" s="455">
        <v>0</v>
      </c>
      <c r="Q79" s="458">
        <v>0</v>
      </c>
      <c r="R79" s="10"/>
      <c r="S79" s="156" t="str">
        <f>+IF(MARZO!S79=0,"",MARZO!S79)</f>
        <v>1020104-13</v>
      </c>
      <c r="T79" s="55" t="str">
        <f>+IF(MARZO!T79=0,"",MARZO!T79)</f>
        <v>Bonificación Especial por Recreación</v>
      </c>
      <c r="U79" s="29">
        <f>+ENERO!U79</f>
        <v>5006173</v>
      </c>
      <c r="V79" s="17">
        <f>MARZO!V79+ABRIL!AL79</f>
        <v>0</v>
      </c>
      <c r="W79" s="17">
        <f>MARZO!W79+ABRIL!AM79</f>
        <v>0</v>
      </c>
      <c r="X79" s="20">
        <f t="shared" si="73"/>
        <v>5006173</v>
      </c>
      <c r="Y79" s="21">
        <f>MARZO!AA79</f>
        <v>783676</v>
      </c>
      <c r="Z79" s="457">
        <v>89122</v>
      </c>
      <c r="AA79" s="20">
        <f t="shared" si="74"/>
        <v>872798</v>
      </c>
      <c r="AB79" s="21">
        <f>MARZO!AD79</f>
        <v>783676</v>
      </c>
      <c r="AC79" s="457">
        <v>89122</v>
      </c>
      <c r="AD79" s="20">
        <f t="shared" si="75"/>
        <v>872798</v>
      </c>
      <c r="AE79" s="21">
        <f>MARZO!AG79</f>
        <v>549228</v>
      </c>
      <c r="AF79" s="457">
        <v>89122</v>
      </c>
      <c r="AG79" s="20">
        <f t="shared" si="76"/>
        <v>638350</v>
      </c>
      <c r="AH79" s="21">
        <f t="shared" si="77"/>
        <v>4133375</v>
      </c>
      <c r="AI79" s="17">
        <f t="shared" si="78"/>
        <v>4133375</v>
      </c>
      <c r="AJ79" s="18">
        <f t="shared" si="79"/>
        <v>4367823</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+IF(MARZO!A80=0,"",MARZO!A80)</f>
        <v>1130118-2</v>
      </c>
      <c r="B80" s="189" t="str">
        <f>+IF(MARZO!B80=0,"",MARZO!B80)</f>
        <v>Vigencias Anteriores</v>
      </c>
      <c r="C80" s="456">
        <f>+ENERO!C80</f>
        <v>0</v>
      </c>
      <c r="D80" s="456">
        <f>MARZO!D80+ABRIL!P80</f>
        <v>0</v>
      </c>
      <c r="E80" s="456">
        <f>MARZO!E80+ABRIL!Q80</f>
        <v>0</v>
      </c>
      <c r="F80" s="170">
        <f t="shared" si="82"/>
        <v>0</v>
      </c>
      <c r="G80" s="283">
        <f>MARZO!I80</f>
        <v>0</v>
      </c>
      <c r="H80" s="457">
        <v>0</v>
      </c>
      <c r="I80" s="170">
        <f t="shared" si="83"/>
        <v>0</v>
      </c>
      <c r="J80" s="283">
        <f>MARZO!L80</f>
        <v>0</v>
      </c>
      <c r="K80" s="457">
        <v>0</v>
      </c>
      <c r="L80" s="170">
        <f t="shared" si="84"/>
        <v>0</v>
      </c>
      <c r="M80" s="283">
        <f t="shared" si="85"/>
        <v>0</v>
      </c>
      <c r="N80" s="170">
        <f t="shared" si="86"/>
        <v>0</v>
      </c>
      <c r="O80" s="467"/>
      <c r="P80" s="455">
        <v>0</v>
      </c>
      <c r="Q80" s="458">
        <v>0</v>
      </c>
      <c r="S80" s="156" t="str">
        <f>+IF(MARZO!S80=0,"",MARZO!S80)</f>
        <v>1020104-14</v>
      </c>
      <c r="T80" s="55" t="str">
        <f>+IF(MARZO!T80=0,"",MARZO!T80)</f>
        <v/>
      </c>
      <c r="U80" s="29">
        <f>+ENERO!U80</f>
        <v>0</v>
      </c>
      <c r="V80" s="17">
        <f>MARZO!V80+ABRIL!AL80</f>
        <v>0</v>
      </c>
      <c r="W80" s="17">
        <f>MARZO!W80+ABRIL!AM80</f>
        <v>0</v>
      </c>
      <c r="X80" s="20">
        <f t="shared" si="73"/>
        <v>0</v>
      </c>
      <c r="Y80" s="21">
        <f>MARZO!AA80</f>
        <v>0</v>
      </c>
      <c r="Z80" s="457">
        <v>0</v>
      </c>
      <c r="AA80" s="20">
        <f t="shared" si="74"/>
        <v>0</v>
      </c>
      <c r="AB80" s="21">
        <f>MARZO!AD80</f>
        <v>0</v>
      </c>
      <c r="AC80" s="457">
        <v>0</v>
      </c>
      <c r="AD80" s="20">
        <f t="shared" si="75"/>
        <v>0</v>
      </c>
      <c r="AE80" s="21">
        <f>MARZO!AG80</f>
        <v>0</v>
      </c>
      <c r="AF80" s="457">
        <v>0</v>
      </c>
      <c r="AG80" s="20">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+IF(MARZO!A81=0,"",MARZO!A81)</f>
        <v>1130119</v>
      </c>
      <c r="B81" s="45" t="str">
        <f>+IF(MARZO!B81=0,"",MARZO!B81)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+IF(MARZO!S81=0,"",MARZO!S81)</f>
        <v>1020199</v>
      </c>
      <c r="T81" s="159" t="str">
        <f>+IF(MARZO!T81=0,"",MARZO!T81)</f>
        <v>Vigencias Anteriores</v>
      </c>
      <c r="U81" s="29">
        <f>+ENERO!U81</f>
        <v>8738114</v>
      </c>
      <c r="V81" s="17">
        <f>MARZO!V81+ABRIL!AL81</f>
        <v>5657703</v>
      </c>
      <c r="W81" s="17">
        <f>MARZO!W81+ABRIL!AM81</f>
        <v>8749212</v>
      </c>
      <c r="X81" s="20">
        <f t="shared" si="73"/>
        <v>23145029</v>
      </c>
      <c r="Y81" s="21">
        <f>MARZO!AA81</f>
        <v>22680029</v>
      </c>
      <c r="Z81" s="457">
        <v>0</v>
      </c>
      <c r="AA81" s="20">
        <f t="shared" si="74"/>
        <v>22680029</v>
      </c>
      <c r="AB81" s="21">
        <f>MARZO!AD81</f>
        <v>22680029</v>
      </c>
      <c r="AC81" s="457">
        <v>0</v>
      </c>
      <c r="AD81" s="20">
        <f t="shared" si="75"/>
        <v>22680029</v>
      </c>
      <c r="AE81" s="21">
        <f>MARZO!AG81</f>
        <v>21699687</v>
      </c>
      <c r="AF81" s="457">
        <v>980342</v>
      </c>
      <c r="AG81" s="20">
        <f t="shared" si="76"/>
        <v>22680029</v>
      </c>
      <c r="AH81" s="21">
        <f t="shared" si="77"/>
        <v>465000</v>
      </c>
      <c r="AI81" s="17">
        <f t="shared" si="78"/>
        <v>465000</v>
      </c>
      <c r="AJ81" s="18">
        <f t="shared" si="79"/>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+IF(MARZO!A82=0,"",MARZO!A82)</f>
        <v>1130119-1</v>
      </c>
      <c r="B82" s="189" t="str">
        <f>+CONCATENATE("Vigencia ",INSTRUCCIONES!$F$3)</f>
        <v>Vigencia 2014</v>
      </c>
      <c r="C82" s="456">
        <f>+ENERO!C82</f>
        <v>0</v>
      </c>
      <c r="D82" s="456">
        <f>MARZO!D82+ABRIL!P82</f>
        <v>0</v>
      </c>
      <c r="E82" s="456">
        <f>MARZO!E82+ABRIL!Q82</f>
        <v>0</v>
      </c>
      <c r="F82" s="170">
        <f t="shared" si="82"/>
        <v>0</v>
      </c>
      <c r="G82" s="283">
        <f>MARZO!I82</f>
        <v>0</v>
      </c>
      <c r="H82" s="457">
        <v>0</v>
      </c>
      <c r="I82" s="170">
        <f t="shared" si="83"/>
        <v>0</v>
      </c>
      <c r="J82" s="283">
        <f>MARZO!L82</f>
        <v>0</v>
      </c>
      <c r="K82" s="457">
        <v>0</v>
      </c>
      <c r="L82" s="170">
        <f t="shared" si="84"/>
        <v>0</v>
      </c>
      <c r="M82" s="283">
        <f t="shared" si="85"/>
        <v>0</v>
      </c>
      <c r="N82" s="170">
        <f t="shared" si="86"/>
        <v>0</v>
      </c>
      <c r="P82" s="455">
        <v>0</v>
      </c>
      <c r="Q82" s="458">
        <v>0</v>
      </c>
      <c r="R82" s="10"/>
      <c r="S82" s="448" t="str">
        <f>+IF(MARZO!S82=0,"",MARZO!S82)</f>
        <v/>
      </c>
      <c r="T82" s="649" t="str">
        <f>+IF(MARZO!T82=0,"",MARZO!T82)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+IF(MARZO!A83=0,"",MARZO!A83)</f>
        <v>1130119-2</v>
      </c>
      <c r="B83" s="189" t="str">
        <f>+IF(MARZO!B83=0,"",MARZO!B83)</f>
        <v>Vigencias Anteriores</v>
      </c>
      <c r="C83" s="456">
        <f>+ENERO!C83</f>
        <v>0</v>
      </c>
      <c r="D83" s="456">
        <f>MARZO!D83+ABRIL!P83</f>
        <v>0</v>
      </c>
      <c r="E83" s="456">
        <f>MARZO!E83+ABRIL!Q83</f>
        <v>0</v>
      </c>
      <c r="F83" s="170">
        <f t="shared" si="82"/>
        <v>0</v>
      </c>
      <c r="G83" s="283">
        <f>MARZO!I83</f>
        <v>0</v>
      </c>
      <c r="H83" s="457">
        <v>0</v>
      </c>
      <c r="I83" s="170">
        <f t="shared" si="83"/>
        <v>0</v>
      </c>
      <c r="J83" s="283">
        <f>MARZO!L83</f>
        <v>0</v>
      </c>
      <c r="K83" s="457">
        <v>0</v>
      </c>
      <c r="L83" s="170">
        <f t="shared" si="84"/>
        <v>0</v>
      </c>
      <c r="M83" s="283">
        <f t="shared" si="85"/>
        <v>0</v>
      </c>
      <c r="N83" s="170">
        <f t="shared" si="86"/>
        <v>0</v>
      </c>
      <c r="P83" s="455">
        <v>0</v>
      </c>
      <c r="Q83" s="458">
        <v>0</v>
      </c>
      <c r="R83" s="10"/>
      <c r="S83" s="34">
        <f>+IF(MARZO!S83=0,"",MARZO!S83)</f>
        <v>1020200</v>
      </c>
      <c r="T83" s="158" t="str">
        <f>+IF(MARZO!T83=0,"",MARZO!T83)</f>
        <v>Servicios Personales Indirectos</v>
      </c>
      <c r="U83" s="157">
        <f t="shared" ref="U83:AJ83" si="88">SUM(U84:U88)</f>
        <v>71000000</v>
      </c>
      <c r="V83" s="144">
        <f t="shared" si="88"/>
        <v>0</v>
      </c>
      <c r="W83" s="144">
        <f t="shared" si="88"/>
        <v>4687311</v>
      </c>
      <c r="X83" s="152">
        <f t="shared" si="88"/>
        <v>75687311</v>
      </c>
      <c r="Y83" s="151">
        <f t="shared" si="88"/>
        <v>19532969</v>
      </c>
      <c r="Z83" s="144">
        <f t="shared" si="88"/>
        <v>2358223</v>
      </c>
      <c r="AA83" s="152">
        <f t="shared" si="88"/>
        <v>21891192</v>
      </c>
      <c r="AB83" s="151">
        <f t="shared" si="88"/>
        <v>19532169</v>
      </c>
      <c r="AC83" s="144">
        <f t="shared" si="88"/>
        <v>2358223</v>
      </c>
      <c r="AD83" s="152">
        <f t="shared" si="88"/>
        <v>21890392</v>
      </c>
      <c r="AE83" s="151">
        <f t="shared" si="88"/>
        <v>14821537</v>
      </c>
      <c r="AF83" s="144">
        <f t="shared" si="88"/>
        <v>1989352</v>
      </c>
      <c r="AG83" s="152">
        <f t="shared" si="88"/>
        <v>16810889</v>
      </c>
      <c r="AH83" s="151">
        <f t="shared" si="88"/>
        <v>53796119</v>
      </c>
      <c r="AI83" s="144">
        <f t="shared" si="88"/>
        <v>53796919</v>
      </c>
      <c r="AJ83" s="153">
        <f t="shared" si="88"/>
        <v>58876422</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+IF(MARZO!A84=0,"",MARZO!A84)</f>
        <v/>
      </c>
      <c r="B84" s="557" t="str">
        <f>+IF(MARZO!B84=0,"",MARZO!B84)</f>
        <v/>
      </c>
      <c r="C84" s="495"/>
      <c r="D84" s="495"/>
      <c r="E84" s="495"/>
      <c r="F84" s="495"/>
      <c r="G84" s="495"/>
      <c r="H84" s="495"/>
      <c r="I84" s="495"/>
      <c r="J84" s="495"/>
      <c r="K84" s="495"/>
      <c r="L84" s="495"/>
      <c r="M84" s="495"/>
      <c r="N84" s="496"/>
      <c r="P84" s="497"/>
      <c r="Q84" s="496"/>
      <c r="R84" s="10"/>
      <c r="S84" s="155" t="str">
        <f>+IF(MARZO!S84=0,"",MARZO!S84)</f>
        <v>1020200-1</v>
      </c>
      <c r="T84" s="159" t="str">
        <f>+IF(MARZO!T84=0,"",MARZO!T84)</f>
        <v>Remuneración y Honorarios por Servicios Técnicos y Profesionales</v>
      </c>
      <c r="U84" s="29">
        <f>+ENERO!U84</f>
        <v>20000000</v>
      </c>
      <c r="V84" s="17">
        <f>MARZO!V84+ABRIL!AL84</f>
        <v>0</v>
      </c>
      <c r="W84" s="17">
        <f>MARZO!W84+ABRIL!AM84</f>
        <v>0</v>
      </c>
      <c r="X84" s="20">
        <f>SUM(U84:W84)</f>
        <v>20000000</v>
      </c>
      <c r="Y84" s="21">
        <f>MARZO!AA84</f>
        <v>4158009</v>
      </c>
      <c r="Z84" s="457">
        <v>1748023</v>
      </c>
      <c r="AA84" s="20">
        <f>SUM(Y84:Z84)</f>
        <v>5906032</v>
      </c>
      <c r="AB84" s="21">
        <f>MARZO!AD84</f>
        <v>4158009</v>
      </c>
      <c r="AC84" s="457">
        <v>1748023</v>
      </c>
      <c r="AD84" s="20">
        <f>SUM(AB84:AC84)</f>
        <v>5906032</v>
      </c>
      <c r="AE84" s="21">
        <f>MARZO!AG84</f>
        <v>1310477</v>
      </c>
      <c r="AF84" s="457">
        <v>1497552</v>
      </c>
      <c r="AG84" s="20">
        <f>SUM(AE84:AF84)</f>
        <v>2808029</v>
      </c>
      <c r="AH84" s="21">
        <f>X84-AA84</f>
        <v>14093968</v>
      </c>
      <c r="AI84" s="17">
        <f>X84-AD84</f>
        <v>14093968</v>
      </c>
      <c r="AJ84" s="18">
        <f>X84-AG84</f>
        <v>17191971</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+IF(MARZO!A85=0,"",MARZO!A85)</f>
        <v>11302</v>
      </c>
      <c r="B85" s="460" t="str">
        <f>+IF(MARZO!B85=0,"",MARZO!B85)</f>
        <v>Venta de Otros Bienes y Servicios</v>
      </c>
      <c r="C85" s="559">
        <f t="shared" ref="C85:N85" si="89">SUM(C86:C93)</f>
        <v>115179029</v>
      </c>
      <c r="D85" s="559">
        <f t="shared" si="89"/>
        <v>0</v>
      </c>
      <c r="E85" s="559">
        <f t="shared" si="89"/>
        <v>0</v>
      </c>
      <c r="F85" s="560">
        <f t="shared" si="89"/>
        <v>115179029</v>
      </c>
      <c r="G85" s="558">
        <f t="shared" si="89"/>
        <v>67365128</v>
      </c>
      <c r="H85" s="559">
        <f t="shared" si="89"/>
        <v>4534488</v>
      </c>
      <c r="I85" s="560">
        <f t="shared" si="89"/>
        <v>71899616</v>
      </c>
      <c r="J85" s="558">
        <f t="shared" si="89"/>
        <v>67365128</v>
      </c>
      <c r="K85" s="559">
        <f t="shared" si="89"/>
        <v>4534488</v>
      </c>
      <c r="L85" s="560">
        <f t="shared" si="89"/>
        <v>71899616</v>
      </c>
      <c r="M85" s="558">
        <f t="shared" si="89"/>
        <v>43279413</v>
      </c>
      <c r="N85" s="560">
        <f t="shared" si="89"/>
        <v>43279413</v>
      </c>
      <c r="P85" s="52">
        <f>SUM(P86:P93)</f>
        <v>0</v>
      </c>
      <c r="Q85" s="54">
        <f>SUM(Q86:Q93)</f>
        <v>0</v>
      </c>
      <c r="R85" s="10"/>
      <c r="S85" s="155" t="str">
        <f>+IF(MARZO!S85=0,"",MARZO!S85)</f>
        <v>1020200-2</v>
      </c>
      <c r="T85" s="159" t="str">
        <f>+IF(MARZO!T85=0,"",MARZO!T85)</f>
        <v>Personal Supernumerario</v>
      </c>
      <c r="U85" s="29">
        <f>+ENERO!U85</f>
        <v>22000000</v>
      </c>
      <c r="V85" s="17">
        <f>MARZO!V85+ABRIL!AL85</f>
        <v>0</v>
      </c>
      <c r="W85" s="17">
        <f>MARZO!W85+ABRIL!AM85</f>
        <v>0</v>
      </c>
      <c r="X85" s="20">
        <f>SUM(U85:W85)</f>
        <v>22000000</v>
      </c>
      <c r="Y85" s="21">
        <f>MARZO!AA85</f>
        <v>1590749</v>
      </c>
      <c r="Z85" s="457">
        <v>0</v>
      </c>
      <c r="AA85" s="20">
        <f>SUM(Y85:Z85)</f>
        <v>1590749</v>
      </c>
      <c r="AB85" s="21">
        <f>MARZO!AD85</f>
        <v>1590749</v>
      </c>
      <c r="AC85" s="457">
        <v>0</v>
      </c>
      <c r="AD85" s="20">
        <f>SUM(AB85:AC85)</f>
        <v>1590749</v>
      </c>
      <c r="AE85" s="21">
        <f>MARZO!AG85</f>
        <v>1590749</v>
      </c>
      <c r="AF85" s="457">
        <v>0</v>
      </c>
      <c r="AG85" s="20">
        <f>SUM(AE85:AF85)</f>
        <v>1590749</v>
      </c>
      <c r="AH85" s="21">
        <f>X85-AA85</f>
        <v>20409251</v>
      </c>
      <c r="AI85" s="17">
        <f>X85-AD85</f>
        <v>20409251</v>
      </c>
      <c r="AJ85" s="18">
        <f>X85-AG85</f>
        <v>20409251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+IF(MARZO!A86=0,"",MARZO!A86)</f>
        <v>1130201</v>
      </c>
      <c r="B86" s="55" t="str">
        <f>+IF(MARZO!B86=0,"",MARZO!B86)</f>
        <v>ARRENDAMIENTO Y ALQUILER DE BIENES MUEBLES E INMUEBLES</v>
      </c>
      <c r="C86" s="456">
        <f>+ENERO!C86</f>
        <v>3552425</v>
      </c>
      <c r="D86" s="456">
        <f>MARZO!D86+ABRIL!P86</f>
        <v>0</v>
      </c>
      <c r="E86" s="456">
        <f>MARZO!E86+ABRIL!Q86</f>
        <v>0</v>
      </c>
      <c r="F86" s="170">
        <f t="shared" ref="F86:F92" si="90">SUM(C86:E86)</f>
        <v>3552425</v>
      </c>
      <c r="G86" s="283">
        <f>MARZO!I86</f>
        <v>1912738</v>
      </c>
      <c r="H86" s="457">
        <v>1391241</v>
      </c>
      <c r="I86" s="170">
        <f t="shared" ref="I86:I92" si="91">SUM(G86:H86)</f>
        <v>3303979</v>
      </c>
      <c r="J86" s="283">
        <f>MARZO!L86</f>
        <v>1912738</v>
      </c>
      <c r="K86" s="457">
        <v>1391241</v>
      </c>
      <c r="L86" s="170">
        <f t="shared" ref="L86:L92" si="92">SUM(J86:K86)</f>
        <v>3303979</v>
      </c>
      <c r="M86" s="283">
        <f t="shared" ref="M86:M92" si="93">F86-I86</f>
        <v>248446</v>
      </c>
      <c r="N86" s="170">
        <f t="shared" ref="N86:N92" si="94">F86-L86</f>
        <v>248446</v>
      </c>
      <c r="O86" s="467"/>
      <c r="P86" s="455">
        <v>0</v>
      </c>
      <c r="Q86" s="458">
        <v>0</v>
      </c>
      <c r="S86" s="155" t="str">
        <f>+IF(MARZO!S86=0,"",MARZO!S86)</f>
        <v>1020200-4</v>
      </c>
      <c r="T86" s="159" t="str">
        <f>+IF(MARZO!T86=0,"",MARZO!T86)</f>
        <v>Otros Honorarios (Servicios de Cooperativa)</v>
      </c>
      <c r="U86" s="29">
        <f>+ENERO!U86</f>
        <v>25000000</v>
      </c>
      <c r="V86" s="17">
        <f>MARZO!V86+ABRIL!AL86</f>
        <v>0</v>
      </c>
      <c r="W86" s="17">
        <f>MARZO!W86+ABRIL!AM86</f>
        <v>0</v>
      </c>
      <c r="X86" s="20">
        <f>SUM(U86:W86)</f>
        <v>25000000</v>
      </c>
      <c r="Y86" s="21">
        <f>MARZO!AA86</f>
        <v>5096900</v>
      </c>
      <c r="Z86" s="457">
        <v>610200</v>
      </c>
      <c r="AA86" s="20">
        <f>SUM(Y86:Z86)</f>
        <v>5707100</v>
      </c>
      <c r="AB86" s="21">
        <f>MARZO!AD86</f>
        <v>5096100</v>
      </c>
      <c r="AC86" s="457">
        <v>610200</v>
      </c>
      <c r="AD86" s="20">
        <f>SUM(AB86:AC86)</f>
        <v>5706300</v>
      </c>
      <c r="AE86" s="21">
        <f>MARZO!AG86</f>
        <v>3280300</v>
      </c>
      <c r="AF86" s="457">
        <v>491800</v>
      </c>
      <c r="AG86" s="20">
        <f>SUM(AE86:AF86)</f>
        <v>3772100</v>
      </c>
      <c r="AH86" s="21">
        <f>X86-AA86</f>
        <v>19292900</v>
      </c>
      <c r="AI86" s="17">
        <f>X86-AD86</f>
        <v>19293700</v>
      </c>
      <c r="AJ86" s="18">
        <f>X86-AG86</f>
        <v>21227900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+IF(MARZO!A87=0,"",MARZO!A87)</f>
        <v>1130202</v>
      </c>
      <c r="B87" s="55" t="str">
        <f>+IF(MARZO!B87=0,"",MARZO!B87)</f>
        <v>COMERCIALIZACIÓN DE MERCANCÍAS</v>
      </c>
      <c r="C87" s="456">
        <f>+ENERO!C87</f>
        <v>0</v>
      </c>
      <c r="D87" s="456">
        <f>MARZO!D87+ABRIL!P87</f>
        <v>0</v>
      </c>
      <c r="E87" s="456">
        <f>MARZO!E87+ABRIL!Q87</f>
        <v>0</v>
      </c>
      <c r="F87" s="170">
        <f t="shared" si="90"/>
        <v>0</v>
      </c>
      <c r="G87" s="283">
        <f>MARZO!I87</f>
        <v>0</v>
      </c>
      <c r="H87" s="457">
        <v>0</v>
      </c>
      <c r="I87" s="170">
        <f t="shared" si="91"/>
        <v>0</v>
      </c>
      <c r="J87" s="283">
        <f>MARZO!L87</f>
        <v>0</v>
      </c>
      <c r="K87" s="457">
        <v>0</v>
      </c>
      <c r="L87" s="170">
        <f t="shared" si="92"/>
        <v>0</v>
      </c>
      <c r="M87" s="283">
        <f t="shared" si="93"/>
        <v>0</v>
      </c>
      <c r="N87" s="170">
        <f t="shared" si="94"/>
        <v>0</v>
      </c>
      <c r="P87" s="455">
        <v>0</v>
      </c>
      <c r="Q87" s="458">
        <v>0</v>
      </c>
      <c r="R87" s="10"/>
      <c r="S87" s="155" t="str">
        <f>+IF(MARZO!S87=0,"",MARZO!S87)</f>
        <v/>
      </c>
      <c r="T87" s="159" t="str">
        <f>+IF(MARZO!T87=0,"",MARZO!T87)</f>
        <v/>
      </c>
      <c r="U87" s="29">
        <f>+ENERO!U87</f>
        <v>0</v>
      </c>
      <c r="V87" s="17">
        <f>MARZO!V87+ABRIL!AL87</f>
        <v>0</v>
      </c>
      <c r="W87" s="17">
        <f>MARZO!W87+ABRIL!AM87</f>
        <v>0</v>
      </c>
      <c r="X87" s="20">
        <f>SUM(U87:W87)</f>
        <v>0</v>
      </c>
      <c r="Y87" s="21">
        <f>MARZO!AA87</f>
        <v>0</v>
      </c>
      <c r="Z87" s="457">
        <v>0</v>
      </c>
      <c r="AA87" s="20">
        <f>SUM(Y87:Z87)</f>
        <v>0</v>
      </c>
      <c r="AB87" s="21">
        <f>MARZO!AD87</f>
        <v>0</v>
      </c>
      <c r="AC87" s="457">
        <v>0</v>
      </c>
      <c r="AD87" s="20">
        <f>SUM(AB87:AC87)</f>
        <v>0</v>
      </c>
      <c r="AE87" s="21">
        <f>MARZO!AG87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+IF(MARZO!A88=0,"",MARZO!A88)</f>
        <v>1130203</v>
      </c>
      <c r="B88" s="55" t="str">
        <f>+IF(MARZO!B88=0,"",MARZO!B88)</f>
        <v>CONVENIOS CON LA NACION LIGADOS A LA VTA DE SERVICIOS</v>
      </c>
      <c r="C88" s="456">
        <f>+ENERO!C88</f>
        <v>0</v>
      </c>
      <c r="D88" s="456">
        <f>MARZO!D88+ABRIL!P88</f>
        <v>0</v>
      </c>
      <c r="E88" s="456">
        <f>MARZO!E88+ABRIL!Q88</f>
        <v>0</v>
      </c>
      <c r="F88" s="170">
        <f t="shared" si="90"/>
        <v>0</v>
      </c>
      <c r="G88" s="283">
        <f>MARZO!I88</f>
        <v>0</v>
      </c>
      <c r="H88" s="457">
        <v>0</v>
      </c>
      <c r="I88" s="170">
        <f t="shared" si="91"/>
        <v>0</v>
      </c>
      <c r="J88" s="283">
        <f>MARZO!L88</f>
        <v>0</v>
      </c>
      <c r="K88" s="457">
        <v>0</v>
      </c>
      <c r="L88" s="170">
        <f t="shared" si="92"/>
        <v>0</v>
      </c>
      <c r="M88" s="283">
        <f t="shared" si="93"/>
        <v>0</v>
      </c>
      <c r="N88" s="170">
        <f t="shared" si="94"/>
        <v>0</v>
      </c>
      <c r="P88" s="455">
        <v>0</v>
      </c>
      <c r="Q88" s="458">
        <v>0</v>
      </c>
      <c r="R88" s="10"/>
      <c r="S88" s="155">
        <f>+IF(MARZO!S88=0,"",MARZO!S88)</f>
        <v>1020299</v>
      </c>
      <c r="T88" s="159" t="str">
        <f>+IF(MARZO!T88=0,"",MARZO!T88)</f>
        <v>Vigencias Anteriores</v>
      </c>
      <c r="U88" s="29">
        <f>+ENERO!U88</f>
        <v>4000000</v>
      </c>
      <c r="V88" s="17">
        <f>MARZO!V88+ABRIL!AL88</f>
        <v>0</v>
      </c>
      <c r="W88" s="17">
        <f>MARZO!W88+ABRIL!AM88</f>
        <v>4687311</v>
      </c>
      <c r="X88" s="20">
        <f>SUM(U88:W88)</f>
        <v>8687311</v>
      </c>
      <c r="Y88" s="21">
        <f>MARZO!AA88</f>
        <v>8687311</v>
      </c>
      <c r="Z88" s="457">
        <v>0</v>
      </c>
      <c r="AA88" s="20">
        <f>SUM(Y88:Z88)</f>
        <v>8687311</v>
      </c>
      <c r="AB88" s="21">
        <f>MARZO!AD88</f>
        <v>8687311</v>
      </c>
      <c r="AC88" s="457">
        <v>0</v>
      </c>
      <c r="AD88" s="20">
        <f>SUM(AB88:AC88)</f>
        <v>8687311</v>
      </c>
      <c r="AE88" s="21">
        <f>MARZO!AG88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+IF(MARZO!A89=0,"",MARZO!A89)</f>
        <v>1130204</v>
      </c>
      <c r="B89" s="55" t="str">
        <f>+IF(MARZO!B89=0,"",MARZO!B89)</f>
        <v>CONVENIOS CON EL DEPARTAMENTO LIGADOS A LA VTA SERVICIOS</v>
      </c>
      <c r="C89" s="456">
        <f>+ENERO!C89</f>
        <v>0</v>
      </c>
      <c r="D89" s="456">
        <f>MARZO!D89+ABRIL!P89</f>
        <v>0</v>
      </c>
      <c r="E89" s="456">
        <f>MARZO!E89+ABRIL!Q89</f>
        <v>0</v>
      </c>
      <c r="F89" s="170">
        <f t="shared" si="90"/>
        <v>0</v>
      </c>
      <c r="G89" s="283">
        <f>MARZO!I89</f>
        <v>0</v>
      </c>
      <c r="H89" s="457">
        <v>0</v>
      </c>
      <c r="I89" s="170">
        <f t="shared" si="91"/>
        <v>0</v>
      </c>
      <c r="J89" s="283">
        <f>MARZO!L89</f>
        <v>0</v>
      </c>
      <c r="K89" s="457">
        <v>0</v>
      </c>
      <c r="L89" s="170">
        <f t="shared" si="92"/>
        <v>0</v>
      </c>
      <c r="M89" s="283">
        <f t="shared" si="93"/>
        <v>0</v>
      </c>
      <c r="N89" s="170">
        <f t="shared" si="94"/>
        <v>0</v>
      </c>
      <c r="P89" s="455">
        <v>0</v>
      </c>
      <c r="Q89" s="458">
        <v>0</v>
      </c>
      <c r="R89" s="10"/>
      <c r="S89" s="448" t="str">
        <f>+IF(MARZO!S89=0,"",MARZO!S89)</f>
        <v/>
      </c>
      <c r="T89" s="649" t="str">
        <f>+IF(MARZO!T89=0,"",MARZO!T89)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+IF(MARZO!A90=0,"",MARZO!A90)</f>
        <v>1130205</v>
      </c>
      <c r="B90" s="55" t="str">
        <f>+IF(MARZO!B90=0,"",MARZO!B90)</f>
        <v>CONVENIOS CON EL MUNICIPIO LIGADOS A LA VTA DE SERVICIOS</v>
      </c>
      <c r="C90" s="456">
        <f>+ENERO!C90</f>
        <v>0</v>
      </c>
      <c r="D90" s="456">
        <f>MARZO!D90+ABRIL!P90</f>
        <v>0</v>
      </c>
      <c r="E90" s="456">
        <f>MARZO!E90+ABRIL!Q90</f>
        <v>0</v>
      </c>
      <c r="F90" s="170">
        <f t="shared" si="90"/>
        <v>0</v>
      </c>
      <c r="G90" s="283">
        <f>MARZO!I90</f>
        <v>0</v>
      </c>
      <c r="H90" s="457">
        <v>0</v>
      </c>
      <c r="I90" s="170">
        <f t="shared" si="91"/>
        <v>0</v>
      </c>
      <c r="J90" s="283">
        <f>MARZO!L90</f>
        <v>0</v>
      </c>
      <c r="K90" s="457">
        <v>0</v>
      </c>
      <c r="L90" s="170">
        <f t="shared" si="92"/>
        <v>0</v>
      </c>
      <c r="M90" s="283">
        <f t="shared" si="93"/>
        <v>0</v>
      </c>
      <c r="N90" s="170">
        <f t="shared" si="94"/>
        <v>0</v>
      </c>
      <c r="O90" s="467"/>
      <c r="P90" s="455">
        <v>0</v>
      </c>
      <c r="Q90" s="458">
        <v>0</v>
      </c>
      <c r="R90" s="32"/>
      <c r="S90" s="34">
        <f>+IF(MARZO!S90=0,"",MARZO!S90)</f>
        <v>1020300</v>
      </c>
      <c r="T90" s="158" t="str">
        <f>+IF(MARZO!T90=0,"",MARZO!T90)</f>
        <v>Contribuciones Inherentes nómina al Sector Privado</v>
      </c>
      <c r="U90" s="157">
        <f t="shared" ref="U90:AJ90" si="95">U91+U96+U102</f>
        <v>371241003</v>
      </c>
      <c r="V90" s="144">
        <f t="shared" si="95"/>
        <v>0</v>
      </c>
      <c r="W90" s="144">
        <f t="shared" si="95"/>
        <v>5352587</v>
      </c>
      <c r="X90" s="152">
        <f t="shared" si="95"/>
        <v>376593590</v>
      </c>
      <c r="Y90" s="151">
        <f t="shared" si="95"/>
        <v>124935933</v>
      </c>
      <c r="Z90" s="144">
        <f t="shared" si="95"/>
        <v>18280150</v>
      </c>
      <c r="AA90" s="152">
        <f t="shared" si="95"/>
        <v>143216083</v>
      </c>
      <c r="AB90" s="151">
        <f t="shared" si="95"/>
        <v>124935933</v>
      </c>
      <c r="AC90" s="144">
        <f t="shared" si="95"/>
        <v>18280150</v>
      </c>
      <c r="AD90" s="152">
        <f t="shared" si="95"/>
        <v>143216083</v>
      </c>
      <c r="AE90" s="151">
        <f t="shared" si="95"/>
        <v>113862262</v>
      </c>
      <c r="AF90" s="144">
        <f t="shared" si="95"/>
        <v>18655100</v>
      </c>
      <c r="AG90" s="152">
        <f t="shared" si="95"/>
        <v>132517362</v>
      </c>
      <c r="AH90" s="151">
        <f t="shared" si="95"/>
        <v>233377507</v>
      </c>
      <c r="AI90" s="144">
        <f t="shared" si="95"/>
        <v>233377507</v>
      </c>
      <c r="AJ90" s="153">
        <f t="shared" si="95"/>
        <v>244076228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+IF(MARZO!A91=0,"",MARZO!A91)</f>
        <v>1130206</v>
      </c>
      <c r="B91" s="55" t="str">
        <f>+IF(MARZO!B91=0,"",MARZO!B91)</f>
        <v>OTROS CONVENIOS LIGADOS A LA VTA DE SERVICIOS</v>
      </c>
      <c r="C91" s="456">
        <f>+ENERO!C91</f>
        <v>0</v>
      </c>
      <c r="D91" s="456">
        <f>MARZO!D91+ABRIL!P91</f>
        <v>0</v>
      </c>
      <c r="E91" s="456">
        <f>MARZO!E91+ABRIL!Q91</f>
        <v>0</v>
      </c>
      <c r="F91" s="170">
        <f t="shared" si="90"/>
        <v>0</v>
      </c>
      <c r="G91" s="283">
        <f>MARZO!I91</f>
        <v>0</v>
      </c>
      <c r="H91" s="457">
        <v>0</v>
      </c>
      <c r="I91" s="170">
        <f t="shared" si="91"/>
        <v>0</v>
      </c>
      <c r="J91" s="283">
        <f>MARZO!L91</f>
        <v>0</v>
      </c>
      <c r="K91" s="457">
        <v>0</v>
      </c>
      <c r="L91" s="170">
        <f t="shared" si="92"/>
        <v>0</v>
      </c>
      <c r="M91" s="283">
        <f t="shared" si="93"/>
        <v>0</v>
      </c>
      <c r="N91" s="170">
        <f t="shared" si="94"/>
        <v>0</v>
      </c>
      <c r="O91" s="467"/>
      <c r="P91" s="455">
        <v>0</v>
      </c>
      <c r="Q91" s="458">
        <v>0</v>
      </c>
      <c r="R91" s="32"/>
      <c r="S91" s="155">
        <f>+IF(MARZO!S91=0,"",MARZO!S91)</f>
        <v>1020301</v>
      </c>
      <c r="T91" s="159" t="str">
        <f>+IF(MARZO!T91=0,"",MARZO!T91)</f>
        <v>Contribuciones - Sin Situación de Fondos</v>
      </c>
      <c r="U91" s="29">
        <f t="shared" ref="U91:AJ91" si="96">SUM(U92:U95)</f>
        <v>165265755</v>
      </c>
      <c r="V91" s="17">
        <f t="shared" si="96"/>
        <v>0</v>
      </c>
      <c r="W91" s="17">
        <f t="shared" si="96"/>
        <v>0</v>
      </c>
      <c r="X91" s="20">
        <f t="shared" si="96"/>
        <v>165265755</v>
      </c>
      <c r="Y91" s="21">
        <f t="shared" si="96"/>
        <v>34316745</v>
      </c>
      <c r="Z91" s="169">
        <f t="shared" si="96"/>
        <v>7718900</v>
      </c>
      <c r="AA91" s="20">
        <f t="shared" si="96"/>
        <v>42035645</v>
      </c>
      <c r="AB91" s="21">
        <f t="shared" si="96"/>
        <v>34316745</v>
      </c>
      <c r="AC91" s="169">
        <f t="shared" si="96"/>
        <v>7718900</v>
      </c>
      <c r="AD91" s="20">
        <f t="shared" si="96"/>
        <v>42035645</v>
      </c>
      <c r="AE91" s="21">
        <f t="shared" si="96"/>
        <v>34316745</v>
      </c>
      <c r="AF91" s="169">
        <f t="shared" si="96"/>
        <v>7718900</v>
      </c>
      <c r="AG91" s="20">
        <f t="shared" si="96"/>
        <v>42035645</v>
      </c>
      <c r="AH91" s="21">
        <f t="shared" si="96"/>
        <v>123230110</v>
      </c>
      <c r="AI91" s="17">
        <f t="shared" si="96"/>
        <v>123230110</v>
      </c>
      <c r="AJ91" s="18">
        <f t="shared" si="96"/>
        <v>123230110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+IF(MARZO!A92=0,"",MARZO!A92)</f>
        <v>1130207</v>
      </c>
      <c r="B92" s="563" t="s">
        <v>482</v>
      </c>
      <c r="C92" s="456">
        <f>+ENERO!C92</f>
        <v>0</v>
      </c>
      <c r="D92" s="456">
        <f>MARZO!D92+ABRIL!P92</f>
        <v>0</v>
      </c>
      <c r="E92" s="456">
        <f>MARZO!E92+ABRIL!Q92</f>
        <v>0</v>
      </c>
      <c r="F92" s="170">
        <f t="shared" si="90"/>
        <v>0</v>
      </c>
      <c r="G92" s="283">
        <f>MARZO!I92</f>
        <v>0</v>
      </c>
      <c r="H92" s="457">
        <v>0</v>
      </c>
      <c r="I92" s="170">
        <f t="shared" si="91"/>
        <v>0</v>
      </c>
      <c r="J92" s="283">
        <f>MARZO!L92</f>
        <v>0</v>
      </c>
      <c r="K92" s="457">
        <v>0</v>
      </c>
      <c r="L92" s="170">
        <f t="shared" si="92"/>
        <v>0</v>
      </c>
      <c r="M92" s="283">
        <f t="shared" si="93"/>
        <v>0</v>
      </c>
      <c r="N92" s="170">
        <f t="shared" si="94"/>
        <v>0</v>
      </c>
      <c r="O92" s="467"/>
      <c r="P92" s="455">
        <v>0</v>
      </c>
      <c r="Q92" s="458">
        <v>0</v>
      </c>
      <c r="R92" s="32"/>
      <c r="S92" s="156" t="str">
        <f>+IF(MARZO!S92=0,"",MARZO!S92)</f>
        <v>1020301-1</v>
      </c>
      <c r="T92" s="55" t="str">
        <f>+IF(MARZO!T92=0,"",MARZO!T92)</f>
        <v>Aportes a E.P.S.- Sin sit. Fondos</v>
      </c>
      <c r="U92" s="29">
        <f>+ENERO!U92</f>
        <v>72234575</v>
      </c>
      <c r="V92" s="17">
        <f>MARZO!V92+ABRIL!AL92</f>
        <v>0</v>
      </c>
      <c r="W92" s="17">
        <f>MARZO!W92+ABRIL!AM92</f>
        <v>0</v>
      </c>
      <c r="X92" s="20">
        <f>SUM(U92:W92)</f>
        <v>72234575</v>
      </c>
      <c r="Y92" s="21">
        <f>MARZO!AA92</f>
        <v>14228625</v>
      </c>
      <c r="Z92" s="457">
        <v>4858500</v>
      </c>
      <c r="AA92" s="20">
        <f>SUM(Y92:Z92)</f>
        <v>19087125</v>
      </c>
      <c r="AB92" s="21">
        <f>MARZO!AD92</f>
        <v>14228625</v>
      </c>
      <c r="AC92" s="457">
        <v>4858500</v>
      </c>
      <c r="AD92" s="20">
        <f>SUM(AB92:AC92)</f>
        <v>19087125</v>
      </c>
      <c r="AE92" s="21">
        <f>MARZO!AG92</f>
        <v>14228625</v>
      </c>
      <c r="AF92" s="457">
        <v>4858500</v>
      </c>
      <c r="AG92" s="20">
        <f>SUM(AE92:AF92)</f>
        <v>19087125</v>
      </c>
      <c r="AH92" s="21">
        <f>X92-AA92</f>
        <v>53147450</v>
      </c>
      <c r="AI92" s="17">
        <f>X92-AD92</f>
        <v>53147450</v>
      </c>
      <c r="AJ92" s="18">
        <f>X92-AG92</f>
        <v>53147450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+IF(MARZO!A93=0,"",MARZO!A93)</f>
        <v>1130209</v>
      </c>
      <c r="B93" s="170" t="str">
        <f>+IF(MARZO!B93=0,"",MARZO!B93)</f>
        <v>OTROS</v>
      </c>
      <c r="C93" s="172">
        <f t="shared" ref="C93:N93" si="97">SUM(C94:C97)</f>
        <v>111626604</v>
      </c>
      <c r="D93" s="172">
        <f t="shared" si="97"/>
        <v>0</v>
      </c>
      <c r="E93" s="172">
        <f t="shared" si="97"/>
        <v>0</v>
      </c>
      <c r="F93" s="173">
        <f t="shared" si="97"/>
        <v>111626604</v>
      </c>
      <c r="G93" s="171">
        <f t="shared" si="97"/>
        <v>65452390</v>
      </c>
      <c r="H93" s="172">
        <f t="shared" si="97"/>
        <v>3143247</v>
      </c>
      <c r="I93" s="173">
        <f t="shared" si="97"/>
        <v>68595637</v>
      </c>
      <c r="J93" s="171">
        <f t="shared" si="97"/>
        <v>65452390</v>
      </c>
      <c r="K93" s="172">
        <f t="shared" si="97"/>
        <v>3143247</v>
      </c>
      <c r="L93" s="173">
        <f t="shared" si="97"/>
        <v>68595637</v>
      </c>
      <c r="M93" s="171">
        <f t="shared" si="97"/>
        <v>43030967</v>
      </c>
      <c r="N93" s="173">
        <f t="shared" si="97"/>
        <v>43030967</v>
      </c>
      <c r="O93" s="467"/>
      <c r="P93" s="171">
        <f>SUM(P94:P97)</f>
        <v>0</v>
      </c>
      <c r="Q93" s="173">
        <f>SUM(Q94:Q97)</f>
        <v>0</v>
      </c>
      <c r="R93" s="32"/>
      <c r="S93" s="156" t="str">
        <f>+IF(MARZO!S93=0,"",MARZO!S93)</f>
        <v>1020301-2</v>
      </c>
      <c r="T93" s="55" t="str">
        <f>+IF(MARZO!T93=0,"",MARZO!T93)</f>
        <v>Aportes Fondos Pensionales - Sin Sit. Fondos</v>
      </c>
      <c r="U93" s="29">
        <f>+ENERO!U93</f>
        <v>78026691</v>
      </c>
      <c r="V93" s="17">
        <f>MARZO!V93+ABRIL!AL93</f>
        <v>0</v>
      </c>
      <c r="W93" s="17">
        <f>MARZO!W93+ABRIL!AM93</f>
        <v>0</v>
      </c>
      <c r="X93" s="20">
        <f>SUM(U93:W93)</f>
        <v>78026691</v>
      </c>
      <c r="Y93" s="21">
        <f>MARZO!AA93</f>
        <v>20088120</v>
      </c>
      <c r="Z93" s="457">
        <v>2860400</v>
      </c>
      <c r="AA93" s="20">
        <f>SUM(Y93:Z93)</f>
        <v>22948520</v>
      </c>
      <c r="AB93" s="21">
        <f>MARZO!AD93</f>
        <v>20088120</v>
      </c>
      <c r="AC93" s="457">
        <v>2860400</v>
      </c>
      <c r="AD93" s="20">
        <f>SUM(AB93:AC93)</f>
        <v>22948520</v>
      </c>
      <c r="AE93" s="21">
        <f>MARZO!AG93</f>
        <v>20088120</v>
      </c>
      <c r="AF93" s="457">
        <v>2860400</v>
      </c>
      <c r="AG93" s="20">
        <f>SUM(AE93:AF93)</f>
        <v>22948520</v>
      </c>
      <c r="AH93" s="21">
        <f>X93-AA93</f>
        <v>55078171</v>
      </c>
      <c r="AI93" s="17">
        <f>X93-AD93</f>
        <v>55078171</v>
      </c>
      <c r="AJ93" s="18">
        <f>X93-AG93</f>
        <v>55078171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+IF(MARZO!A94=0,"",MARZO!A94)</f>
        <v>1130209 - 1</v>
      </c>
      <c r="B94" s="58" t="str">
        <f>+IF(MARZO!B94=0,"",MARZO!B94)</f>
        <v>Bienestar Social</v>
      </c>
      <c r="C94" s="456">
        <f>+ENERO!C94</f>
        <v>6347410</v>
      </c>
      <c r="D94" s="456">
        <f>MARZO!D94+ABRIL!P94</f>
        <v>0</v>
      </c>
      <c r="E94" s="456">
        <f>MARZO!E94+ABRIL!Q94</f>
        <v>0</v>
      </c>
      <c r="F94" s="170">
        <f>SUM(C94:E94)</f>
        <v>6347410</v>
      </c>
      <c r="G94" s="283">
        <f>MARZO!I94</f>
        <v>0</v>
      </c>
      <c r="H94" s="457">
        <v>0</v>
      </c>
      <c r="I94" s="170">
        <f>SUM(G94:H94)</f>
        <v>0</v>
      </c>
      <c r="J94" s="283">
        <f>MARZO!L94</f>
        <v>0</v>
      </c>
      <c r="K94" s="457">
        <v>0</v>
      </c>
      <c r="L94" s="170">
        <f>SUM(J94:K94)</f>
        <v>0</v>
      </c>
      <c r="M94" s="283">
        <f>F94-I94</f>
        <v>6347410</v>
      </c>
      <c r="N94" s="170">
        <f>F94-L94</f>
        <v>6347410</v>
      </c>
      <c r="O94" s="467"/>
      <c r="P94" s="455">
        <v>0</v>
      </c>
      <c r="Q94" s="458">
        <v>0</v>
      </c>
      <c r="R94" s="32"/>
      <c r="S94" s="156" t="str">
        <f>+IF(MARZO!S94=0,"",MARZO!S94)</f>
        <v>1020301-3</v>
      </c>
      <c r="T94" s="55" t="str">
        <f>+IF(MARZO!T94=0,"",MARZO!T94)</f>
        <v xml:space="preserve">Aportes a Fondos de Cesantia - Sin Sit. de Fondos </v>
      </c>
      <c r="U94" s="29">
        <f>+ENERO!U94</f>
        <v>15004488</v>
      </c>
      <c r="V94" s="17">
        <f>MARZO!V94+ABRIL!AL94</f>
        <v>0</v>
      </c>
      <c r="W94" s="17">
        <f>MARZO!W94+ABRIL!AM94</f>
        <v>0</v>
      </c>
      <c r="X94" s="20">
        <f>SUM(U94:W94)</f>
        <v>15004488</v>
      </c>
      <c r="Y94" s="21">
        <f>MARZO!AA94</f>
        <v>0</v>
      </c>
      <c r="Z94" s="457">
        <v>0</v>
      </c>
      <c r="AA94" s="20">
        <f>SUM(Y94:Z94)</f>
        <v>0</v>
      </c>
      <c r="AB94" s="21">
        <f>MARZO!AD94</f>
        <v>0</v>
      </c>
      <c r="AC94" s="457">
        <v>0</v>
      </c>
      <c r="AD94" s="20">
        <f>SUM(AB94:AC94)</f>
        <v>0</v>
      </c>
      <c r="AE94" s="21">
        <f>MARZO!AG94</f>
        <v>0</v>
      </c>
      <c r="AF94" s="457">
        <v>0</v>
      </c>
      <c r="AG94" s="20">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+IF(MARZO!A95=0,"",MARZO!A95)</f>
        <v>1130209 - 2</v>
      </c>
      <c r="B95" s="58" t="str">
        <f>+IF(MARZO!B95=0,"",MARZO!B95)</f>
        <v>Fondo de la Vivienda</v>
      </c>
      <c r="C95" s="456">
        <f>+ENERO!C95</f>
        <v>0</v>
      </c>
      <c r="D95" s="456">
        <f>MARZO!D95+ABRIL!P95</f>
        <v>0</v>
      </c>
      <c r="E95" s="456">
        <f>MARZO!E95+ABRIL!Q95</f>
        <v>0</v>
      </c>
      <c r="F95" s="170">
        <f>SUM(C95:E95)</f>
        <v>0</v>
      </c>
      <c r="G95" s="283">
        <f>MARZO!I95</f>
        <v>0</v>
      </c>
      <c r="H95" s="457">
        <v>0</v>
      </c>
      <c r="I95" s="170">
        <f>SUM(G95:H95)</f>
        <v>0</v>
      </c>
      <c r="J95" s="283">
        <f>MARZO!L95</f>
        <v>0</v>
      </c>
      <c r="K95" s="457">
        <v>0</v>
      </c>
      <c r="L95" s="170">
        <f>SUM(J95:K95)</f>
        <v>0</v>
      </c>
      <c r="M95" s="283">
        <f>F95-I95</f>
        <v>0</v>
      </c>
      <c r="N95" s="170">
        <f>F95-L95</f>
        <v>0</v>
      </c>
      <c r="O95" s="467"/>
      <c r="P95" s="455">
        <v>0</v>
      </c>
      <c r="Q95" s="458">
        <v>0</v>
      </c>
      <c r="R95" s="32"/>
      <c r="S95" s="156" t="str">
        <f>+IF(MARZO!S95=0,"",MARZO!S95)</f>
        <v>1020301-4</v>
      </c>
      <c r="T95" s="55" t="str">
        <f>+IF(MARZO!T95=0,"",MARZO!T95)</f>
        <v>Aporte a ARL. - Sin Sit. de Fondos</v>
      </c>
      <c r="U95" s="29">
        <f>+ENERO!U95</f>
        <v>1</v>
      </c>
      <c r="V95" s="17">
        <f>MARZO!V95+ABRIL!AL95</f>
        <v>0</v>
      </c>
      <c r="W95" s="17">
        <f>MARZO!W95+ABRIL!AM95</f>
        <v>0</v>
      </c>
      <c r="X95" s="20">
        <f>SUM(U95:W95)</f>
        <v>1</v>
      </c>
      <c r="Y95" s="21">
        <f>MARZO!AA95</f>
        <v>0</v>
      </c>
      <c r="Z95" s="457">
        <v>0</v>
      </c>
      <c r="AA95" s="20">
        <f>SUM(Y95:Z95)</f>
        <v>0</v>
      </c>
      <c r="AB95" s="21">
        <f>MARZO!AD95</f>
        <v>0</v>
      </c>
      <c r="AC95" s="457">
        <v>0</v>
      </c>
      <c r="AD95" s="20">
        <f>SUM(AB95:AC95)</f>
        <v>0</v>
      </c>
      <c r="AE95" s="21">
        <f>MARZO!AG95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+IF(MARZO!A96=0,"",MARZO!A96)</f>
        <v>1130209 - 3</v>
      </c>
      <c r="B96" s="58" t="str">
        <f>+IF(MARZO!B96=0,"",MARZO!B96)</f>
        <v xml:space="preserve">Aprovechamientos </v>
      </c>
      <c r="C96" s="456">
        <f>+ENERO!C96</f>
        <v>105279194</v>
      </c>
      <c r="D96" s="456">
        <f>MARZO!D96+ABRIL!P96</f>
        <v>0</v>
      </c>
      <c r="E96" s="456">
        <f>MARZO!E96+ABRIL!Q96</f>
        <v>0</v>
      </c>
      <c r="F96" s="170">
        <f>SUM(C96:E96)</f>
        <v>105279194</v>
      </c>
      <c r="G96" s="283">
        <f>MARZO!I96</f>
        <v>65452390</v>
      </c>
      <c r="H96" s="457">
        <v>3143247</v>
      </c>
      <c r="I96" s="170">
        <f>SUM(G96:H96)</f>
        <v>68595637</v>
      </c>
      <c r="J96" s="283">
        <f>MARZO!L96</f>
        <v>65452390</v>
      </c>
      <c r="K96" s="457">
        <v>3143247</v>
      </c>
      <c r="L96" s="170">
        <f>SUM(J96:K96)</f>
        <v>68595637</v>
      </c>
      <c r="M96" s="283">
        <f>F96-I96</f>
        <v>36683557</v>
      </c>
      <c r="N96" s="170">
        <f>F96-L96</f>
        <v>36683557</v>
      </c>
      <c r="O96" s="467"/>
      <c r="P96" s="455">
        <v>0</v>
      </c>
      <c r="Q96" s="458">
        <v>0</v>
      </c>
      <c r="S96" s="155">
        <f>+IF(MARZO!S96=0,"",MARZO!S96)</f>
        <v>1020302</v>
      </c>
      <c r="T96" s="159" t="str">
        <f>+IF(MARZO!T96=0,"",MARZO!T96)</f>
        <v>Contribuciones - Otros</v>
      </c>
      <c r="U96" s="29">
        <f t="shared" ref="U96:AJ96" si="98">SUM(U97:U101)</f>
        <v>205975248</v>
      </c>
      <c r="V96" s="17">
        <f t="shared" si="98"/>
        <v>0</v>
      </c>
      <c r="W96" s="17">
        <f t="shared" si="98"/>
        <v>0</v>
      </c>
      <c r="X96" s="20">
        <f t="shared" si="98"/>
        <v>205975248</v>
      </c>
      <c r="Y96" s="21">
        <f t="shared" si="98"/>
        <v>85266601</v>
      </c>
      <c r="Z96" s="169">
        <f t="shared" si="98"/>
        <v>10561250</v>
      </c>
      <c r="AA96" s="20">
        <f t="shared" si="98"/>
        <v>95827851</v>
      </c>
      <c r="AB96" s="21">
        <f t="shared" si="98"/>
        <v>85266601</v>
      </c>
      <c r="AC96" s="169">
        <f t="shared" si="98"/>
        <v>10561250</v>
      </c>
      <c r="AD96" s="20">
        <f t="shared" si="98"/>
        <v>95827851</v>
      </c>
      <c r="AE96" s="21">
        <f t="shared" si="98"/>
        <v>74192930</v>
      </c>
      <c r="AF96" s="169">
        <f t="shared" si="98"/>
        <v>10936200</v>
      </c>
      <c r="AG96" s="20">
        <f t="shared" si="98"/>
        <v>85129130</v>
      </c>
      <c r="AH96" s="21">
        <f t="shared" si="98"/>
        <v>110147397</v>
      </c>
      <c r="AI96" s="17">
        <f t="shared" si="98"/>
        <v>110147397</v>
      </c>
      <c r="AJ96" s="18">
        <f t="shared" si="98"/>
        <v>120846118</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+IF(MARZO!A97=0,"",MARZO!A97)</f>
        <v>1130209 - 4</v>
      </c>
      <c r="B97" s="219" t="str">
        <f>+IF(MARZO!B97=0,"",MARZO!B97)</f>
        <v>Otros</v>
      </c>
      <c r="C97" s="564">
        <f>+ENERO!C97</f>
        <v>0</v>
      </c>
      <c r="D97" s="564">
        <f>MARZO!D97+ABRIL!P97</f>
        <v>0</v>
      </c>
      <c r="E97" s="564">
        <f>MARZO!E97+ABRIL!Q97</f>
        <v>0</v>
      </c>
      <c r="F97" s="565">
        <f>SUM(C97:E97)</f>
        <v>0</v>
      </c>
      <c r="G97" s="566">
        <f>MARZO!I97</f>
        <v>0</v>
      </c>
      <c r="H97" s="475">
        <v>0</v>
      </c>
      <c r="I97" s="565">
        <f>SUM(G97:H97)</f>
        <v>0</v>
      </c>
      <c r="J97" s="566">
        <f>MARZO!L97</f>
        <v>0</v>
      </c>
      <c r="K97" s="475">
        <v>0</v>
      </c>
      <c r="L97" s="565">
        <f>SUM(J97:K97)</f>
        <v>0</v>
      </c>
      <c r="M97" s="566">
        <f>F97-I97</f>
        <v>0</v>
      </c>
      <c r="N97" s="565">
        <f>F97-L97</f>
        <v>0</v>
      </c>
      <c r="O97" s="467"/>
      <c r="P97" s="471">
        <v>0</v>
      </c>
      <c r="Q97" s="476">
        <v>0</v>
      </c>
      <c r="R97" s="32"/>
      <c r="S97" s="156" t="str">
        <f>+IF(MARZO!S97=0,"",MARZO!S97)</f>
        <v>1020302-1</v>
      </c>
      <c r="T97" s="55" t="str">
        <f>+IF(MARZO!T97=0,"",MARZO!T97)</f>
        <v>Aportes a E.P.S.- Con sit. Fondos</v>
      </c>
      <c r="U97" s="29">
        <f>+ENERO!U97</f>
        <v>13794433</v>
      </c>
      <c r="V97" s="17">
        <f>MARZO!V97+ABRIL!AL97</f>
        <v>0</v>
      </c>
      <c r="W97" s="17">
        <f>MARZO!W97+ABRIL!AM97</f>
        <v>0</v>
      </c>
      <c r="X97" s="20">
        <f t="shared" ref="X97:X102" si="99">SUM(U97:W97)</f>
        <v>13794433</v>
      </c>
      <c r="Y97" s="21">
        <f>MARZO!AA97</f>
        <v>6768160</v>
      </c>
      <c r="Z97" s="457">
        <v>2315500</v>
      </c>
      <c r="AA97" s="20">
        <f t="shared" ref="AA97:AA102" si="100">SUM(Y97:Z97)</f>
        <v>9083660</v>
      </c>
      <c r="AB97" s="21">
        <f>MARZO!AD97</f>
        <v>6768160</v>
      </c>
      <c r="AC97" s="457">
        <v>2315500</v>
      </c>
      <c r="AD97" s="20">
        <f t="shared" ref="AD97:AD102" si="101">SUM(AB97:AC97)</f>
        <v>9083660</v>
      </c>
      <c r="AE97" s="21">
        <f>MARZO!AG97</f>
        <v>4468660</v>
      </c>
      <c r="AF97" s="457">
        <v>2299500</v>
      </c>
      <c r="AG97" s="20">
        <f t="shared" ref="AG97:AG102" si="102">SUM(AE97:AF97)</f>
        <v>6768160</v>
      </c>
      <c r="AH97" s="21">
        <f t="shared" ref="AH97:AH102" si="103">X97-AA97</f>
        <v>4710773</v>
      </c>
      <c r="AI97" s="17">
        <f t="shared" ref="AI97:AI102" si="104">X97-AD97</f>
        <v>4710773</v>
      </c>
      <c r="AJ97" s="18">
        <f t="shared" ref="AJ97:AJ102" si="105">X97-AG97</f>
        <v>7026273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+IF(MARZO!S98=0,"",MARZO!S98)</f>
        <v>1020302-2</v>
      </c>
      <c r="T98" s="55" t="str">
        <f>+IF(MARZO!T98=0,"",MARZO!T98)</f>
        <v>Aportes Fondos Pensionales - Con Sit. Fondos</v>
      </c>
      <c r="U98" s="29">
        <f>+ENERO!U98</f>
        <v>43426005</v>
      </c>
      <c r="V98" s="17">
        <f>MARZO!V98+ABRIL!AL98</f>
        <v>0</v>
      </c>
      <c r="W98" s="17">
        <f>MARZO!W98+ABRIL!AM98</f>
        <v>0</v>
      </c>
      <c r="X98" s="20">
        <f t="shared" si="99"/>
        <v>43426005</v>
      </c>
      <c r="Y98" s="21">
        <f>MARZO!AA98</f>
        <v>10151300</v>
      </c>
      <c r="Z98" s="457">
        <v>3269350</v>
      </c>
      <c r="AA98" s="20">
        <f t="shared" si="100"/>
        <v>13420650</v>
      </c>
      <c r="AB98" s="21">
        <f>MARZO!AD98</f>
        <v>10151300</v>
      </c>
      <c r="AC98" s="457">
        <v>3269350</v>
      </c>
      <c r="AD98" s="20">
        <f t="shared" si="101"/>
        <v>13420650</v>
      </c>
      <c r="AE98" s="21">
        <f>MARZO!AG98</f>
        <v>6429800</v>
      </c>
      <c r="AF98" s="457">
        <v>3721500</v>
      </c>
      <c r="AG98" s="20">
        <f t="shared" si="102"/>
        <v>10151300</v>
      </c>
      <c r="AH98" s="21">
        <f t="shared" si="103"/>
        <v>30005355</v>
      </c>
      <c r="AI98" s="17">
        <f t="shared" si="104"/>
        <v>30005355</v>
      </c>
      <c r="AJ98" s="18">
        <f t="shared" si="105"/>
        <v>33274705</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+IF(MARZO!A99=0,"",MARZO!A99)</f>
        <v>11303</v>
      </c>
      <c r="B99" s="570" t="str">
        <f>+IF(MARZO!B99=0,"",MARZO!B99)</f>
        <v>Aportes no ligados a venta servicios de salud</v>
      </c>
      <c r="C99" s="572">
        <f t="shared" ref="C99:N99" si="106">SUM(C100:C106)</f>
        <v>0</v>
      </c>
      <c r="D99" s="572">
        <f t="shared" si="106"/>
        <v>227076373</v>
      </c>
      <c r="E99" s="572">
        <f t="shared" si="106"/>
        <v>25449068</v>
      </c>
      <c r="F99" s="573">
        <f t="shared" si="106"/>
        <v>252525441</v>
      </c>
      <c r="G99" s="571">
        <f t="shared" si="106"/>
        <v>63131360</v>
      </c>
      <c r="H99" s="572">
        <f t="shared" si="106"/>
        <v>21043787</v>
      </c>
      <c r="I99" s="573">
        <f t="shared" si="106"/>
        <v>84175147</v>
      </c>
      <c r="J99" s="571">
        <f t="shared" si="106"/>
        <v>63131360</v>
      </c>
      <c r="K99" s="572">
        <f t="shared" si="106"/>
        <v>21043787</v>
      </c>
      <c r="L99" s="573">
        <f t="shared" si="106"/>
        <v>84175147</v>
      </c>
      <c r="M99" s="571">
        <f t="shared" si="106"/>
        <v>168350294</v>
      </c>
      <c r="N99" s="573">
        <f t="shared" si="106"/>
        <v>168350294</v>
      </c>
      <c r="P99" s="215">
        <f>SUM(P100:P106)</f>
        <v>0</v>
      </c>
      <c r="Q99" s="216">
        <f>SUM(Q100:Q106)</f>
        <v>0</v>
      </c>
      <c r="R99" s="32"/>
      <c r="S99" s="156" t="str">
        <f>+IF(MARZO!S99=0,"",MARZO!S99)</f>
        <v>1020302-3</v>
      </c>
      <c r="T99" s="55" t="str">
        <f>+IF(MARZO!T99=0,"",MARZO!T99)</f>
        <v xml:space="preserve">Aportes a Fondos de Cesantia - Con Sit. de Fondos </v>
      </c>
      <c r="U99" s="29">
        <f>+ENERO!U99</f>
        <v>78984976</v>
      </c>
      <c r="V99" s="17">
        <f>MARZO!V99+ABRIL!AL99</f>
        <v>0</v>
      </c>
      <c r="W99" s="17">
        <f>MARZO!W99+ABRIL!AM99</f>
        <v>0</v>
      </c>
      <c r="X99" s="20">
        <f t="shared" si="99"/>
        <v>78984976</v>
      </c>
      <c r="Y99" s="21">
        <f>MARZO!AA99</f>
        <v>53304141</v>
      </c>
      <c r="Z99" s="457">
        <v>0</v>
      </c>
      <c r="AA99" s="20">
        <f t="shared" si="100"/>
        <v>53304141</v>
      </c>
      <c r="AB99" s="21">
        <f>MARZO!AD99</f>
        <v>53304141</v>
      </c>
      <c r="AC99" s="457">
        <v>0</v>
      </c>
      <c r="AD99" s="20">
        <f t="shared" si="101"/>
        <v>53304141</v>
      </c>
      <c r="AE99" s="21">
        <f>MARZO!AG99</f>
        <v>53166670</v>
      </c>
      <c r="AF99" s="457">
        <v>0</v>
      </c>
      <c r="AG99" s="20">
        <f t="shared" si="102"/>
        <v>53166670</v>
      </c>
      <c r="AH99" s="21">
        <f t="shared" si="103"/>
        <v>25680835</v>
      </c>
      <c r="AI99" s="17">
        <f t="shared" si="104"/>
        <v>25680835</v>
      </c>
      <c r="AJ99" s="18">
        <f t="shared" si="105"/>
        <v>25818306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+IF(MARZO!A100=0,"",MARZO!A100)</f>
        <v>11303-1</v>
      </c>
      <c r="B100" s="59" t="str">
        <f>+IF(MARZO!B100=0,"",MARZO!B100)</f>
        <v xml:space="preserve">NACION </v>
      </c>
      <c r="C100" s="574">
        <f>+ENERO!C100</f>
        <v>0</v>
      </c>
      <c r="D100" s="574">
        <f>MARZO!D100+ABRIL!P100</f>
        <v>0</v>
      </c>
      <c r="E100" s="574">
        <f>MARZO!E100+ABRIL!Q100</f>
        <v>0</v>
      </c>
      <c r="F100" s="575">
        <f t="shared" ref="F100:F106" si="107">SUM(C100:E100)</f>
        <v>0</v>
      </c>
      <c r="G100" s="576">
        <f>MARZO!I100</f>
        <v>0</v>
      </c>
      <c r="H100" s="457">
        <v>0</v>
      </c>
      <c r="I100" s="575">
        <f t="shared" ref="I100:I106" si="108">SUM(G100:H100)</f>
        <v>0</v>
      </c>
      <c r="J100" s="576">
        <f>MARZO!L100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+IF(MARZO!S100=0,"",MARZO!S100)</f>
        <v>1020302-4</v>
      </c>
      <c r="T100" s="55" t="str">
        <f>+IF(MARZO!T100=0,"",MARZO!T100)</f>
        <v>Aporte a ARL. - Con Sit. de Fondos</v>
      </c>
      <c r="U100" s="29">
        <f>+ENERO!U100</f>
        <v>24654894</v>
      </c>
      <c r="V100" s="17">
        <f>MARZO!V100+ABRIL!AL100</f>
        <v>0</v>
      </c>
      <c r="W100" s="17">
        <f>MARZO!W100+ABRIL!AM100</f>
        <v>0</v>
      </c>
      <c r="X100" s="20">
        <f t="shared" si="99"/>
        <v>24654894</v>
      </c>
      <c r="Y100" s="21">
        <f>MARZO!AA100</f>
        <v>5473400</v>
      </c>
      <c r="Z100" s="457">
        <v>1889000</v>
      </c>
      <c r="AA100" s="20">
        <f t="shared" si="100"/>
        <v>7362400</v>
      </c>
      <c r="AB100" s="21">
        <f>MARZO!AD100</f>
        <v>5473400</v>
      </c>
      <c r="AC100" s="457">
        <v>1889000</v>
      </c>
      <c r="AD100" s="20">
        <f t="shared" si="101"/>
        <v>7362400</v>
      </c>
      <c r="AE100" s="21">
        <f>MARZO!AG100</f>
        <v>3658000</v>
      </c>
      <c r="AF100" s="457">
        <v>1815400</v>
      </c>
      <c r="AG100" s="20">
        <f t="shared" si="102"/>
        <v>5473400</v>
      </c>
      <c r="AH100" s="21">
        <f t="shared" si="103"/>
        <v>17292494</v>
      </c>
      <c r="AI100" s="17">
        <f t="shared" si="104"/>
        <v>17292494</v>
      </c>
      <c r="AJ100" s="18">
        <f t="shared" si="105"/>
        <v>19181494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+IF(MARZO!A101=0,"",MARZO!A101)</f>
        <v>11303-2</v>
      </c>
      <c r="B101" s="59" t="str">
        <f>+IF(MARZO!B101=0,"",MARZO!B101)</f>
        <v>DEPARTAMENTO</v>
      </c>
      <c r="C101" s="574">
        <f>+ENERO!C101</f>
        <v>0</v>
      </c>
      <c r="D101" s="574">
        <f>MARZO!D101+ABRIL!P101</f>
        <v>0</v>
      </c>
      <c r="E101" s="574">
        <f>MARZO!E101+ABRIL!Q101</f>
        <v>0</v>
      </c>
      <c r="F101" s="575">
        <f t="shared" si="107"/>
        <v>0</v>
      </c>
      <c r="G101" s="576">
        <f>MARZO!I101</f>
        <v>0</v>
      </c>
      <c r="H101" s="457">
        <v>0</v>
      </c>
      <c r="I101" s="575">
        <f t="shared" si="108"/>
        <v>0</v>
      </c>
      <c r="J101" s="576">
        <f>MARZO!L101</f>
        <v>0</v>
      </c>
      <c r="K101" s="457">
        <v>0</v>
      </c>
      <c r="L101" s="575">
        <f t="shared" si="109"/>
        <v>0</v>
      </c>
      <c r="M101" s="576">
        <f t="shared" si="110"/>
        <v>0</v>
      </c>
      <c r="N101" s="575">
        <f t="shared" si="111"/>
        <v>0</v>
      </c>
      <c r="O101" s="562"/>
      <c r="P101" s="455">
        <v>0</v>
      </c>
      <c r="Q101" s="458">
        <v>0</v>
      </c>
      <c r="R101" s="10"/>
      <c r="S101" s="156" t="str">
        <f>+IF(MARZO!S101=0,"",MARZO!S101)</f>
        <v>1020302-5</v>
      </c>
      <c r="T101" s="55" t="str">
        <f>+IF(MARZO!T101=0,"",MARZO!T101)</f>
        <v>Aporte a Caja Compensación Familiar</v>
      </c>
      <c r="U101" s="29">
        <f>+ENERO!U101</f>
        <v>45114940</v>
      </c>
      <c r="V101" s="17">
        <f>MARZO!V101+ABRIL!AL101</f>
        <v>0</v>
      </c>
      <c r="W101" s="17">
        <f>MARZO!W101+ABRIL!AM101</f>
        <v>0</v>
      </c>
      <c r="X101" s="20">
        <f t="shared" si="99"/>
        <v>45114940</v>
      </c>
      <c r="Y101" s="21">
        <f>MARZO!AA101</f>
        <v>9569600</v>
      </c>
      <c r="Z101" s="457">
        <v>3087400</v>
      </c>
      <c r="AA101" s="20">
        <f t="shared" si="100"/>
        <v>12657000</v>
      </c>
      <c r="AB101" s="21">
        <f>MARZO!AD101</f>
        <v>9569600</v>
      </c>
      <c r="AC101" s="457">
        <v>3087400</v>
      </c>
      <c r="AD101" s="20">
        <f t="shared" si="101"/>
        <v>12657000</v>
      </c>
      <c r="AE101" s="21">
        <f>MARZO!AG101</f>
        <v>6469800</v>
      </c>
      <c r="AF101" s="457">
        <v>3099800</v>
      </c>
      <c r="AG101" s="20">
        <f t="shared" si="102"/>
        <v>9569600</v>
      </c>
      <c r="AH101" s="21">
        <f t="shared" si="103"/>
        <v>32457940</v>
      </c>
      <c r="AI101" s="17">
        <f t="shared" si="104"/>
        <v>32457940</v>
      </c>
      <c r="AJ101" s="18">
        <f t="shared" si="105"/>
        <v>35545340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+IF(MARZO!A102=0,"",MARZO!A102)</f>
        <v>11303-3</v>
      </c>
      <c r="B102" s="59" t="str">
        <f>+IF(MARZO!B102=0,"",MARZO!B102)</f>
        <v>MUNICIPIO</v>
      </c>
      <c r="C102" s="574">
        <f>+ENERO!C102</f>
        <v>0</v>
      </c>
      <c r="D102" s="574">
        <f>MARZO!D102+ABRIL!P102</f>
        <v>0</v>
      </c>
      <c r="E102" s="574">
        <f>MARZO!E102+ABRIL!Q102</f>
        <v>0</v>
      </c>
      <c r="F102" s="575">
        <f t="shared" si="107"/>
        <v>0</v>
      </c>
      <c r="G102" s="576">
        <f>MARZO!I102</f>
        <v>0</v>
      </c>
      <c r="H102" s="457">
        <v>0</v>
      </c>
      <c r="I102" s="575">
        <f t="shared" si="108"/>
        <v>0</v>
      </c>
      <c r="J102" s="576">
        <f>MARZO!L102</f>
        <v>0</v>
      </c>
      <c r="K102" s="457">
        <v>0</v>
      </c>
      <c r="L102" s="575">
        <f t="shared" si="109"/>
        <v>0</v>
      </c>
      <c r="M102" s="576">
        <f t="shared" si="110"/>
        <v>0</v>
      </c>
      <c r="N102" s="575">
        <f t="shared" si="111"/>
        <v>0</v>
      </c>
      <c r="O102" s="562"/>
      <c r="P102" s="455">
        <v>0</v>
      </c>
      <c r="Q102" s="458">
        <v>0</v>
      </c>
      <c r="R102" s="10"/>
      <c r="S102" s="155">
        <f>+IF(MARZO!S102=0,"",MARZO!S102)</f>
        <v>1020399</v>
      </c>
      <c r="T102" s="159" t="str">
        <f>+IF(MARZO!T102=0,"",MARZO!T102)</f>
        <v>Vigencias Anteriores</v>
      </c>
      <c r="U102" s="29">
        <f>+ENERO!U102</f>
        <v>0</v>
      </c>
      <c r="V102" s="17">
        <f>MARZO!V102+ABRIL!AL102</f>
        <v>0</v>
      </c>
      <c r="W102" s="17">
        <f>MARZO!W102+ABRIL!AM102</f>
        <v>5352587</v>
      </c>
      <c r="X102" s="20">
        <f t="shared" si="99"/>
        <v>5352587</v>
      </c>
      <c r="Y102" s="21">
        <f>MARZO!AA102</f>
        <v>5352587</v>
      </c>
      <c r="Z102" s="457">
        <v>0</v>
      </c>
      <c r="AA102" s="20">
        <f t="shared" si="100"/>
        <v>5352587</v>
      </c>
      <c r="AB102" s="21">
        <f>MARZO!AD102</f>
        <v>5352587</v>
      </c>
      <c r="AC102" s="457">
        <v>0</v>
      </c>
      <c r="AD102" s="20">
        <f t="shared" si="101"/>
        <v>5352587</v>
      </c>
      <c r="AE102" s="21">
        <f>MARZO!AG102</f>
        <v>5352587</v>
      </c>
      <c r="AF102" s="457">
        <v>0</v>
      </c>
      <c r="AG102" s="20">
        <f t="shared" si="102"/>
        <v>5352587</v>
      </c>
      <c r="AH102" s="21">
        <f t="shared" si="103"/>
        <v>0</v>
      </c>
      <c r="AI102" s="17">
        <f t="shared" si="104"/>
        <v>0</v>
      </c>
      <c r="AJ102" s="18">
        <f t="shared" si="105"/>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+IF(MARZO!A103=0,"",MARZO!A103)</f>
        <v>11303-4</v>
      </c>
      <c r="B103" s="59" t="str">
        <f>+IF(MARZO!B103=0,"",MARZO!B103)</f>
        <v>CONVENIOS (EMPRESTITO)</v>
      </c>
      <c r="C103" s="574">
        <f>+ENERO!C103</f>
        <v>0</v>
      </c>
      <c r="D103" s="574">
        <f>MARZO!D103+ABRIL!P103</f>
        <v>0</v>
      </c>
      <c r="E103" s="574">
        <f>MARZO!E103+ABRIL!Q103</f>
        <v>0</v>
      </c>
      <c r="F103" s="575">
        <f t="shared" si="107"/>
        <v>0</v>
      </c>
      <c r="G103" s="576">
        <f>MARZO!I103</f>
        <v>0</v>
      </c>
      <c r="H103" s="457">
        <v>0</v>
      </c>
      <c r="I103" s="575">
        <f t="shared" si="108"/>
        <v>0</v>
      </c>
      <c r="J103" s="576">
        <f>MARZO!L103</f>
        <v>0</v>
      </c>
      <c r="K103" s="457">
        <v>0</v>
      </c>
      <c r="L103" s="575">
        <f t="shared" si="109"/>
        <v>0</v>
      </c>
      <c r="M103" s="576">
        <f t="shared" si="110"/>
        <v>0</v>
      </c>
      <c r="N103" s="575">
        <f t="shared" si="111"/>
        <v>0</v>
      </c>
      <c r="O103" s="562"/>
      <c r="P103" s="455">
        <v>0</v>
      </c>
      <c r="Q103" s="458">
        <v>0</v>
      </c>
      <c r="R103" s="10"/>
      <c r="S103" s="448" t="str">
        <f>+IF(MARZO!S103=0,"",MARZO!S103)</f>
        <v/>
      </c>
      <c r="T103" s="649" t="str">
        <f>+IF(MARZO!T103=0,"",MARZO!T103)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+IF(MARZO!A104=0,"",MARZO!A104)</f>
        <v>11303-5</v>
      </c>
      <c r="B104" s="59" t="str">
        <f>+IF(MARZO!B104=0,"",MARZO!B104)</f>
        <v>OTROS CONVENIOS</v>
      </c>
      <c r="C104" s="574">
        <f>+ENERO!C104</f>
        <v>0</v>
      </c>
      <c r="D104" s="574">
        <f>MARZO!D104+ABRIL!P104</f>
        <v>0</v>
      </c>
      <c r="E104" s="574">
        <f>MARZO!E104+ABRIL!Q104</f>
        <v>0</v>
      </c>
      <c r="F104" s="575">
        <f t="shared" si="107"/>
        <v>0</v>
      </c>
      <c r="G104" s="576">
        <f>MARZO!I104</f>
        <v>0</v>
      </c>
      <c r="H104" s="457">
        <v>0</v>
      </c>
      <c r="I104" s="575">
        <f t="shared" si="108"/>
        <v>0</v>
      </c>
      <c r="J104" s="576">
        <f>MARZO!L104</f>
        <v>0</v>
      </c>
      <c r="K104" s="457">
        <v>0</v>
      </c>
      <c r="L104" s="575">
        <f t="shared" si="109"/>
        <v>0</v>
      </c>
      <c r="M104" s="576">
        <f t="shared" si="110"/>
        <v>0</v>
      </c>
      <c r="N104" s="575">
        <f t="shared" si="111"/>
        <v>0</v>
      </c>
      <c r="O104" s="562"/>
      <c r="P104" s="455">
        <v>0</v>
      </c>
      <c r="Q104" s="458">
        <v>0</v>
      </c>
      <c r="R104" s="10"/>
      <c r="S104" s="34">
        <f>+IF(MARZO!S104=0,"",MARZO!S104)</f>
        <v>1020400</v>
      </c>
      <c r="T104" s="158" t="str">
        <f>+IF(MARZO!T104=0,"",MARZO!T104)</f>
        <v>Contribuciones Inherentes nómina del Sector Publico</v>
      </c>
      <c r="U104" s="157">
        <f t="shared" ref="U104:AJ104" si="112">U105+U108</f>
        <v>56393675</v>
      </c>
      <c r="V104" s="144">
        <f t="shared" si="112"/>
        <v>0</v>
      </c>
      <c r="W104" s="144">
        <f t="shared" si="112"/>
        <v>0</v>
      </c>
      <c r="X104" s="152">
        <f t="shared" si="112"/>
        <v>56393675</v>
      </c>
      <c r="Y104" s="151">
        <f t="shared" si="112"/>
        <v>11812400</v>
      </c>
      <c r="Z104" s="144">
        <f t="shared" si="112"/>
        <v>3858600</v>
      </c>
      <c r="AA104" s="152">
        <f t="shared" si="112"/>
        <v>15671000</v>
      </c>
      <c r="AB104" s="151">
        <f t="shared" si="112"/>
        <v>11812400</v>
      </c>
      <c r="AC104" s="144">
        <f t="shared" si="112"/>
        <v>3858600</v>
      </c>
      <c r="AD104" s="152">
        <f t="shared" si="112"/>
        <v>15671000</v>
      </c>
      <c r="AE104" s="151">
        <f t="shared" si="112"/>
        <v>7938200</v>
      </c>
      <c r="AF104" s="144">
        <f t="shared" si="112"/>
        <v>3874200</v>
      </c>
      <c r="AG104" s="152">
        <f t="shared" si="112"/>
        <v>11812400</v>
      </c>
      <c r="AH104" s="151">
        <f t="shared" si="112"/>
        <v>40722675</v>
      </c>
      <c r="AI104" s="144">
        <f t="shared" si="112"/>
        <v>40722675</v>
      </c>
      <c r="AJ104" s="153">
        <f t="shared" si="112"/>
        <v>44581275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+IF(MARZO!A105=0,"",MARZO!A105)</f>
        <v>11303-6</v>
      </c>
      <c r="B105" s="59" t="str">
        <f>+IF(MARZO!B105=0,"",MARZO!B105)</f>
        <v>APORTES PATRONALES MUNICIPIO / DEPARTAMENTO</v>
      </c>
      <c r="C105" s="574">
        <f>+ENERO!C105</f>
        <v>0</v>
      </c>
      <c r="D105" s="574">
        <f>MARZO!D105+ABRIL!P105</f>
        <v>227076373</v>
      </c>
      <c r="E105" s="574">
        <f>MARZO!E105+ABRIL!Q105</f>
        <v>25449068</v>
      </c>
      <c r="F105" s="575">
        <f t="shared" si="107"/>
        <v>252525441</v>
      </c>
      <c r="G105" s="576">
        <f>MARZO!I105</f>
        <v>63131360</v>
      </c>
      <c r="H105" s="457">
        <v>21043787</v>
      </c>
      <c r="I105" s="575">
        <f t="shared" si="108"/>
        <v>84175147</v>
      </c>
      <c r="J105" s="576">
        <f>MARZO!L105</f>
        <v>63131360</v>
      </c>
      <c r="K105" s="457">
        <v>21043787</v>
      </c>
      <c r="L105" s="575">
        <f t="shared" si="109"/>
        <v>84175147</v>
      </c>
      <c r="M105" s="576">
        <f t="shared" si="110"/>
        <v>168350294</v>
      </c>
      <c r="N105" s="575">
        <f t="shared" si="111"/>
        <v>168350294</v>
      </c>
      <c r="O105" s="562"/>
      <c r="P105" s="455">
        <v>0</v>
      </c>
      <c r="Q105" s="458">
        <v>0</v>
      </c>
      <c r="R105" s="10"/>
      <c r="S105" s="155">
        <f>+IF(MARZO!S105=0,"",MARZO!S105)</f>
        <v>1020402</v>
      </c>
      <c r="T105" s="159" t="str">
        <f>+IF(MARZO!T105=0,"",MARZO!T105)</f>
        <v>Contribuciones - Otros</v>
      </c>
      <c r="U105" s="29">
        <f t="shared" ref="U105:AJ105" si="113">SUM(U106:U107)</f>
        <v>56393675</v>
      </c>
      <c r="V105" s="17">
        <f t="shared" si="113"/>
        <v>0</v>
      </c>
      <c r="W105" s="17">
        <f t="shared" si="113"/>
        <v>0</v>
      </c>
      <c r="X105" s="20">
        <f t="shared" si="113"/>
        <v>56393675</v>
      </c>
      <c r="Y105" s="21">
        <f t="shared" si="113"/>
        <v>11812400</v>
      </c>
      <c r="Z105" s="169">
        <f t="shared" si="113"/>
        <v>3858600</v>
      </c>
      <c r="AA105" s="20">
        <f t="shared" si="113"/>
        <v>15671000</v>
      </c>
      <c r="AB105" s="21">
        <f t="shared" si="113"/>
        <v>11812400</v>
      </c>
      <c r="AC105" s="169">
        <f t="shared" si="113"/>
        <v>3858600</v>
      </c>
      <c r="AD105" s="20">
        <f t="shared" si="113"/>
        <v>15671000</v>
      </c>
      <c r="AE105" s="21">
        <f t="shared" si="113"/>
        <v>7938200</v>
      </c>
      <c r="AF105" s="169">
        <f t="shared" si="113"/>
        <v>3874200</v>
      </c>
      <c r="AG105" s="20">
        <f t="shared" si="113"/>
        <v>11812400</v>
      </c>
      <c r="AH105" s="21">
        <f t="shared" si="113"/>
        <v>40722675</v>
      </c>
      <c r="AI105" s="17">
        <f t="shared" si="113"/>
        <v>40722675</v>
      </c>
      <c r="AJ105" s="18">
        <f t="shared" si="113"/>
        <v>44581275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+IF(MARZO!A106=0,"",MARZO!A106)</f>
        <v>11303-5</v>
      </c>
      <c r="B106" s="578" t="str">
        <f>+IF(MARZO!B106=0,"",MARZO!B106)</f>
        <v>Vigencias Anteriores</v>
      </c>
      <c r="C106" s="564">
        <f>+ENERO!C106</f>
        <v>0</v>
      </c>
      <c r="D106" s="564">
        <f>MARZO!D106+ABRIL!P106</f>
        <v>0</v>
      </c>
      <c r="E106" s="564">
        <f>MARZO!E106+ABRIL!Q106</f>
        <v>0</v>
      </c>
      <c r="F106" s="565">
        <f t="shared" si="107"/>
        <v>0</v>
      </c>
      <c r="G106" s="566">
        <f>MARZO!I106</f>
        <v>0</v>
      </c>
      <c r="H106" s="475">
        <v>0</v>
      </c>
      <c r="I106" s="565">
        <f t="shared" si="108"/>
        <v>0</v>
      </c>
      <c r="J106" s="566">
        <f>MARZO!L106</f>
        <v>0</v>
      </c>
      <c r="K106" s="475">
        <v>0</v>
      </c>
      <c r="L106" s="565">
        <f t="shared" si="109"/>
        <v>0</v>
      </c>
      <c r="M106" s="566">
        <f t="shared" si="110"/>
        <v>0</v>
      </c>
      <c r="N106" s="565">
        <f t="shared" si="111"/>
        <v>0</v>
      </c>
      <c r="O106" s="562"/>
      <c r="P106" s="471">
        <v>0</v>
      </c>
      <c r="Q106" s="476">
        <v>0</v>
      </c>
      <c r="R106" s="10"/>
      <c r="S106" s="156" t="str">
        <f>+IF(MARZO!S106=0,"",MARZO!S106)</f>
        <v>1020402-1</v>
      </c>
      <c r="T106" s="159" t="str">
        <f>+IF(MARZO!T106=0,"",MARZO!T106)</f>
        <v>S.E.N.A.</v>
      </c>
      <c r="U106" s="29">
        <f>+ENERO!U106</f>
        <v>22557470</v>
      </c>
      <c r="V106" s="17">
        <f>MARZO!V106+ABRIL!AL106</f>
        <v>0</v>
      </c>
      <c r="W106" s="17">
        <f>MARZO!W106+ABRIL!AM106</f>
        <v>0</v>
      </c>
      <c r="X106" s="20">
        <f>SUM(U106:W106)</f>
        <v>22557470</v>
      </c>
      <c r="Y106" s="21">
        <f>MARZO!AA106</f>
        <v>4766500</v>
      </c>
      <c r="Z106" s="457">
        <v>1543400</v>
      </c>
      <c r="AA106" s="20">
        <f>SUM(Y106:Z106)</f>
        <v>6309900</v>
      </c>
      <c r="AB106" s="21">
        <f>MARZO!AD106</f>
        <v>4766500</v>
      </c>
      <c r="AC106" s="457">
        <v>1543400</v>
      </c>
      <c r="AD106" s="20">
        <f>SUM(AB106:AC106)</f>
        <v>6309900</v>
      </c>
      <c r="AE106" s="21">
        <f>MARZO!AG106</f>
        <v>3216900</v>
      </c>
      <c r="AF106" s="457">
        <v>1549600</v>
      </c>
      <c r="AG106" s="20">
        <f>SUM(AE106:AF106)</f>
        <v>4766500</v>
      </c>
      <c r="AH106" s="21">
        <f>X106-AA106</f>
        <v>16247570</v>
      </c>
      <c r="AI106" s="17">
        <f>X106-AD106</f>
        <v>16247570</v>
      </c>
      <c r="AJ106" s="18">
        <f>X106-AG106</f>
        <v>17790970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+IF(MARZO!S107=0,"",MARZO!S107)</f>
        <v>1020402-2</v>
      </c>
      <c r="T107" s="159" t="str">
        <f>+IF(MARZO!T107=0,"",MARZO!T107)</f>
        <v>I.C.B.F.</v>
      </c>
      <c r="U107" s="29">
        <f>+ENERO!U107</f>
        <v>33836205</v>
      </c>
      <c r="V107" s="17">
        <f>MARZO!V107+ABRIL!AL107</f>
        <v>0</v>
      </c>
      <c r="W107" s="17">
        <f>MARZO!W107+ABRIL!AM107</f>
        <v>0</v>
      </c>
      <c r="X107" s="20">
        <f>SUM(U107:W107)</f>
        <v>33836205</v>
      </c>
      <c r="Y107" s="21">
        <f>MARZO!AA107</f>
        <v>7045900</v>
      </c>
      <c r="Z107" s="457">
        <v>2315200</v>
      </c>
      <c r="AA107" s="20">
        <f>SUM(Y107:Z107)</f>
        <v>9361100</v>
      </c>
      <c r="AB107" s="21">
        <f>MARZO!AD107</f>
        <v>7045900</v>
      </c>
      <c r="AC107" s="457">
        <v>2315200</v>
      </c>
      <c r="AD107" s="20">
        <f>SUM(AB107:AC107)</f>
        <v>9361100</v>
      </c>
      <c r="AE107" s="21">
        <f>MARZO!AG107</f>
        <v>4721300</v>
      </c>
      <c r="AF107" s="457">
        <v>2324600</v>
      </c>
      <c r="AG107" s="20">
        <f>SUM(AE107:AF107)</f>
        <v>7045900</v>
      </c>
      <c r="AH107" s="21">
        <f>X107-AA107</f>
        <v>24475105</v>
      </c>
      <c r="AI107" s="17">
        <f>X107-AD107</f>
        <v>24475105</v>
      </c>
      <c r="AJ107" s="18">
        <f>X107-AG107</f>
        <v>26790305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+IF(MARZO!A108=0,"",MARZO!A108)</f>
        <v>2000</v>
      </c>
      <c r="B108" s="439" t="str">
        <f>+IF(MARZO!B108=0,"",MARZO!B108)</f>
        <v>INGRESOS DE CAPITAL</v>
      </c>
      <c r="C108" s="215">
        <f t="shared" ref="C108:N108" si="114">SUM(C109:C117)</f>
        <v>1452387</v>
      </c>
      <c r="D108" s="435">
        <f t="shared" si="114"/>
        <v>0</v>
      </c>
      <c r="E108" s="435">
        <f t="shared" si="114"/>
        <v>0</v>
      </c>
      <c r="F108" s="437">
        <f t="shared" si="114"/>
        <v>1452387</v>
      </c>
      <c r="G108" s="215">
        <f t="shared" si="114"/>
        <v>1140635</v>
      </c>
      <c r="H108" s="435">
        <f t="shared" si="114"/>
        <v>184964</v>
      </c>
      <c r="I108" s="437">
        <f t="shared" si="114"/>
        <v>1325599</v>
      </c>
      <c r="J108" s="215">
        <f t="shared" si="114"/>
        <v>1140635</v>
      </c>
      <c r="K108" s="435">
        <f t="shared" si="114"/>
        <v>184964</v>
      </c>
      <c r="L108" s="216">
        <f t="shared" si="114"/>
        <v>1325599</v>
      </c>
      <c r="M108" s="436">
        <f t="shared" si="114"/>
        <v>126788</v>
      </c>
      <c r="N108" s="216">
        <f t="shared" si="114"/>
        <v>126788</v>
      </c>
      <c r="O108" s="562"/>
      <c r="P108" s="215">
        <f>SUM(P109:P117)</f>
        <v>0</v>
      </c>
      <c r="Q108" s="216">
        <f>SUM(Q109:Q117)</f>
        <v>0</v>
      </c>
      <c r="R108" s="10"/>
      <c r="S108" s="155">
        <f>+IF(MARZO!S108=0,"",MARZO!S108)</f>
        <v>1020499</v>
      </c>
      <c r="T108" s="159" t="str">
        <f>+IF(MARZO!T108=0,"",MARZO!T108)</f>
        <v>Vigencias Anteriores</v>
      </c>
      <c r="U108" s="29">
        <f>+ENERO!U108</f>
        <v>0</v>
      </c>
      <c r="V108" s="17">
        <f>MARZO!V108+ABRIL!AL108</f>
        <v>0</v>
      </c>
      <c r="W108" s="17">
        <f>MARZO!W108+ABRIL!AM108</f>
        <v>0</v>
      </c>
      <c r="X108" s="20">
        <f>SUM(U108:W108)</f>
        <v>0</v>
      </c>
      <c r="Y108" s="21">
        <f>MARZO!AA108</f>
        <v>0</v>
      </c>
      <c r="Z108" s="457">
        <v>0</v>
      </c>
      <c r="AA108" s="20">
        <f>SUM(Y108:Z108)</f>
        <v>0</v>
      </c>
      <c r="AB108" s="21">
        <f>MARZO!AD108</f>
        <v>0</v>
      </c>
      <c r="AC108" s="457">
        <v>0</v>
      </c>
      <c r="AD108" s="20">
        <f>SUM(AB108:AC108)</f>
        <v>0</v>
      </c>
      <c r="AE108" s="21">
        <f>MARZO!AG108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+IF(MARZO!A109=0,"",MARZO!A109)</f>
        <v>2100</v>
      </c>
      <c r="B109" s="56" t="str">
        <f>+IF(MARZO!B109=0,"",MARZO!B109)</f>
        <v>CREDITO INTERNO</v>
      </c>
      <c r="C109" s="576">
        <f>+ENERO!C109</f>
        <v>0</v>
      </c>
      <c r="D109" s="574">
        <f>MARZO!D109+ABRIL!P109</f>
        <v>0</v>
      </c>
      <c r="E109" s="574">
        <f>MARZO!E109+ABRIL!Q109</f>
        <v>0</v>
      </c>
      <c r="F109" s="584">
        <f t="shared" ref="F109:F116" si="115">SUM(C109:E109)</f>
        <v>0</v>
      </c>
      <c r="G109" s="576">
        <f>MARZO!I109</f>
        <v>0</v>
      </c>
      <c r="H109" s="457">
        <v>0</v>
      </c>
      <c r="I109" s="584">
        <f t="shared" ref="I109:I116" si="116">SUM(G109:H109)</f>
        <v>0</v>
      </c>
      <c r="J109" s="576">
        <f>MARZO!L109</f>
        <v>0</v>
      </c>
      <c r="K109" s="457">
        <v>0</v>
      </c>
      <c r="L109" s="575">
        <f t="shared" ref="L109:L116" si="117">SUM(J109:K109)</f>
        <v>0</v>
      </c>
      <c r="M109" s="585">
        <f t="shared" ref="M109:M116" si="118">F109-I109</f>
        <v>0</v>
      </c>
      <c r="N109" s="575">
        <f t="shared" ref="N109:N116" si="119">F109-L109</f>
        <v>0</v>
      </c>
      <c r="O109" s="562"/>
      <c r="P109" s="455">
        <v>0</v>
      </c>
      <c r="Q109" s="458">
        <v>0</v>
      </c>
      <c r="R109" s="10"/>
      <c r="S109" s="448" t="str">
        <f>+IF(MARZO!S109=0,"",MARZO!S109)</f>
        <v/>
      </c>
      <c r="T109" s="649" t="str">
        <f>+IF(MARZO!T109=0,"",MARZO!T109)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+IF(MARZO!A110=0,"",MARZO!A110)</f>
        <v>2100-1</v>
      </c>
      <c r="B110" s="563" t="s">
        <v>482</v>
      </c>
      <c r="C110" s="576">
        <f>+ENERO!C110</f>
        <v>0</v>
      </c>
      <c r="D110" s="574">
        <f>MARZO!D110+ABRIL!P110</f>
        <v>0</v>
      </c>
      <c r="E110" s="574">
        <f>MARZO!E110+ABRIL!Q110</f>
        <v>0</v>
      </c>
      <c r="F110" s="584">
        <f t="shared" si="115"/>
        <v>0</v>
      </c>
      <c r="G110" s="576">
        <f>MARZO!I110</f>
        <v>0</v>
      </c>
      <c r="H110" s="457">
        <v>0</v>
      </c>
      <c r="I110" s="584">
        <f t="shared" si="116"/>
        <v>0</v>
      </c>
      <c r="J110" s="576">
        <f>MARZO!L110</f>
        <v>0</v>
      </c>
      <c r="K110" s="457">
        <v>0</v>
      </c>
      <c r="L110" s="575">
        <f t="shared" si="117"/>
        <v>0</v>
      </c>
      <c r="M110" s="585">
        <f t="shared" si="118"/>
        <v>0</v>
      </c>
      <c r="N110" s="575">
        <f t="shared" si="119"/>
        <v>0</v>
      </c>
      <c r="O110" s="562"/>
      <c r="P110" s="455">
        <v>0</v>
      </c>
      <c r="Q110" s="458">
        <v>0</v>
      </c>
      <c r="R110" s="10"/>
      <c r="S110" s="469">
        <f>+IF(MARZO!S110=0,"",MARZO!S110)</f>
        <v>2000000</v>
      </c>
      <c r="T110" s="588" t="str">
        <f>+IF(MARZO!T110=0,"",MARZO!T110)</f>
        <v>GASTOS GENERALES</v>
      </c>
      <c r="U110" s="589">
        <f t="shared" ref="U110:AJ110" si="120">U112+U145</f>
        <v>576550123</v>
      </c>
      <c r="V110" s="590">
        <f t="shared" si="120"/>
        <v>-746499</v>
      </c>
      <c r="W110" s="590">
        <f t="shared" si="120"/>
        <v>20751005</v>
      </c>
      <c r="X110" s="591">
        <f t="shared" si="120"/>
        <v>596554629</v>
      </c>
      <c r="Y110" s="464">
        <f t="shared" si="120"/>
        <v>146045059</v>
      </c>
      <c r="Z110" s="590">
        <f t="shared" si="120"/>
        <v>42232871</v>
      </c>
      <c r="AA110" s="591">
        <f t="shared" si="120"/>
        <v>188277930</v>
      </c>
      <c r="AB110" s="464">
        <f t="shared" si="120"/>
        <v>146045058</v>
      </c>
      <c r="AC110" s="590">
        <f t="shared" si="120"/>
        <v>42232871</v>
      </c>
      <c r="AD110" s="591">
        <f t="shared" si="120"/>
        <v>188277929</v>
      </c>
      <c r="AE110" s="464">
        <f t="shared" si="120"/>
        <v>100850408</v>
      </c>
      <c r="AF110" s="590">
        <f t="shared" si="120"/>
        <v>37073584</v>
      </c>
      <c r="AG110" s="591">
        <f t="shared" si="120"/>
        <v>137923992</v>
      </c>
      <c r="AH110" s="464">
        <f t="shared" si="120"/>
        <v>408276699</v>
      </c>
      <c r="AI110" s="590">
        <f t="shared" si="120"/>
        <v>408276700</v>
      </c>
      <c r="AJ110" s="465">
        <f t="shared" si="120"/>
        <v>458630637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+IF(MARZO!A111=0,"",MARZO!A111)</f>
        <v>2200</v>
      </c>
      <c r="B111" s="56" t="str">
        <f>+IF(MARZO!B111=0,"",MARZO!B111)</f>
        <v>CREDITO EXTERNO</v>
      </c>
      <c r="C111" s="576">
        <f>+ENERO!C111</f>
        <v>0</v>
      </c>
      <c r="D111" s="574">
        <f>MARZO!D111+ABRIL!P111</f>
        <v>0</v>
      </c>
      <c r="E111" s="574">
        <f>MARZO!E111+ABRIL!Q111</f>
        <v>0</v>
      </c>
      <c r="F111" s="584">
        <f t="shared" si="115"/>
        <v>0</v>
      </c>
      <c r="G111" s="576">
        <f>MARZO!I111</f>
        <v>0</v>
      </c>
      <c r="H111" s="457">
        <v>0</v>
      </c>
      <c r="I111" s="584">
        <f t="shared" si="116"/>
        <v>0</v>
      </c>
      <c r="J111" s="576">
        <f>MARZO!L111</f>
        <v>0</v>
      </c>
      <c r="K111" s="457">
        <v>0</v>
      </c>
      <c r="L111" s="575">
        <f t="shared" si="117"/>
        <v>0</v>
      </c>
      <c r="M111" s="585">
        <f t="shared" si="118"/>
        <v>0</v>
      </c>
      <c r="N111" s="575">
        <f t="shared" si="119"/>
        <v>0</v>
      </c>
      <c r="O111" s="562"/>
      <c r="P111" s="455">
        <v>0</v>
      </c>
      <c r="Q111" s="458">
        <v>0</v>
      </c>
      <c r="R111" s="10"/>
      <c r="S111" s="448" t="str">
        <f>+IF(MARZO!S111=0,"",MARZO!S111)</f>
        <v/>
      </c>
      <c r="T111" s="649" t="str">
        <f>+IF(MARZO!T111=0,"",MARZO!T111)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+IF(MARZO!A112=0,"",MARZO!A112)</f>
        <v>2200-1</v>
      </c>
      <c r="B112" s="563" t="s">
        <v>482</v>
      </c>
      <c r="C112" s="576">
        <f>+ENERO!C112</f>
        <v>0</v>
      </c>
      <c r="D112" s="574">
        <f>MARZO!D112+ABRIL!P112</f>
        <v>0</v>
      </c>
      <c r="E112" s="574">
        <f>MARZO!E112+ABRIL!Q112</f>
        <v>0</v>
      </c>
      <c r="F112" s="584">
        <f t="shared" si="115"/>
        <v>0</v>
      </c>
      <c r="G112" s="576">
        <f>MARZO!I112</f>
        <v>0</v>
      </c>
      <c r="H112" s="457">
        <v>0</v>
      </c>
      <c r="I112" s="584">
        <f t="shared" si="116"/>
        <v>0</v>
      </c>
      <c r="J112" s="576">
        <f>MARZO!L112</f>
        <v>0</v>
      </c>
      <c r="K112" s="457">
        <v>0</v>
      </c>
      <c r="L112" s="575">
        <f t="shared" si="117"/>
        <v>0</v>
      </c>
      <c r="M112" s="585">
        <f t="shared" si="118"/>
        <v>0</v>
      </c>
      <c r="N112" s="575">
        <f t="shared" si="119"/>
        <v>0</v>
      </c>
      <c r="O112" s="562"/>
      <c r="P112" s="455">
        <v>0</v>
      </c>
      <c r="Q112" s="458">
        <v>0</v>
      </c>
      <c r="R112" s="10"/>
      <c r="S112" s="469">
        <f>+IF(MARZO!S112=0,"",MARZO!S112)</f>
        <v>2010000</v>
      </c>
      <c r="T112" s="470" t="str">
        <f>+IF(MARZO!T112=0,"",MARZO!T112)</f>
        <v>Gastos de Administración</v>
      </c>
      <c r="U112" s="157">
        <f t="shared" ref="U112:AJ112" si="121">U114+U123+U141</f>
        <v>198386660</v>
      </c>
      <c r="V112" s="144">
        <f t="shared" si="121"/>
        <v>0</v>
      </c>
      <c r="W112" s="144">
        <f t="shared" si="121"/>
        <v>6463473</v>
      </c>
      <c r="X112" s="152">
        <f t="shared" si="121"/>
        <v>204850133</v>
      </c>
      <c r="Y112" s="151">
        <f t="shared" si="121"/>
        <v>57519023</v>
      </c>
      <c r="Z112" s="144">
        <f t="shared" si="121"/>
        <v>16971726</v>
      </c>
      <c r="AA112" s="152">
        <f t="shared" si="121"/>
        <v>74490749</v>
      </c>
      <c r="AB112" s="151">
        <f t="shared" si="121"/>
        <v>57519022</v>
      </c>
      <c r="AC112" s="144">
        <f t="shared" si="121"/>
        <v>16971726</v>
      </c>
      <c r="AD112" s="152">
        <f t="shared" si="121"/>
        <v>74490748</v>
      </c>
      <c r="AE112" s="151">
        <f t="shared" si="121"/>
        <v>44068456</v>
      </c>
      <c r="AF112" s="144">
        <f t="shared" si="121"/>
        <v>18822402</v>
      </c>
      <c r="AG112" s="152">
        <f t="shared" si="121"/>
        <v>62890858</v>
      </c>
      <c r="AH112" s="151">
        <f t="shared" si="121"/>
        <v>130359384</v>
      </c>
      <c r="AI112" s="144">
        <f t="shared" si="121"/>
        <v>130359385</v>
      </c>
      <c r="AJ112" s="153">
        <f t="shared" si="121"/>
        <v>141959275</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+IF(MARZO!A113=0,"",MARZO!A113)</f>
        <v>2300</v>
      </c>
      <c r="B113" s="56" t="str">
        <f>+IF(MARZO!B113=0,"",MARZO!B113)</f>
        <v>RENDIMIENTOS FINANCIEROS</v>
      </c>
      <c r="C113" s="576">
        <f>+ENERO!C113</f>
        <v>305317</v>
      </c>
      <c r="D113" s="574">
        <f>MARZO!D113+ABRIL!P113</f>
        <v>0</v>
      </c>
      <c r="E113" s="574">
        <f>MARZO!E113+ABRIL!Q113</f>
        <v>0</v>
      </c>
      <c r="F113" s="584">
        <f t="shared" si="115"/>
        <v>305317</v>
      </c>
      <c r="G113" s="576">
        <f>MARZO!I113</f>
        <v>142667</v>
      </c>
      <c r="H113" s="457">
        <v>29064</v>
      </c>
      <c r="I113" s="584">
        <f t="shared" si="116"/>
        <v>171731</v>
      </c>
      <c r="J113" s="576">
        <f>MARZO!L113</f>
        <v>142667</v>
      </c>
      <c r="K113" s="457">
        <v>29064</v>
      </c>
      <c r="L113" s="575">
        <f t="shared" si="117"/>
        <v>171731</v>
      </c>
      <c r="M113" s="585">
        <f t="shared" si="118"/>
        <v>133586</v>
      </c>
      <c r="N113" s="575">
        <f t="shared" si="119"/>
        <v>133586</v>
      </c>
      <c r="O113" s="562"/>
      <c r="P113" s="455">
        <v>0</v>
      </c>
      <c r="Q113" s="458">
        <v>0</v>
      </c>
      <c r="R113" s="10"/>
      <c r="S113" s="448" t="str">
        <f>+IF(MARZO!S113=0,"",MARZO!S113)</f>
        <v/>
      </c>
      <c r="T113" s="649" t="str">
        <f>+IF(MARZO!T113=0,"",MARZO!T113)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+IF(MARZO!A114=0,"",MARZO!A114)</f>
        <v>2400</v>
      </c>
      <c r="B114" s="55" t="str">
        <f>+IF(MARZO!B114=0,"",MARZO!B114)</f>
        <v>VENTA DE ACTIVOS</v>
      </c>
      <c r="C114" s="283">
        <f>+ENERO!C114</f>
        <v>0</v>
      </c>
      <c r="D114" s="456">
        <f>MARZO!D114+ABRIL!P114</f>
        <v>0</v>
      </c>
      <c r="E114" s="456">
        <f>MARZO!E114+ABRIL!Q114</f>
        <v>0</v>
      </c>
      <c r="F114" s="593">
        <f t="shared" si="115"/>
        <v>0</v>
      </c>
      <c r="G114" s="283">
        <f>MARZO!I114</f>
        <v>0</v>
      </c>
      <c r="H114" s="457">
        <v>0</v>
      </c>
      <c r="I114" s="593">
        <f t="shared" si="116"/>
        <v>0</v>
      </c>
      <c r="J114" s="283">
        <f>MARZO!L114</f>
        <v>0</v>
      </c>
      <c r="K114" s="457">
        <v>0</v>
      </c>
      <c r="L114" s="170">
        <f t="shared" si="117"/>
        <v>0</v>
      </c>
      <c r="M114" s="535">
        <f t="shared" si="118"/>
        <v>0</v>
      </c>
      <c r="N114" s="170">
        <f t="shared" si="119"/>
        <v>0</v>
      </c>
      <c r="O114" s="562"/>
      <c r="P114" s="455">
        <v>0</v>
      </c>
      <c r="Q114" s="458">
        <v>0</v>
      </c>
      <c r="R114" s="10"/>
      <c r="S114" s="34">
        <f>+IF(MARZO!S114=0,"",MARZO!S114)</f>
        <v>2010100</v>
      </c>
      <c r="T114" s="158" t="str">
        <f>+IF(MARZO!T114=0,"",MARZO!T114)</f>
        <v>Adquisición de bienes</v>
      </c>
      <c r="U114" s="157">
        <f t="shared" ref="U114:AJ114" si="122">SUM(U115:U121)</f>
        <v>67419307</v>
      </c>
      <c r="V114" s="144">
        <f t="shared" si="122"/>
        <v>0</v>
      </c>
      <c r="W114" s="144">
        <f t="shared" si="122"/>
        <v>1397432</v>
      </c>
      <c r="X114" s="152">
        <f t="shared" si="122"/>
        <v>68816739</v>
      </c>
      <c r="Y114" s="151">
        <f t="shared" si="122"/>
        <v>11864424</v>
      </c>
      <c r="Z114" s="144">
        <f t="shared" si="122"/>
        <v>11542467</v>
      </c>
      <c r="AA114" s="152">
        <f t="shared" si="122"/>
        <v>23406891</v>
      </c>
      <c r="AB114" s="151">
        <f t="shared" si="122"/>
        <v>11864423</v>
      </c>
      <c r="AC114" s="144">
        <f t="shared" si="122"/>
        <v>11542467</v>
      </c>
      <c r="AD114" s="152">
        <f t="shared" si="122"/>
        <v>23406890</v>
      </c>
      <c r="AE114" s="151">
        <f t="shared" si="122"/>
        <v>6146453</v>
      </c>
      <c r="AF114" s="144">
        <f t="shared" si="122"/>
        <v>9861829</v>
      </c>
      <c r="AG114" s="152">
        <f t="shared" si="122"/>
        <v>16008282</v>
      </c>
      <c r="AH114" s="151">
        <f t="shared" si="122"/>
        <v>45409848</v>
      </c>
      <c r="AI114" s="144">
        <f t="shared" si="122"/>
        <v>45409849</v>
      </c>
      <c r="AJ114" s="153">
        <f t="shared" si="122"/>
        <v>52808457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+IF(MARZO!A115=0,"",MARZO!A115)</f>
        <v>2500</v>
      </c>
      <c r="B115" s="55" t="str">
        <f>+IF(MARZO!B115=0,"",MARZO!B115)</f>
        <v>DONACIONES</v>
      </c>
      <c r="C115" s="283">
        <f>+ENERO!C115</f>
        <v>0</v>
      </c>
      <c r="D115" s="456">
        <f>MARZO!D115+ABRIL!P115</f>
        <v>0</v>
      </c>
      <c r="E115" s="456">
        <f>MARZO!E115+ABRIL!Q115</f>
        <v>0</v>
      </c>
      <c r="F115" s="593">
        <f t="shared" si="115"/>
        <v>0</v>
      </c>
      <c r="G115" s="283">
        <f>MARZO!I115</f>
        <v>0</v>
      </c>
      <c r="H115" s="457">
        <v>0</v>
      </c>
      <c r="I115" s="593">
        <f t="shared" si="116"/>
        <v>0</v>
      </c>
      <c r="J115" s="283">
        <f>MARZO!L115</f>
        <v>0</v>
      </c>
      <c r="K115" s="457">
        <v>0</v>
      </c>
      <c r="L115" s="170">
        <f t="shared" si="117"/>
        <v>0</v>
      </c>
      <c r="M115" s="535">
        <f t="shared" si="118"/>
        <v>0</v>
      </c>
      <c r="N115" s="170">
        <f t="shared" si="119"/>
        <v>0</v>
      </c>
      <c r="P115" s="455">
        <v>0</v>
      </c>
      <c r="Q115" s="458">
        <v>0</v>
      </c>
      <c r="R115" s="10"/>
      <c r="S115" s="155" t="str">
        <f>+IF(MARZO!S115=0,"",MARZO!S115)</f>
        <v>2010100-1</v>
      </c>
      <c r="T115" s="159" t="str">
        <f>+IF(MARZO!T115=0,"",MARZO!T115)</f>
        <v>Compra de Equipos</v>
      </c>
      <c r="U115" s="29">
        <f>+ENERO!U115</f>
        <v>42018487</v>
      </c>
      <c r="V115" s="17">
        <f>MARZO!V115+ABRIL!AL115</f>
        <v>0</v>
      </c>
      <c r="W115" s="17">
        <f>MARZO!W115+ABRIL!AM115</f>
        <v>0</v>
      </c>
      <c r="X115" s="20">
        <f t="shared" ref="X115:X121" si="123">SUM(U115:W115)</f>
        <v>42018487</v>
      </c>
      <c r="Y115" s="21">
        <f>MARZO!AA115</f>
        <v>3545040</v>
      </c>
      <c r="Z115" s="457">
        <v>1079960</v>
      </c>
      <c r="AA115" s="20">
        <f t="shared" ref="AA115:AA121" si="124">SUM(Y115:Z115)</f>
        <v>4625000</v>
      </c>
      <c r="AB115" s="21">
        <f>MARZO!AD115</f>
        <v>3545040</v>
      </c>
      <c r="AC115" s="457">
        <v>1079960</v>
      </c>
      <c r="AD115" s="20">
        <f t="shared" ref="AD115:AD121" si="125">SUM(AB115:AC115)</f>
        <v>4625000</v>
      </c>
      <c r="AE115" s="21">
        <f>MARZO!AG115</f>
        <v>2256512</v>
      </c>
      <c r="AF115" s="457">
        <v>1079960</v>
      </c>
      <c r="AG115" s="20">
        <f t="shared" ref="AG115:AG121" si="126">SUM(AE115:AF115)</f>
        <v>3336472</v>
      </c>
      <c r="AH115" s="21">
        <f t="shared" ref="AH115:AH121" si="127">X115-AA115</f>
        <v>37393487</v>
      </c>
      <c r="AI115" s="17">
        <f t="shared" ref="AI115:AI121" si="128">X115-AD115</f>
        <v>37393487</v>
      </c>
      <c r="AJ115" s="18">
        <f t="shared" ref="AJ115:AJ121" si="129">X115-AG115</f>
        <v>38682015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+IF(MARZO!A116=0,"",MARZO!A116)</f>
        <v>2600</v>
      </c>
      <c r="B116" s="55" t="str">
        <f>+IF(MARZO!B116=0,"",MARZO!B116)</f>
        <v>RECUPERACIÓN DE CARTERA (AÑO 2012 Y ANTERIORES)</v>
      </c>
      <c r="C116" s="283">
        <f>+ENERO!C116</f>
        <v>1147070</v>
      </c>
      <c r="D116" s="456">
        <f>MARZO!D116+ABRIL!P116</f>
        <v>0</v>
      </c>
      <c r="E116" s="456">
        <f>MARZO!E116+ABRIL!Q116</f>
        <v>0</v>
      </c>
      <c r="F116" s="593">
        <f t="shared" si="115"/>
        <v>1147070</v>
      </c>
      <c r="G116" s="283">
        <f>MARZO!I116</f>
        <v>997968</v>
      </c>
      <c r="H116" s="457">
        <v>155900</v>
      </c>
      <c r="I116" s="593">
        <f t="shared" si="116"/>
        <v>1153868</v>
      </c>
      <c r="J116" s="283">
        <f>MARZO!L116</f>
        <v>997968</v>
      </c>
      <c r="K116" s="457">
        <v>155900</v>
      </c>
      <c r="L116" s="170">
        <f t="shared" si="117"/>
        <v>1153868</v>
      </c>
      <c r="M116" s="535">
        <f t="shared" si="118"/>
        <v>-6798</v>
      </c>
      <c r="N116" s="170">
        <f t="shared" si="119"/>
        <v>-6798</v>
      </c>
      <c r="P116" s="455">
        <v>0</v>
      </c>
      <c r="Q116" s="458">
        <v>0</v>
      </c>
      <c r="R116" s="10"/>
      <c r="S116" s="155" t="str">
        <f>+IF(MARZO!S116=0,"",MARZO!S116)</f>
        <v>2010100-2</v>
      </c>
      <c r="T116" s="159" t="str">
        <f>+IF(MARZO!T116=0,"",MARZO!T116)</f>
        <v>Materiales</v>
      </c>
      <c r="U116" s="29">
        <f>+ENERO!U116</f>
        <v>23400820</v>
      </c>
      <c r="V116" s="17">
        <f>MARZO!V116+ABRIL!AL116</f>
        <v>0</v>
      </c>
      <c r="W116" s="17">
        <f>MARZO!W116+ABRIL!AM116</f>
        <v>0</v>
      </c>
      <c r="X116" s="20">
        <f t="shared" si="123"/>
        <v>23400820</v>
      </c>
      <c r="Y116" s="21">
        <f>MARZO!AA116</f>
        <v>4922952</v>
      </c>
      <c r="Z116" s="457">
        <v>10462507</v>
      </c>
      <c r="AA116" s="20">
        <f t="shared" si="124"/>
        <v>15385459</v>
      </c>
      <c r="AB116" s="21">
        <f>MARZO!AD116</f>
        <v>4922951</v>
      </c>
      <c r="AC116" s="457">
        <v>10462507</v>
      </c>
      <c r="AD116" s="20">
        <f t="shared" si="125"/>
        <v>15385458</v>
      </c>
      <c r="AE116" s="21">
        <f>MARZO!AG116</f>
        <v>1798509</v>
      </c>
      <c r="AF116" s="457">
        <v>8074269</v>
      </c>
      <c r="AG116" s="20">
        <f t="shared" si="126"/>
        <v>9872778</v>
      </c>
      <c r="AH116" s="21">
        <f t="shared" si="127"/>
        <v>8015361</v>
      </c>
      <c r="AI116" s="17">
        <f t="shared" si="128"/>
        <v>8015362</v>
      </c>
      <c r="AJ116" s="18">
        <f t="shared" si="129"/>
        <v>13528042</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+IF(MARZO!A117=0,"",MARZO!A117)</f>
        <v>2700</v>
      </c>
      <c r="B117" s="55" t="str">
        <f>+IF(MARZO!B117=0,"",MARZO!B117)</f>
        <v>OTROS INGRESOS DE CAPITAL</v>
      </c>
      <c r="C117" s="283">
        <f>SUM(C118:C119)</f>
        <v>0</v>
      </c>
      <c r="D117" s="456">
        <f t="shared" ref="D117:N117" si="130">SUM(D118:D119)</f>
        <v>0</v>
      </c>
      <c r="E117" s="456">
        <f t="shared" si="130"/>
        <v>0</v>
      </c>
      <c r="F117" s="593">
        <f t="shared" si="130"/>
        <v>0</v>
      </c>
      <c r="G117" s="283">
        <f t="shared" si="130"/>
        <v>0</v>
      </c>
      <c r="H117" s="456">
        <f t="shared" si="130"/>
        <v>0</v>
      </c>
      <c r="I117" s="593">
        <f t="shared" si="130"/>
        <v>0</v>
      </c>
      <c r="J117" s="283">
        <f t="shared" si="130"/>
        <v>0</v>
      </c>
      <c r="K117" s="456">
        <f t="shared" si="130"/>
        <v>0</v>
      </c>
      <c r="L117" s="170">
        <f t="shared" si="130"/>
        <v>0</v>
      </c>
      <c r="M117" s="535">
        <f t="shared" si="130"/>
        <v>0</v>
      </c>
      <c r="N117" s="170">
        <f t="shared" si="130"/>
        <v>0</v>
      </c>
      <c r="P117" s="36">
        <f>SUM(P118:P119)</f>
        <v>0</v>
      </c>
      <c r="Q117" s="37">
        <f>SUM(Q118:Q119)</f>
        <v>0</v>
      </c>
      <c r="R117" s="10"/>
      <c r="S117" s="155" t="str">
        <f>+IF(MARZO!S117=0,"",MARZO!S117)</f>
        <v>2010100-3</v>
      </c>
      <c r="T117" s="159" t="str">
        <f>+IF(MARZO!T117=0,"",MARZO!T117)</f>
        <v>Salud Ocupacional</v>
      </c>
      <c r="U117" s="29">
        <f>+ENERO!U117</f>
        <v>0</v>
      </c>
      <c r="V117" s="17">
        <f>MARZO!V117+ABRIL!AL117</f>
        <v>0</v>
      </c>
      <c r="W117" s="17">
        <f>MARZO!W117+ABRIL!AM117</f>
        <v>0</v>
      </c>
      <c r="X117" s="20">
        <f t="shared" si="123"/>
        <v>0</v>
      </c>
      <c r="Y117" s="21">
        <f>MARZO!AA117</f>
        <v>0</v>
      </c>
      <c r="Z117" s="457">
        <v>0</v>
      </c>
      <c r="AA117" s="20">
        <f t="shared" si="124"/>
        <v>0</v>
      </c>
      <c r="AB117" s="21">
        <f>MARZO!AD117</f>
        <v>0</v>
      </c>
      <c r="AC117" s="457">
        <v>0</v>
      </c>
      <c r="AD117" s="20">
        <f t="shared" si="125"/>
        <v>0</v>
      </c>
      <c r="AE117" s="21">
        <f>MARZO!AG117</f>
        <v>0</v>
      </c>
      <c r="AF117" s="457">
        <v>0</v>
      </c>
      <c r="AG117" s="20">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+IF(MARZO!A118=0,"",MARZO!A118)</f>
        <v>2700-1</v>
      </c>
      <c r="B118" s="58" t="str">
        <f>+IF(MARZO!B118=0,"",MARZO!B118)</f>
        <v>Descuentos por pronto pago</v>
      </c>
      <c r="C118" s="283">
        <f>+ENERO!C118</f>
        <v>0</v>
      </c>
      <c r="D118" s="456">
        <f>MARZO!D118+ABRIL!P118</f>
        <v>0</v>
      </c>
      <c r="E118" s="456">
        <f>MARZO!E118+ABRIL!Q118</f>
        <v>0</v>
      </c>
      <c r="F118" s="593">
        <f>SUM(C118:E118)</f>
        <v>0</v>
      </c>
      <c r="G118" s="283">
        <f>MARZO!I118</f>
        <v>0</v>
      </c>
      <c r="H118" s="457">
        <v>0</v>
      </c>
      <c r="I118" s="593">
        <f>SUM(G118:H118)</f>
        <v>0</v>
      </c>
      <c r="J118" s="283">
        <f>MARZO!L118</f>
        <v>0</v>
      </c>
      <c r="K118" s="457">
        <v>0</v>
      </c>
      <c r="L118" s="170">
        <f>SUM(J118:K118)</f>
        <v>0</v>
      </c>
      <c r="M118" s="535">
        <f>F118-I118</f>
        <v>0</v>
      </c>
      <c r="N118" s="170">
        <f>F118-L118</f>
        <v>0</v>
      </c>
      <c r="P118" s="455">
        <v>0</v>
      </c>
      <c r="Q118" s="458">
        <v>0</v>
      </c>
      <c r="R118" s="10"/>
      <c r="S118" s="155" t="str">
        <f>+IF(MARZO!S118=0,"",MARZO!S118)</f>
        <v>2010100-4</v>
      </c>
      <c r="T118" s="159" t="str">
        <f>+IF(MARZO!T118=0,"",MARZO!T118)</f>
        <v/>
      </c>
      <c r="U118" s="29">
        <f>+ENERO!U118</f>
        <v>0</v>
      </c>
      <c r="V118" s="17">
        <f>MARZO!V118+ABRIL!AL118</f>
        <v>0</v>
      </c>
      <c r="W118" s="17">
        <f>MARZO!W118+ABRIL!AM118</f>
        <v>0</v>
      </c>
      <c r="X118" s="20">
        <f t="shared" si="123"/>
        <v>0</v>
      </c>
      <c r="Y118" s="21">
        <f>MARZO!AA118</f>
        <v>0</v>
      </c>
      <c r="Z118" s="457">
        <v>0</v>
      </c>
      <c r="AA118" s="20">
        <f t="shared" si="124"/>
        <v>0</v>
      </c>
      <c r="AB118" s="21">
        <f>MARZO!AD118</f>
        <v>0</v>
      </c>
      <c r="AC118" s="457">
        <v>0</v>
      </c>
      <c r="AD118" s="20">
        <f t="shared" si="125"/>
        <v>0</v>
      </c>
      <c r="AE118" s="21">
        <f>MARZO!AG118</f>
        <v>0</v>
      </c>
      <c r="AF118" s="457">
        <v>0</v>
      </c>
      <c r="AG118" s="20">
        <f t="shared" si="126"/>
        <v>0</v>
      </c>
      <c r="AH118" s="21">
        <f t="shared" si="127"/>
        <v>0</v>
      </c>
      <c r="AI118" s="17">
        <f t="shared" si="128"/>
        <v>0</v>
      </c>
      <c r="AJ118" s="18">
        <f t="shared" si="129"/>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+IF(MARZO!A119=0,"",MARZO!A119)</f>
        <v>2700-2</v>
      </c>
      <c r="B119" s="219" t="str">
        <f>+IF(MARZO!B119=0,"",MARZO!B119)</f>
        <v>Otros</v>
      </c>
      <c r="C119" s="474">
        <f>+ENERO!C119</f>
        <v>0</v>
      </c>
      <c r="D119" s="472">
        <f>MARZO!D119+ABRIL!P119</f>
        <v>0</v>
      </c>
      <c r="E119" s="472">
        <f>MARZO!E119+ABRIL!Q119</f>
        <v>0</v>
      </c>
      <c r="F119" s="596">
        <f>SUM(C119:E119)</f>
        <v>0</v>
      </c>
      <c r="G119" s="474">
        <f>MARZO!I119</f>
        <v>0</v>
      </c>
      <c r="H119" s="475">
        <v>0</v>
      </c>
      <c r="I119" s="596">
        <f>SUM(G119:H119)</f>
        <v>0</v>
      </c>
      <c r="J119" s="474">
        <f>MARZO!L119</f>
        <v>0</v>
      </c>
      <c r="K119" s="475">
        <v>0</v>
      </c>
      <c r="L119" s="473">
        <f>SUM(J119:K119)</f>
        <v>0</v>
      </c>
      <c r="M119" s="597">
        <f>F119-I119</f>
        <v>0</v>
      </c>
      <c r="N119" s="473">
        <f>F119-L119</f>
        <v>0</v>
      </c>
      <c r="P119" s="455">
        <v>0</v>
      </c>
      <c r="Q119" s="458">
        <v>0</v>
      </c>
      <c r="R119" s="10"/>
      <c r="S119" s="155" t="str">
        <f>+IF(MARZO!S119=0,"",MARZO!S119)</f>
        <v>2010100-5</v>
      </c>
      <c r="T119" s="159" t="str">
        <f>+IF(MARZO!T119=0,"",MARZO!T119)</f>
        <v/>
      </c>
      <c r="U119" s="29">
        <f>+ENERO!U119</f>
        <v>0</v>
      </c>
      <c r="V119" s="17">
        <f>MARZO!V119+ABRIL!AL119</f>
        <v>0</v>
      </c>
      <c r="W119" s="17">
        <f>MARZO!W119+ABRIL!AM119</f>
        <v>0</v>
      </c>
      <c r="X119" s="20">
        <f t="shared" si="123"/>
        <v>0</v>
      </c>
      <c r="Y119" s="21">
        <f>MARZO!AA119</f>
        <v>0</v>
      </c>
      <c r="Z119" s="457">
        <v>0</v>
      </c>
      <c r="AA119" s="20">
        <f t="shared" si="124"/>
        <v>0</v>
      </c>
      <c r="AB119" s="21">
        <f>MARZO!AD119</f>
        <v>0</v>
      </c>
      <c r="AC119" s="457">
        <v>0</v>
      </c>
      <c r="AD119" s="20">
        <f t="shared" si="125"/>
        <v>0</v>
      </c>
      <c r="AE119" s="21">
        <f>MARZO!AG119</f>
        <v>0</v>
      </c>
      <c r="AF119" s="457">
        <v>0</v>
      </c>
      <c r="AG119" s="20">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+IF(MARZO!S120=0,"",MARZO!S120)</f>
        <v>2010100-6</v>
      </c>
      <c r="T120" s="159" t="str">
        <f>+IF(MARZO!T120=0,"",MARZO!T120)</f>
        <v/>
      </c>
      <c r="U120" s="29">
        <f>+ENERO!U120</f>
        <v>0</v>
      </c>
      <c r="V120" s="17">
        <f>MARZO!V120+ABRIL!AL120</f>
        <v>0</v>
      </c>
      <c r="W120" s="17">
        <f>MARZO!W120+ABRIL!AM120</f>
        <v>0</v>
      </c>
      <c r="X120" s="20">
        <f t="shared" si="123"/>
        <v>0</v>
      </c>
      <c r="Y120" s="21">
        <f>MARZO!AA120</f>
        <v>0</v>
      </c>
      <c r="Z120" s="457">
        <v>0</v>
      </c>
      <c r="AA120" s="20">
        <f t="shared" si="124"/>
        <v>0</v>
      </c>
      <c r="AB120" s="21">
        <f>MARZO!AD120</f>
        <v>0</v>
      </c>
      <c r="AC120" s="457">
        <v>0</v>
      </c>
      <c r="AD120" s="20">
        <f t="shared" si="125"/>
        <v>0</v>
      </c>
      <c r="AE120" s="21">
        <f>MARZO!AG120</f>
        <v>0</v>
      </c>
      <c r="AF120" s="457">
        <v>0</v>
      </c>
      <c r="AG120" s="20">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+IF(MARZO!A121=0,"",MARZO!A121)</f>
        <v>TOTAL INGRESOS DIFERENTES A CUENTAS POR COBRAR</v>
      </c>
      <c r="B121" s="682"/>
      <c r="C121" s="605">
        <f t="shared" ref="C121:N121" si="131">C8-C123</f>
        <v>3465783837</v>
      </c>
      <c r="D121" s="603">
        <f t="shared" si="131"/>
        <v>0</v>
      </c>
      <c r="E121" s="603">
        <f t="shared" si="131"/>
        <v>58523183</v>
      </c>
      <c r="F121" s="604">
        <f t="shared" si="131"/>
        <v>3524307020</v>
      </c>
      <c r="G121" s="602">
        <f t="shared" si="131"/>
        <v>994271685</v>
      </c>
      <c r="H121" s="603">
        <f t="shared" si="131"/>
        <v>289072147</v>
      </c>
      <c r="I121" s="604">
        <f t="shared" si="131"/>
        <v>1283343832</v>
      </c>
      <c r="J121" s="602">
        <f t="shared" si="131"/>
        <v>816172461</v>
      </c>
      <c r="K121" s="603">
        <f t="shared" si="131"/>
        <v>215748375</v>
      </c>
      <c r="L121" s="604">
        <f t="shared" si="131"/>
        <v>1031920836</v>
      </c>
      <c r="M121" s="602">
        <f t="shared" si="131"/>
        <v>2240963188</v>
      </c>
      <c r="N121" s="604">
        <f t="shared" si="131"/>
        <v>2492386184</v>
      </c>
      <c r="P121" s="605">
        <f>P8-P123</f>
        <v>0</v>
      </c>
      <c r="Q121" s="606">
        <f>Q8-Q123</f>
        <v>0</v>
      </c>
      <c r="R121" s="10"/>
      <c r="S121" s="155">
        <f>+IF(MARZO!S121=0,"",MARZO!S121)</f>
        <v>2010199</v>
      </c>
      <c r="T121" s="159" t="str">
        <f>+IF(MARZO!T121=0,"",MARZO!T121)</f>
        <v>Vigencias Anteriores</v>
      </c>
      <c r="U121" s="29">
        <f>+ENERO!U121</f>
        <v>2000000</v>
      </c>
      <c r="V121" s="17">
        <f>MARZO!V121+ABRIL!AL121</f>
        <v>0</v>
      </c>
      <c r="W121" s="17">
        <f>MARZO!W121+ABRIL!AM121</f>
        <v>1397432</v>
      </c>
      <c r="X121" s="20">
        <f t="shared" si="123"/>
        <v>3397432</v>
      </c>
      <c r="Y121" s="21">
        <f>MARZO!AA121</f>
        <v>3396432</v>
      </c>
      <c r="Z121" s="457">
        <v>0</v>
      </c>
      <c r="AA121" s="20">
        <f t="shared" si="124"/>
        <v>3396432</v>
      </c>
      <c r="AB121" s="21">
        <f>MARZO!AD121</f>
        <v>3396432</v>
      </c>
      <c r="AC121" s="457">
        <v>0</v>
      </c>
      <c r="AD121" s="20">
        <f t="shared" si="125"/>
        <v>3396432</v>
      </c>
      <c r="AE121" s="21">
        <f>MARZO!AG121</f>
        <v>2091432</v>
      </c>
      <c r="AF121" s="457">
        <v>707600</v>
      </c>
      <c r="AG121" s="20">
        <f t="shared" si="126"/>
        <v>2799032</v>
      </c>
      <c r="AH121" s="21">
        <f t="shared" si="127"/>
        <v>1000</v>
      </c>
      <c r="AI121" s="17">
        <f t="shared" si="128"/>
        <v>1000</v>
      </c>
      <c r="AJ121" s="18">
        <f t="shared" si="129"/>
        <v>598400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+IF(MARZO!S122=0,"",MARZO!S122)</f>
        <v/>
      </c>
      <c r="T122" s="649" t="str">
        <f>+IF(MARZO!T122=0,"",MARZO!T122)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+IF(MARZO!A123=0,"",MARZO!A123)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180095691</v>
      </c>
      <c r="H123" s="685">
        <f>SUMIF($B8:$B$117,$B$24,H8:H117)+H116</f>
        <v>50420342</v>
      </c>
      <c r="I123" s="686">
        <f>SUMIF($B8:$B$117,$B$24,I8:I117)+I116</f>
        <v>230516033</v>
      </c>
      <c r="J123" s="687">
        <f>SUMIF($B8:$B$117,$B$24,J8:J117)+J116</f>
        <v>180095691</v>
      </c>
      <c r="K123" s="685">
        <f>SUMIF($B8:$B$117,$B$24,K8:K117)+K116</f>
        <v>50420342</v>
      </c>
      <c r="L123" s="686">
        <f>SUMIF($B8:$B$117,$B$24,L8:L117)+L116</f>
        <v>230516033</v>
      </c>
      <c r="M123" s="687">
        <f>SUMIF($B8:$B$117,$B$24,M8:M117)+M116</f>
        <v>-64798858</v>
      </c>
      <c r="N123" s="686">
        <f>SUMIF($B8:$B$117,$B$24,N8:N117)+N116</f>
        <v>-64798858</v>
      </c>
      <c r="P123" s="687">
        <f>SUMIF($B8:$B$117,$B$24,P8:P117)+P116</f>
        <v>0</v>
      </c>
      <c r="Q123" s="686">
        <f>SUMIF($B8:$B$117,$B$24,Q8:Q117)+Q116</f>
        <v>0</v>
      </c>
      <c r="R123" s="10"/>
      <c r="S123" s="34">
        <f>+IF(MARZO!S123=0,"",MARZO!S123)</f>
        <v>2010200</v>
      </c>
      <c r="T123" s="158" t="str">
        <f>+IF(MARZO!T123=0,"",MARZO!T123)</f>
        <v>Adquisición de Servicios</v>
      </c>
      <c r="U123" s="157">
        <f t="shared" ref="U123:AJ123" si="132">SUM(U124:U139)</f>
        <v>130967353</v>
      </c>
      <c r="V123" s="144">
        <f t="shared" si="132"/>
        <v>0</v>
      </c>
      <c r="W123" s="144">
        <f t="shared" si="132"/>
        <v>4066041</v>
      </c>
      <c r="X123" s="152">
        <f t="shared" si="132"/>
        <v>135033394</v>
      </c>
      <c r="Y123" s="151">
        <f t="shared" si="132"/>
        <v>45654599</v>
      </c>
      <c r="Z123" s="144">
        <f t="shared" si="132"/>
        <v>5429259</v>
      </c>
      <c r="AA123" s="152">
        <f t="shared" si="132"/>
        <v>51083858</v>
      </c>
      <c r="AB123" s="151">
        <f t="shared" si="132"/>
        <v>45654599</v>
      </c>
      <c r="AC123" s="144">
        <f t="shared" si="132"/>
        <v>5429259</v>
      </c>
      <c r="AD123" s="152">
        <f t="shared" si="132"/>
        <v>51083858</v>
      </c>
      <c r="AE123" s="151">
        <f t="shared" si="132"/>
        <v>37922003</v>
      </c>
      <c r="AF123" s="144">
        <f t="shared" si="132"/>
        <v>8960573</v>
      </c>
      <c r="AG123" s="152">
        <f t="shared" si="132"/>
        <v>46882576</v>
      </c>
      <c r="AH123" s="151">
        <f t="shared" si="132"/>
        <v>83949536</v>
      </c>
      <c r="AI123" s="144">
        <f t="shared" si="132"/>
        <v>83949536</v>
      </c>
      <c r="AJ123" s="153">
        <f t="shared" si="132"/>
        <v>88150818</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+IF(MARZO!S124=0,"",MARZO!S124)</f>
        <v>2010200-1</v>
      </c>
      <c r="T124" s="159" t="str">
        <f>+IF(MARZO!T124=0,"",MARZO!T124)</f>
        <v>Seguros</v>
      </c>
      <c r="U124" s="29">
        <f>+ENERO!U124</f>
        <v>42767476</v>
      </c>
      <c r="V124" s="17">
        <f>MARZO!V124+ABRIL!AL124</f>
        <v>0</v>
      </c>
      <c r="W124" s="17">
        <f>MARZO!W124+ABRIL!AM124</f>
        <v>0</v>
      </c>
      <c r="X124" s="20">
        <f t="shared" ref="X124:X139" si="133">SUM(U124:W124)</f>
        <v>42767476</v>
      </c>
      <c r="Y124" s="21">
        <f>MARZO!AA124</f>
        <v>22819107</v>
      </c>
      <c r="Z124" s="457">
        <v>0</v>
      </c>
      <c r="AA124" s="20">
        <f t="shared" ref="AA124:AA139" si="134">SUM(Y124:Z124)</f>
        <v>22819107</v>
      </c>
      <c r="AB124" s="21">
        <f>MARZO!AD124</f>
        <v>22819107</v>
      </c>
      <c r="AC124" s="457">
        <v>0</v>
      </c>
      <c r="AD124" s="20">
        <f t="shared" ref="AD124:AD139" si="135">SUM(AB124:AC124)</f>
        <v>22819107</v>
      </c>
      <c r="AE124" s="21">
        <f>MARZO!AG124</f>
        <v>17113105</v>
      </c>
      <c r="AF124" s="457">
        <v>5706002</v>
      </c>
      <c r="AG124" s="20">
        <f t="shared" ref="AG124:AG139" si="136">SUM(AE124:AF124)</f>
        <v>22819107</v>
      </c>
      <c r="AH124" s="21">
        <f t="shared" ref="AH124:AH139" si="137">X124-AA124</f>
        <v>19948369</v>
      </c>
      <c r="AI124" s="17">
        <f t="shared" ref="AI124:AI139" si="138">X124-AD124</f>
        <v>19948369</v>
      </c>
      <c r="AJ124" s="18">
        <f t="shared" ref="AJ124:AJ139" si="139">X124-AG124</f>
        <v>19948369</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+IF(MARZO!A125=0,"",MARZO!A125)</f>
        <v xml:space="preserve">TOTAL PRESUPUESTO DE INGRESOS </v>
      </c>
      <c r="B125" s="619"/>
      <c r="C125" s="605">
        <f t="shared" ref="C125:N125" si="140">C123+C121</f>
        <v>3631501012</v>
      </c>
      <c r="D125" s="621">
        <f t="shared" si="140"/>
        <v>0</v>
      </c>
      <c r="E125" s="621">
        <f t="shared" si="140"/>
        <v>58523183</v>
      </c>
      <c r="F125" s="622">
        <f t="shared" si="140"/>
        <v>3690024195</v>
      </c>
      <c r="G125" s="620">
        <f t="shared" si="140"/>
        <v>1174367376</v>
      </c>
      <c r="H125" s="621">
        <f t="shared" si="140"/>
        <v>339492489</v>
      </c>
      <c r="I125" s="622">
        <f t="shared" si="140"/>
        <v>1513859865</v>
      </c>
      <c r="J125" s="620">
        <f t="shared" si="140"/>
        <v>996268152</v>
      </c>
      <c r="K125" s="621">
        <f t="shared" si="140"/>
        <v>266168717</v>
      </c>
      <c r="L125" s="622">
        <f t="shared" si="140"/>
        <v>1262436869</v>
      </c>
      <c r="M125" s="620">
        <f t="shared" si="140"/>
        <v>2176164330</v>
      </c>
      <c r="N125" s="622">
        <f t="shared" si="140"/>
        <v>2427587326</v>
      </c>
      <c r="P125" s="605">
        <f>P123+P121</f>
        <v>0</v>
      </c>
      <c r="Q125" s="606">
        <f>Q123+Q121</f>
        <v>0</v>
      </c>
      <c r="R125" s="10"/>
      <c r="S125" s="155" t="str">
        <f>+IF(MARZO!S125=0,"",MARZO!S125)</f>
        <v>2010200-2</v>
      </c>
      <c r="T125" s="159" t="str">
        <f>+IF(MARZO!T125=0,"",MARZO!T125)</f>
        <v>Impresos y Publicaciones</v>
      </c>
      <c r="U125" s="29">
        <f>+ENERO!U125</f>
        <v>10257367</v>
      </c>
      <c r="V125" s="17">
        <f>MARZO!V125+ABRIL!AL125</f>
        <v>0</v>
      </c>
      <c r="W125" s="17">
        <f>MARZO!W125+ABRIL!AM125</f>
        <v>0</v>
      </c>
      <c r="X125" s="20">
        <f t="shared" si="133"/>
        <v>10257367</v>
      </c>
      <c r="Y125" s="21">
        <f>MARZO!AA125</f>
        <v>1158550</v>
      </c>
      <c r="Z125" s="457">
        <v>0</v>
      </c>
      <c r="AA125" s="20">
        <f t="shared" si="134"/>
        <v>1158550</v>
      </c>
      <c r="AB125" s="21">
        <f>MARZO!AD125</f>
        <v>1158550</v>
      </c>
      <c r="AC125" s="457">
        <v>0</v>
      </c>
      <c r="AD125" s="20">
        <f t="shared" si="135"/>
        <v>1158550</v>
      </c>
      <c r="AE125" s="21">
        <f>MARZO!AG125</f>
        <v>909000</v>
      </c>
      <c r="AF125" s="457">
        <v>249550</v>
      </c>
      <c r="AG125" s="20">
        <f t="shared" si="136"/>
        <v>1158550</v>
      </c>
      <c r="AH125" s="21">
        <f t="shared" si="137"/>
        <v>9098817</v>
      </c>
      <c r="AI125" s="17">
        <f t="shared" si="138"/>
        <v>9098817</v>
      </c>
      <c r="AJ125" s="18">
        <f t="shared" si="139"/>
        <v>9098817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+IF(MARZO!S126=0,"",MARZO!S126)</f>
        <v>2010200-3</v>
      </c>
      <c r="T126" s="159" t="str">
        <f>+IF(MARZO!T126=0,"",MARZO!T126)</f>
        <v xml:space="preserve">Servicios Públicos </v>
      </c>
      <c r="U126" s="29">
        <f>+ENERO!U126</f>
        <v>49280460</v>
      </c>
      <c r="V126" s="17">
        <f>MARZO!V126+ABRIL!AL126</f>
        <v>0</v>
      </c>
      <c r="W126" s="17">
        <f>MARZO!W126+ABRIL!AM126</f>
        <v>0</v>
      </c>
      <c r="X126" s="20">
        <f t="shared" si="133"/>
        <v>49280460</v>
      </c>
      <c r="Y126" s="21">
        <f>MARZO!AA126</f>
        <v>12804532</v>
      </c>
      <c r="Z126" s="457">
        <v>5219259</v>
      </c>
      <c r="AA126" s="20">
        <f t="shared" si="134"/>
        <v>18023791</v>
      </c>
      <c r="AB126" s="21">
        <f>MARZO!AD126</f>
        <v>12804532</v>
      </c>
      <c r="AC126" s="457">
        <v>5219259</v>
      </c>
      <c r="AD126" s="20">
        <f t="shared" si="135"/>
        <v>18023791</v>
      </c>
      <c r="AE126" s="21">
        <f>MARZO!AG126</f>
        <v>12781532</v>
      </c>
      <c r="AF126" s="457">
        <v>2743021</v>
      </c>
      <c r="AG126" s="20">
        <f t="shared" si="136"/>
        <v>15524553</v>
      </c>
      <c r="AH126" s="21">
        <f t="shared" si="137"/>
        <v>31256669</v>
      </c>
      <c r="AI126" s="17">
        <f t="shared" si="138"/>
        <v>31256669</v>
      </c>
      <c r="AJ126" s="18">
        <f t="shared" si="139"/>
        <v>33755907</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+IF(MARZO!S127=0,"",MARZO!S127)</f>
        <v>2010200-4</v>
      </c>
      <c r="T127" s="159" t="str">
        <f>+IF(MARZO!T127=0,"",MARZO!T127)</f>
        <v>Comunicaciones y Transportes</v>
      </c>
      <c r="U127" s="29">
        <f>+ENERO!U127</f>
        <v>8570980</v>
      </c>
      <c r="V127" s="17">
        <f>MARZO!V127+ABRIL!AL127</f>
        <v>0</v>
      </c>
      <c r="W127" s="17">
        <f>MARZO!W127+ABRIL!AM127</f>
        <v>0</v>
      </c>
      <c r="X127" s="20">
        <f t="shared" si="133"/>
        <v>8570980</v>
      </c>
      <c r="Y127" s="21">
        <f>MARZO!AA127</f>
        <v>747000</v>
      </c>
      <c r="Z127" s="457">
        <v>0</v>
      </c>
      <c r="AA127" s="20">
        <f t="shared" si="134"/>
        <v>747000</v>
      </c>
      <c r="AB127" s="21">
        <f>MARZO!AD127</f>
        <v>747000</v>
      </c>
      <c r="AC127" s="457">
        <v>0</v>
      </c>
      <c r="AD127" s="20">
        <f t="shared" si="135"/>
        <v>747000</v>
      </c>
      <c r="AE127" s="21">
        <f>MARZO!AG127</f>
        <v>0</v>
      </c>
      <c r="AF127" s="457">
        <v>52000</v>
      </c>
      <c r="AG127" s="20">
        <f t="shared" si="136"/>
        <v>52000</v>
      </c>
      <c r="AH127" s="21">
        <f t="shared" si="137"/>
        <v>7823980</v>
      </c>
      <c r="AI127" s="17">
        <f t="shared" si="138"/>
        <v>7823980</v>
      </c>
      <c r="AJ127" s="18">
        <f t="shared" si="139"/>
        <v>8518980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+IF(MARZO!S128=0,"",MARZO!S128)</f>
        <v>2010200-5</v>
      </c>
      <c r="T128" s="159" t="str">
        <f>+IF(MARZO!T128=0,"",MARZO!T128)</f>
        <v>Viáticos y Gastos de Viaje</v>
      </c>
      <c r="U128" s="29">
        <f>+ENERO!U128</f>
        <v>4306574</v>
      </c>
      <c r="V128" s="17">
        <f>MARZO!V128+ABRIL!AL128</f>
        <v>0</v>
      </c>
      <c r="W128" s="17">
        <f>MARZO!W128+ABRIL!AM128</f>
        <v>0</v>
      </c>
      <c r="X128" s="20">
        <f t="shared" si="133"/>
        <v>4306574</v>
      </c>
      <c r="Y128" s="21">
        <f>MARZO!AA128</f>
        <v>351120</v>
      </c>
      <c r="Z128" s="457">
        <v>27720</v>
      </c>
      <c r="AA128" s="20">
        <f t="shared" si="134"/>
        <v>378840</v>
      </c>
      <c r="AB128" s="21">
        <f>MARZO!AD128</f>
        <v>351120</v>
      </c>
      <c r="AC128" s="457">
        <v>27720</v>
      </c>
      <c r="AD128" s="20">
        <f t="shared" si="135"/>
        <v>378840</v>
      </c>
      <c r="AE128" s="21">
        <f>MARZO!AG128</f>
        <v>351120</v>
      </c>
      <c r="AF128" s="457">
        <v>27720</v>
      </c>
      <c r="AG128" s="20">
        <f t="shared" si="136"/>
        <v>378840</v>
      </c>
      <c r="AH128" s="21">
        <f t="shared" si="137"/>
        <v>3927734</v>
      </c>
      <c r="AI128" s="17">
        <f t="shared" si="138"/>
        <v>3927734</v>
      </c>
      <c r="AJ128" s="18">
        <f t="shared" si="139"/>
        <v>3927734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+IF(MARZO!S129=0,"",MARZO!S129)</f>
        <v>2010200-6</v>
      </c>
      <c r="T129" s="159" t="str">
        <f>+IF(MARZO!T129=0,"",MARZO!T129)</f>
        <v>Arrendamientos</v>
      </c>
      <c r="U129" s="29">
        <f>+ENERO!U129</f>
        <v>0</v>
      </c>
      <c r="V129" s="17">
        <f>MARZO!V129+ABRIL!AL129</f>
        <v>0</v>
      </c>
      <c r="W129" s="17">
        <f>MARZO!W129+ABRIL!AM129</f>
        <v>0</v>
      </c>
      <c r="X129" s="20">
        <f t="shared" si="133"/>
        <v>0</v>
      </c>
      <c r="Y129" s="21">
        <f>MARZO!AA129</f>
        <v>0</v>
      </c>
      <c r="Z129" s="457">
        <v>0</v>
      </c>
      <c r="AA129" s="20">
        <f t="shared" si="134"/>
        <v>0</v>
      </c>
      <c r="AB129" s="21">
        <f>MARZO!AD129</f>
        <v>0</v>
      </c>
      <c r="AC129" s="457">
        <v>0</v>
      </c>
      <c r="AD129" s="20">
        <f t="shared" si="135"/>
        <v>0</v>
      </c>
      <c r="AE129" s="21">
        <f>MARZO!AG129</f>
        <v>0</v>
      </c>
      <c r="AF129" s="457">
        <v>0</v>
      </c>
      <c r="AG129" s="20">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+IF(MARZO!S130=0,"",MARZO!S130)</f>
        <v>2010200-7</v>
      </c>
      <c r="T130" s="159" t="str">
        <f>+IF(MARZO!T130=0,"",MARZO!T130)</f>
        <v>Vigilancia y Aseo</v>
      </c>
      <c r="U130" s="29">
        <f>+ENERO!U130</f>
        <v>0</v>
      </c>
      <c r="V130" s="17">
        <f>MARZO!V130+ABRIL!AL130</f>
        <v>0</v>
      </c>
      <c r="W130" s="17">
        <f>MARZO!W130+ABRIL!AM130</f>
        <v>0</v>
      </c>
      <c r="X130" s="20">
        <f t="shared" si="133"/>
        <v>0</v>
      </c>
      <c r="Y130" s="21">
        <f>MARZO!AA130</f>
        <v>0</v>
      </c>
      <c r="Z130" s="457">
        <v>0</v>
      </c>
      <c r="AA130" s="20">
        <f t="shared" si="134"/>
        <v>0</v>
      </c>
      <c r="AB130" s="21">
        <f>MARZO!AD130</f>
        <v>0</v>
      </c>
      <c r="AC130" s="457">
        <v>0</v>
      </c>
      <c r="AD130" s="20">
        <f t="shared" si="135"/>
        <v>0</v>
      </c>
      <c r="AE130" s="21">
        <f>MARZO!AG130</f>
        <v>0</v>
      </c>
      <c r="AF130" s="457">
        <v>0</v>
      </c>
      <c r="AG130" s="20">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+IF(MARZO!S131=0,"",MARZO!S131)</f>
        <v>2010200-8</v>
      </c>
      <c r="T131" s="159" t="str">
        <f>+IF(MARZO!T131=0,"",MARZO!T131)</f>
        <v>Bienestar Social</v>
      </c>
      <c r="U131" s="29">
        <f>+ENERO!U131</f>
        <v>6347410</v>
      </c>
      <c r="V131" s="17">
        <f>MARZO!V131+ABRIL!AL131</f>
        <v>0</v>
      </c>
      <c r="W131" s="17">
        <f>MARZO!W131+ABRIL!AM131</f>
        <v>0</v>
      </c>
      <c r="X131" s="20">
        <f t="shared" si="133"/>
        <v>6347410</v>
      </c>
      <c r="Y131" s="21">
        <f>MARZO!AA131</f>
        <v>0</v>
      </c>
      <c r="Z131" s="457">
        <v>0</v>
      </c>
      <c r="AA131" s="20">
        <f t="shared" si="134"/>
        <v>0</v>
      </c>
      <c r="AB131" s="21">
        <f>MARZO!AD131</f>
        <v>0</v>
      </c>
      <c r="AC131" s="457">
        <v>0</v>
      </c>
      <c r="AD131" s="20">
        <f t="shared" si="135"/>
        <v>0</v>
      </c>
      <c r="AE131" s="21">
        <f>MARZO!AG131</f>
        <v>0</v>
      </c>
      <c r="AF131" s="457">
        <v>0</v>
      </c>
      <c r="AG131" s="20">
        <f t="shared" si="136"/>
        <v>0</v>
      </c>
      <c r="AH131" s="21">
        <f t="shared" si="137"/>
        <v>6347410</v>
      </c>
      <c r="AI131" s="17">
        <f t="shared" si="138"/>
        <v>6347410</v>
      </c>
      <c r="AJ131" s="18">
        <f t="shared" si="139"/>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+IF(MARZO!S132=0,"",MARZO!S132)</f>
        <v>2010200-9</v>
      </c>
      <c r="T132" s="159" t="str">
        <f>+IF(MARZO!T132=0,"",MARZO!T132)</f>
        <v>Capacitación, estimulos, incentivos, programa de calidad</v>
      </c>
      <c r="U132" s="29">
        <f>+ENERO!U132</f>
        <v>4142898</v>
      </c>
      <c r="V132" s="17">
        <f>MARZO!V132+ABRIL!AL132</f>
        <v>0</v>
      </c>
      <c r="W132" s="17">
        <f>MARZO!W132+ABRIL!AM132</f>
        <v>0</v>
      </c>
      <c r="X132" s="20">
        <f t="shared" si="133"/>
        <v>4142898</v>
      </c>
      <c r="Y132" s="21">
        <f>MARZO!AA132</f>
        <v>1293400</v>
      </c>
      <c r="Z132" s="457">
        <v>0</v>
      </c>
      <c r="AA132" s="20">
        <f t="shared" si="134"/>
        <v>1293400</v>
      </c>
      <c r="AB132" s="21">
        <f>MARZO!AD132</f>
        <v>1293400</v>
      </c>
      <c r="AC132" s="457">
        <v>0</v>
      </c>
      <c r="AD132" s="20">
        <f t="shared" si="135"/>
        <v>1293400</v>
      </c>
      <c r="AE132" s="21">
        <f>MARZO!AG132</f>
        <v>545200</v>
      </c>
      <c r="AF132" s="457">
        <v>0</v>
      </c>
      <c r="AG132" s="20">
        <f t="shared" si="136"/>
        <v>545200</v>
      </c>
      <c r="AH132" s="21">
        <f t="shared" si="137"/>
        <v>2849498</v>
      </c>
      <c r="AI132" s="17">
        <f t="shared" si="138"/>
        <v>2849498</v>
      </c>
      <c r="AJ132" s="18">
        <f t="shared" si="139"/>
        <v>3597698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+IF(MARZO!S133=0,"",MARZO!S133)</f>
        <v>2010200-10</v>
      </c>
      <c r="T133" s="159" t="str">
        <f>+IF(MARZO!T133=0,"",MARZO!T133)</f>
        <v>Pagos otras IPS</v>
      </c>
      <c r="U133" s="29">
        <f>+ENERO!U133</f>
        <v>0</v>
      </c>
      <c r="V133" s="17">
        <f>MARZO!V133+ABRIL!AL133</f>
        <v>0</v>
      </c>
      <c r="W133" s="17">
        <f>MARZO!W133+ABRIL!AM133</f>
        <v>0</v>
      </c>
      <c r="X133" s="20">
        <f t="shared" si="133"/>
        <v>0</v>
      </c>
      <c r="Y133" s="21">
        <f>MARZO!AA133</f>
        <v>0</v>
      </c>
      <c r="Z133" s="457">
        <v>0</v>
      </c>
      <c r="AA133" s="20">
        <f t="shared" si="134"/>
        <v>0</v>
      </c>
      <c r="AB133" s="21">
        <f>MARZO!AD133</f>
        <v>0</v>
      </c>
      <c r="AC133" s="457">
        <v>0</v>
      </c>
      <c r="AD133" s="20">
        <f t="shared" si="135"/>
        <v>0</v>
      </c>
      <c r="AE133" s="21">
        <f>MARZO!AG133</f>
        <v>0</v>
      </c>
      <c r="AF133" s="457">
        <v>0</v>
      </c>
      <c r="AG133" s="20">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+IF(MARZO!S134=0,"",MARZO!S134)</f>
        <v>2010200-11</v>
      </c>
      <c r="T134" s="159" t="str">
        <f>+IF(MARZO!T134=0,"",MARZO!T134)</f>
        <v>Gastos financieros</v>
      </c>
      <c r="U134" s="29">
        <f>+ENERO!U134</f>
        <v>3294188</v>
      </c>
      <c r="V134" s="17">
        <f>MARZO!V134+ABRIL!AL134</f>
        <v>0</v>
      </c>
      <c r="W134" s="17">
        <f>MARZO!W134+ABRIL!AM134</f>
        <v>0</v>
      </c>
      <c r="X134" s="20">
        <f t="shared" si="133"/>
        <v>3294188</v>
      </c>
      <c r="Y134" s="21">
        <f>MARZO!AA134</f>
        <v>414849</v>
      </c>
      <c r="Z134" s="457">
        <v>182280</v>
      </c>
      <c r="AA134" s="20">
        <f t="shared" si="134"/>
        <v>597129</v>
      </c>
      <c r="AB134" s="21">
        <f>MARZO!AD134</f>
        <v>414849</v>
      </c>
      <c r="AC134" s="457">
        <v>182280</v>
      </c>
      <c r="AD134" s="20">
        <f t="shared" si="135"/>
        <v>597129</v>
      </c>
      <c r="AE134" s="21">
        <f>MARZO!AG134</f>
        <v>414849</v>
      </c>
      <c r="AF134" s="457">
        <v>182280</v>
      </c>
      <c r="AG134" s="20">
        <f t="shared" si="136"/>
        <v>597129</v>
      </c>
      <c r="AH134" s="21">
        <f t="shared" si="137"/>
        <v>2697059</v>
      </c>
      <c r="AI134" s="17">
        <f t="shared" si="138"/>
        <v>2697059</v>
      </c>
      <c r="AJ134" s="18">
        <f t="shared" si="139"/>
        <v>2697059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+IF(MARZO!S135=0,"",MARZO!S135)</f>
        <v>2010200-12</v>
      </c>
      <c r="T135" s="159" t="str">
        <f>+IF(MARZO!T135=0,"",MARZO!T135)</f>
        <v/>
      </c>
      <c r="U135" s="29">
        <f>+ENERO!U135</f>
        <v>0</v>
      </c>
      <c r="V135" s="17">
        <f>MARZO!V135+ABRIL!AL135</f>
        <v>0</v>
      </c>
      <c r="W135" s="17">
        <f>MARZO!W135+ABRIL!AM135</f>
        <v>0</v>
      </c>
      <c r="X135" s="20">
        <f t="shared" si="133"/>
        <v>0</v>
      </c>
      <c r="Y135" s="21">
        <f>MARZO!AA135</f>
        <v>0</v>
      </c>
      <c r="Z135" s="457">
        <v>0</v>
      </c>
      <c r="AA135" s="20">
        <f t="shared" si="134"/>
        <v>0</v>
      </c>
      <c r="AB135" s="21">
        <f>MARZO!AD135</f>
        <v>0</v>
      </c>
      <c r="AC135" s="457">
        <v>0</v>
      </c>
      <c r="AD135" s="20">
        <f t="shared" si="135"/>
        <v>0</v>
      </c>
      <c r="AE135" s="21">
        <f>MARZO!AG135</f>
        <v>0</v>
      </c>
      <c r="AF135" s="457">
        <v>0</v>
      </c>
      <c r="AG135" s="20">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+IF(MARZO!S136=0,"",MARZO!S136)</f>
        <v>2010200-13</v>
      </c>
      <c r="T136" s="159" t="str">
        <f>+IF(MARZO!T136=0,"",MARZO!T136)</f>
        <v/>
      </c>
      <c r="U136" s="29">
        <f>+ENERO!U136</f>
        <v>0</v>
      </c>
      <c r="V136" s="17">
        <f>MARZO!V136+ABRIL!AL136</f>
        <v>0</v>
      </c>
      <c r="W136" s="17">
        <f>MARZO!W136+ABRIL!AM136</f>
        <v>0</v>
      </c>
      <c r="X136" s="20">
        <f t="shared" si="133"/>
        <v>0</v>
      </c>
      <c r="Y136" s="21">
        <f>MARZO!AA136</f>
        <v>0</v>
      </c>
      <c r="Z136" s="457">
        <v>0</v>
      </c>
      <c r="AA136" s="20">
        <f t="shared" si="134"/>
        <v>0</v>
      </c>
      <c r="AB136" s="21">
        <f>MARZO!AD136</f>
        <v>0</v>
      </c>
      <c r="AC136" s="457">
        <v>0</v>
      </c>
      <c r="AD136" s="20">
        <f t="shared" si="135"/>
        <v>0</v>
      </c>
      <c r="AE136" s="21">
        <f>MARZO!AG136</f>
        <v>0</v>
      </c>
      <c r="AF136" s="457">
        <v>0</v>
      </c>
      <c r="AG136" s="20">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+IF(MARZO!S137=0,"",MARZO!S137)</f>
        <v>2010020-14</v>
      </c>
      <c r="T137" s="159" t="str">
        <f>+IF(MARZO!T137=0,"",MARZO!T137)</f>
        <v/>
      </c>
      <c r="U137" s="29">
        <f>+ENERO!U137</f>
        <v>0</v>
      </c>
      <c r="V137" s="17">
        <f>MARZO!V137+ABRIL!AL137</f>
        <v>0</v>
      </c>
      <c r="W137" s="17">
        <f>MARZO!W137+ABRIL!AM137</f>
        <v>0</v>
      </c>
      <c r="X137" s="20">
        <f t="shared" si="133"/>
        <v>0</v>
      </c>
      <c r="Y137" s="21">
        <f>MARZO!AA137</f>
        <v>0</v>
      </c>
      <c r="Z137" s="457">
        <v>0</v>
      </c>
      <c r="AA137" s="20">
        <f t="shared" si="134"/>
        <v>0</v>
      </c>
      <c r="AB137" s="21">
        <f>MARZO!AD137</f>
        <v>0</v>
      </c>
      <c r="AC137" s="457">
        <v>0</v>
      </c>
      <c r="AD137" s="20">
        <f t="shared" si="135"/>
        <v>0</v>
      </c>
      <c r="AE137" s="21">
        <f>MARZO!AG137</f>
        <v>0</v>
      </c>
      <c r="AF137" s="457">
        <v>0</v>
      </c>
      <c r="AG137" s="20">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+IF(MARZO!S138=0,"",MARZO!S138)</f>
        <v>2010200-15</v>
      </c>
      <c r="T138" s="159" t="str">
        <f>+IF(MARZO!T138=0,"",MARZO!T138)</f>
        <v/>
      </c>
      <c r="U138" s="29">
        <f>+ENERO!U138</f>
        <v>0</v>
      </c>
      <c r="V138" s="17">
        <f>MARZO!V138+ABRIL!AL138</f>
        <v>0</v>
      </c>
      <c r="W138" s="17">
        <f>MARZO!W138+ABRIL!AM138</f>
        <v>0</v>
      </c>
      <c r="X138" s="20">
        <f t="shared" si="133"/>
        <v>0</v>
      </c>
      <c r="Y138" s="21">
        <f>MARZO!AA138</f>
        <v>0</v>
      </c>
      <c r="Z138" s="457">
        <v>0</v>
      </c>
      <c r="AA138" s="20">
        <f t="shared" si="134"/>
        <v>0</v>
      </c>
      <c r="AB138" s="21">
        <f>MARZO!AD138</f>
        <v>0</v>
      </c>
      <c r="AC138" s="457">
        <v>0</v>
      </c>
      <c r="AD138" s="20">
        <f t="shared" si="135"/>
        <v>0</v>
      </c>
      <c r="AE138" s="21">
        <f>MARZO!AG138</f>
        <v>0</v>
      </c>
      <c r="AF138" s="457">
        <v>0</v>
      </c>
      <c r="AG138" s="20">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+IF(MARZO!S139=0,"",MARZO!S139)</f>
        <v>2010299</v>
      </c>
      <c r="T139" s="159" t="str">
        <f>+IF(MARZO!T139=0,"",MARZO!T139)</f>
        <v>Vigencias Anteriores</v>
      </c>
      <c r="U139" s="29">
        <f>+ENERO!U139</f>
        <v>2000000</v>
      </c>
      <c r="V139" s="17">
        <f>MARZO!V139+ABRIL!AL139</f>
        <v>0</v>
      </c>
      <c r="W139" s="17">
        <f>MARZO!W139+ABRIL!AM139</f>
        <v>4066041</v>
      </c>
      <c r="X139" s="20">
        <f t="shared" si="133"/>
        <v>6066041</v>
      </c>
      <c r="Y139" s="21">
        <f>MARZO!AA139</f>
        <v>6066041</v>
      </c>
      <c r="Z139" s="457">
        <v>0</v>
      </c>
      <c r="AA139" s="20">
        <f t="shared" si="134"/>
        <v>6066041</v>
      </c>
      <c r="AB139" s="21">
        <f>MARZO!AD139</f>
        <v>6066041</v>
      </c>
      <c r="AC139" s="457">
        <v>0</v>
      </c>
      <c r="AD139" s="20">
        <f t="shared" si="135"/>
        <v>6066041</v>
      </c>
      <c r="AE139" s="21">
        <f>MARZO!AG139</f>
        <v>5807197</v>
      </c>
      <c r="AF139" s="457">
        <v>0</v>
      </c>
      <c r="AG139" s="20">
        <f t="shared" si="136"/>
        <v>5807197</v>
      </c>
      <c r="AH139" s="21">
        <f t="shared" si="137"/>
        <v>0</v>
      </c>
      <c r="AI139" s="17">
        <f t="shared" si="138"/>
        <v>0</v>
      </c>
      <c r="AJ139" s="18">
        <f t="shared" si="139"/>
        <v>258844</v>
      </c>
      <c r="AK139" s="10"/>
      <c r="AL139" s="455">
        <v>0</v>
      </c>
      <c r="AM139" s="458">
        <v>0</v>
      </c>
      <c r="AN139" s="10"/>
      <c r="AO139" s="365"/>
      <c r="AP139" s="365"/>
      <c r="AQ139" s="365"/>
    </row>
    <row r="140" spans="1:52" s="467" customFormat="1" ht="15.75" x14ac:dyDescent="0.2">
      <c r="A140" s="623"/>
      <c r="N140" s="10"/>
      <c r="R140" s="10"/>
      <c r="S140" s="448" t="str">
        <f>+IF(MARZO!S140=0,"",MARZO!S140)</f>
        <v/>
      </c>
      <c r="T140" s="649" t="str">
        <f>+IF(MARZO!T140=0,"",MARZO!T140)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+IF(MARZO!S141=0,"",MARZO!S141)</f>
        <v>2010300</v>
      </c>
      <c r="T141" s="158" t="str">
        <f>+IF(MARZO!T141=0,"",MARZO!T141)</f>
        <v>Impuestos y Multas</v>
      </c>
      <c r="U141" s="157">
        <f t="shared" ref="U141:AJ141" si="141">U142+U143</f>
        <v>0</v>
      </c>
      <c r="V141" s="144">
        <f t="shared" si="141"/>
        <v>0</v>
      </c>
      <c r="W141" s="144">
        <f t="shared" si="141"/>
        <v>1000000</v>
      </c>
      <c r="X141" s="152">
        <f t="shared" si="141"/>
        <v>1000000</v>
      </c>
      <c r="Y141" s="151">
        <f t="shared" si="141"/>
        <v>0</v>
      </c>
      <c r="Z141" s="144">
        <f t="shared" si="141"/>
        <v>0</v>
      </c>
      <c r="AA141" s="152">
        <f t="shared" si="141"/>
        <v>0</v>
      </c>
      <c r="AB141" s="151">
        <f t="shared" si="141"/>
        <v>0</v>
      </c>
      <c r="AC141" s="144">
        <f t="shared" si="141"/>
        <v>0</v>
      </c>
      <c r="AD141" s="152">
        <f t="shared" si="141"/>
        <v>0</v>
      </c>
      <c r="AE141" s="151">
        <f t="shared" si="141"/>
        <v>0</v>
      </c>
      <c r="AF141" s="144">
        <f t="shared" si="141"/>
        <v>0</v>
      </c>
      <c r="AG141" s="152">
        <f t="shared" si="141"/>
        <v>0</v>
      </c>
      <c r="AH141" s="151">
        <f t="shared" si="141"/>
        <v>1000000</v>
      </c>
      <c r="AI141" s="144">
        <f t="shared" si="141"/>
        <v>1000000</v>
      </c>
      <c r="AJ141" s="153">
        <f t="shared" si="141"/>
        <v>1000000</v>
      </c>
      <c r="AK141" s="12"/>
      <c r="AL141" s="151">
        <f>AL142+AL143</f>
        <v>0</v>
      </c>
      <c r="AM141" s="153">
        <f>AM142+AM143</f>
        <v>0</v>
      </c>
      <c r="AN141" s="10"/>
    </row>
    <row r="142" spans="1:52" s="467" customFormat="1" x14ac:dyDescent="0.2">
      <c r="A142" s="623"/>
      <c r="N142" s="10"/>
      <c r="R142" s="10"/>
      <c r="S142" s="155" t="str">
        <f>+IF(MARZO!S142=0,"",MARZO!S142)</f>
        <v>2010300-1</v>
      </c>
      <c r="T142" s="159" t="str">
        <f>+IF(MARZO!T142=0,"",MARZO!T142)</f>
        <v>Impuestos (Predial, Vehiculos, Otros)</v>
      </c>
      <c r="U142" s="29">
        <f>+ENERO!U142</f>
        <v>0</v>
      </c>
      <c r="V142" s="17">
        <f>MARZO!V142+ABRIL!AL142</f>
        <v>0</v>
      </c>
      <c r="W142" s="17">
        <f>MARZO!W142+ABRIL!AM142</f>
        <v>1000000</v>
      </c>
      <c r="X142" s="20">
        <f>SUM(U142:W142)</f>
        <v>1000000</v>
      </c>
      <c r="Y142" s="21">
        <f>MARZO!AA142</f>
        <v>0</v>
      </c>
      <c r="Z142" s="457">
        <v>0</v>
      </c>
      <c r="AA142" s="20">
        <f>SUM(Y142:Z142)</f>
        <v>0</v>
      </c>
      <c r="AB142" s="21">
        <f>MARZO!AD142</f>
        <v>0</v>
      </c>
      <c r="AC142" s="457">
        <v>0</v>
      </c>
      <c r="AD142" s="20">
        <f>SUM(AB142:AC142)</f>
        <v>0</v>
      </c>
      <c r="AE142" s="21">
        <f>MARZO!AG142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N143" s="10"/>
      <c r="R143" s="10"/>
      <c r="S143" s="155">
        <f>+IF(MARZO!S143=0,"",MARZO!S143)</f>
        <v>2010399</v>
      </c>
      <c r="T143" s="159" t="str">
        <f>+IF(MARZO!T143=0,"",MARZO!T143)</f>
        <v>Vigencias Anteriores</v>
      </c>
      <c r="U143" s="29">
        <f>+ENERO!U143</f>
        <v>0</v>
      </c>
      <c r="V143" s="17">
        <f>MARZO!V143+ABRIL!AL143</f>
        <v>0</v>
      </c>
      <c r="W143" s="17">
        <f>MARZO!W143+ABRIL!AM143</f>
        <v>0</v>
      </c>
      <c r="X143" s="20">
        <f>SUM(U143:W143)</f>
        <v>0</v>
      </c>
      <c r="Y143" s="21">
        <f>MARZO!AA143</f>
        <v>0</v>
      </c>
      <c r="Z143" s="457">
        <v>0</v>
      </c>
      <c r="AA143" s="20">
        <f>SUM(Y143:Z143)</f>
        <v>0</v>
      </c>
      <c r="AB143" s="21">
        <f>MARZO!AD143</f>
        <v>0</v>
      </c>
      <c r="AC143" s="457">
        <v>0</v>
      </c>
      <c r="AD143" s="20">
        <f>SUM(AB143:AC143)</f>
        <v>0</v>
      </c>
      <c r="AE143" s="21">
        <f>MARZO!AG143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+IF(MARZO!S144=0,"",MARZO!S144)</f>
        <v/>
      </c>
      <c r="T144" s="649" t="str">
        <f>+IF(MARZO!T144=0,"",MARZO!T144)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+IF(MARZO!S145=0,"",MARZO!S145)</f>
        <v>2020010</v>
      </c>
      <c r="T145" s="470" t="str">
        <f>+IF(MARZO!T145=0,"",MARZO!T145)</f>
        <v>Gastos de Operación</v>
      </c>
      <c r="U145" s="157">
        <f t="shared" ref="U145:AJ145" si="142">U147+U155</f>
        <v>378163463</v>
      </c>
      <c r="V145" s="144">
        <f t="shared" si="142"/>
        <v>-746499</v>
      </c>
      <c r="W145" s="144">
        <f t="shared" si="142"/>
        <v>14287532</v>
      </c>
      <c r="X145" s="152">
        <f t="shared" si="142"/>
        <v>391704496</v>
      </c>
      <c r="Y145" s="151">
        <f t="shared" si="142"/>
        <v>88526036</v>
      </c>
      <c r="Z145" s="144">
        <f t="shared" si="142"/>
        <v>25261145</v>
      </c>
      <c r="AA145" s="152">
        <f t="shared" si="142"/>
        <v>113787181</v>
      </c>
      <c r="AB145" s="151">
        <f t="shared" si="142"/>
        <v>88526036</v>
      </c>
      <c r="AC145" s="144">
        <f t="shared" si="142"/>
        <v>25261145</v>
      </c>
      <c r="AD145" s="152">
        <f t="shared" si="142"/>
        <v>113787181</v>
      </c>
      <c r="AE145" s="151">
        <f t="shared" si="142"/>
        <v>56781952</v>
      </c>
      <c r="AF145" s="144">
        <f t="shared" si="142"/>
        <v>18251182</v>
      </c>
      <c r="AG145" s="152">
        <f t="shared" si="142"/>
        <v>75033134</v>
      </c>
      <c r="AH145" s="151">
        <f t="shared" si="142"/>
        <v>277917315</v>
      </c>
      <c r="AI145" s="144">
        <f t="shared" si="142"/>
        <v>277917315</v>
      </c>
      <c r="AJ145" s="153">
        <f t="shared" si="142"/>
        <v>316671362</v>
      </c>
      <c r="AK145" s="12"/>
      <c r="AL145" s="151">
        <f>AL147+AL155</f>
        <v>0</v>
      </c>
      <c r="AM145" s="153">
        <f>AM147+AM155</f>
        <v>0</v>
      </c>
      <c r="AN145" s="10"/>
    </row>
    <row r="146" spans="1:40" s="467" customFormat="1" x14ac:dyDescent="0.2">
      <c r="A146" s="623"/>
      <c r="N146" s="10"/>
      <c r="R146" s="10"/>
      <c r="S146" s="11" t="str">
        <f>+IF(MARZO!S146=0,"",MARZO!S146)</f>
        <v/>
      </c>
      <c r="T146" s="55" t="str">
        <f>+IF(MARZO!T146=0,"",MARZO!T146)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+IF(MARZO!S147=0,"",MARZO!S147)</f>
        <v>2020100</v>
      </c>
      <c r="T147" s="158" t="str">
        <f>+IF(MARZO!T147=0,"",MARZO!T147)</f>
        <v>Adquisición de bienes</v>
      </c>
      <c r="U147" s="157">
        <f t="shared" ref="U147:AJ147" si="143">SUM(U148:U149)+U153</f>
        <v>164034265</v>
      </c>
      <c r="V147" s="144">
        <f t="shared" si="143"/>
        <v>1294826</v>
      </c>
      <c r="W147" s="144">
        <f t="shared" si="143"/>
        <v>14287532</v>
      </c>
      <c r="X147" s="152">
        <f t="shared" si="143"/>
        <v>179616623</v>
      </c>
      <c r="Y147" s="151">
        <f t="shared" si="143"/>
        <v>49591373</v>
      </c>
      <c r="Z147" s="144">
        <f t="shared" si="143"/>
        <v>11839730</v>
      </c>
      <c r="AA147" s="152">
        <f t="shared" si="143"/>
        <v>61431103</v>
      </c>
      <c r="AB147" s="151">
        <f t="shared" si="143"/>
        <v>49591373</v>
      </c>
      <c r="AC147" s="144">
        <f t="shared" si="143"/>
        <v>11839730</v>
      </c>
      <c r="AD147" s="152">
        <f t="shared" si="143"/>
        <v>61431103</v>
      </c>
      <c r="AE147" s="151">
        <f t="shared" si="143"/>
        <v>36018113</v>
      </c>
      <c r="AF147" s="144">
        <f t="shared" si="143"/>
        <v>8660890</v>
      </c>
      <c r="AG147" s="152">
        <f t="shared" si="143"/>
        <v>44679003</v>
      </c>
      <c r="AH147" s="151">
        <f t="shared" si="143"/>
        <v>118185520</v>
      </c>
      <c r="AI147" s="144">
        <f t="shared" si="143"/>
        <v>118185520</v>
      </c>
      <c r="AJ147" s="153">
        <f t="shared" si="143"/>
        <v>134937620</v>
      </c>
      <c r="AK147" s="10"/>
      <c r="AL147" s="151">
        <f>SUM(AL148:AL149)+AL153</f>
        <v>0</v>
      </c>
      <c r="AM147" s="153">
        <f>SUM(AM148:AM149)+AM153</f>
        <v>0</v>
      </c>
      <c r="AN147" s="10"/>
    </row>
    <row r="148" spans="1:40" s="467" customFormat="1" x14ac:dyDescent="0.2">
      <c r="A148" s="623"/>
      <c r="N148" s="10"/>
      <c r="R148" s="10"/>
      <c r="S148" s="155">
        <f>+IF(MARZO!S148=0,"",MARZO!S148)</f>
        <v>2020101</v>
      </c>
      <c r="T148" s="159" t="str">
        <f>+IF(MARZO!T148=0,"",MARZO!T148)</f>
        <v>Mantenimiento Hospitalario</v>
      </c>
      <c r="U148" s="29">
        <f>+ENERO!U148</f>
        <v>73185858</v>
      </c>
      <c r="V148" s="17">
        <f>MARZO!V148+ABRIL!AL148</f>
        <v>0</v>
      </c>
      <c r="W148" s="17">
        <f>MARZO!W148+ABRIL!AM148</f>
        <v>0</v>
      </c>
      <c r="X148" s="20">
        <f>SUM(U148:W148)</f>
        <v>73185858</v>
      </c>
      <c r="Y148" s="21">
        <f>MARZO!AA148</f>
        <v>12057757</v>
      </c>
      <c r="Z148" s="457">
        <v>622572</v>
      </c>
      <c r="AA148" s="20">
        <f>SUM(Y148:Z148)</f>
        <v>12680329</v>
      </c>
      <c r="AB148" s="21">
        <f>MARZO!AD148</f>
        <v>12057757</v>
      </c>
      <c r="AC148" s="457">
        <v>622572</v>
      </c>
      <c r="AD148" s="20">
        <f>SUM(AB148:AC148)</f>
        <v>12680329</v>
      </c>
      <c r="AE148" s="21">
        <f>MARZO!AG148</f>
        <v>8279433</v>
      </c>
      <c r="AF148" s="457">
        <v>0</v>
      </c>
      <c r="AG148" s="20">
        <f>SUM(AE148:AF148)</f>
        <v>8279433</v>
      </c>
      <c r="AH148" s="21">
        <f>X148-AA148</f>
        <v>60505529</v>
      </c>
      <c r="AI148" s="17">
        <f>X148-AD148</f>
        <v>60505529</v>
      </c>
      <c r="AJ148" s="18">
        <f>X148-AG148</f>
        <v>64906425</v>
      </c>
      <c r="AK148" s="10"/>
      <c r="AL148" s="455">
        <v>0</v>
      </c>
      <c r="AM148" s="458">
        <v>0</v>
      </c>
      <c r="AN148" s="10"/>
    </row>
    <row r="149" spans="1:40" s="467" customFormat="1" x14ac:dyDescent="0.2">
      <c r="A149" s="623"/>
      <c r="N149" s="10"/>
      <c r="R149" s="10"/>
      <c r="S149" s="155">
        <f>+IF(MARZO!S149=0,"",MARZO!S149)</f>
        <v>2020102</v>
      </c>
      <c r="T149" s="159" t="str">
        <f>+IF(MARZO!T149=0,"",MARZO!T149)</f>
        <v>Otros</v>
      </c>
      <c r="U149" s="29">
        <f t="shared" ref="U149:AJ149" si="144">SUM(U150:U152)</f>
        <v>86848407</v>
      </c>
      <c r="V149" s="17">
        <f t="shared" si="144"/>
        <v>-3075665</v>
      </c>
      <c r="W149" s="17">
        <f t="shared" si="144"/>
        <v>5000000</v>
      </c>
      <c r="X149" s="20">
        <f t="shared" si="144"/>
        <v>88772742</v>
      </c>
      <c r="Y149" s="21">
        <f t="shared" si="144"/>
        <v>19875593</v>
      </c>
      <c r="Z149" s="169">
        <f t="shared" si="144"/>
        <v>11217158</v>
      </c>
      <c r="AA149" s="20">
        <f t="shared" si="144"/>
        <v>31092751</v>
      </c>
      <c r="AB149" s="21">
        <f t="shared" si="144"/>
        <v>19875593</v>
      </c>
      <c r="AC149" s="169">
        <f t="shared" si="144"/>
        <v>11217158</v>
      </c>
      <c r="AD149" s="20">
        <f t="shared" si="144"/>
        <v>31092751</v>
      </c>
      <c r="AE149" s="21">
        <f t="shared" si="144"/>
        <v>10897021</v>
      </c>
      <c r="AF149" s="169">
        <f t="shared" si="144"/>
        <v>8660890</v>
      </c>
      <c r="AG149" s="20">
        <f t="shared" si="144"/>
        <v>19557911</v>
      </c>
      <c r="AH149" s="21">
        <f t="shared" si="144"/>
        <v>57679991</v>
      </c>
      <c r="AI149" s="17">
        <f t="shared" si="144"/>
        <v>57679991</v>
      </c>
      <c r="AJ149" s="18">
        <f t="shared" si="144"/>
        <v>69214831</v>
      </c>
      <c r="AK149" s="10"/>
      <c r="AL149" s="31">
        <f>SUM(AL150:AL152)</f>
        <v>0</v>
      </c>
      <c r="AM149" s="28">
        <f>SUM(AM150:AM152)</f>
        <v>0</v>
      </c>
      <c r="AN149" s="10"/>
    </row>
    <row r="150" spans="1:40" s="467" customFormat="1" x14ac:dyDescent="0.2">
      <c r="A150" s="623"/>
      <c r="N150" s="10"/>
      <c r="R150" s="10"/>
      <c r="S150" s="156" t="str">
        <f>+IF(MARZO!S150=0,"",MARZO!S150)</f>
        <v>2020102-1</v>
      </c>
      <c r="T150" s="159" t="str">
        <f>+IF(MARZO!T150=0,"",MARZO!T150)</f>
        <v>Compra de Equipo e Instr. Mco. y Laborat.</v>
      </c>
      <c r="U150" s="29">
        <f>+ENERO!U150</f>
        <v>36341462</v>
      </c>
      <c r="V150" s="17">
        <f>MARZO!V150+ABRIL!AL150</f>
        <v>-3075665</v>
      </c>
      <c r="W150" s="17">
        <f>MARZO!W150+ABRIL!AM150</f>
        <v>5000000</v>
      </c>
      <c r="X150" s="20">
        <f>SUM(U150:W150)</f>
        <v>38265797</v>
      </c>
      <c r="Y150" s="21">
        <f>MARZO!AA150</f>
        <v>3074000</v>
      </c>
      <c r="Z150" s="457">
        <v>3139680</v>
      </c>
      <c r="AA150" s="20">
        <f>SUM(Y150:Z150)</f>
        <v>6213680</v>
      </c>
      <c r="AB150" s="21">
        <f>MARZO!AD150</f>
        <v>3074000</v>
      </c>
      <c r="AC150" s="457">
        <v>3139680</v>
      </c>
      <c r="AD150" s="20">
        <f>SUM(AB150:AC150)</f>
        <v>6213680</v>
      </c>
      <c r="AE150" s="21">
        <f>MARZO!AG150</f>
        <v>0</v>
      </c>
      <c r="AF150" s="457">
        <v>0</v>
      </c>
      <c r="AG150" s="20">
        <f>SUM(AE150:AF150)</f>
        <v>0</v>
      </c>
      <c r="AH150" s="21">
        <f>X150-AA150</f>
        <v>32052117</v>
      </c>
      <c r="AI150" s="17">
        <f>X150-AD150</f>
        <v>32052117</v>
      </c>
      <c r="AJ150" s="18">
        <f>X150-AG150</f>
        <v>38265797</v>
      </c>
      <c r="AK150" s="10"/>
      <c r="AL150" s="455">
        <v>0</v>
      </c>
      <c r="AM150" s="458">
        <v>0</v>
      </c>
      <c r="AN150" s="10"/>
    </row>
    <row r="151" spans="1:40" s="467" customFormat="1" x14ac:dyDescent="0.2">
      <c r="A151" s="623"/>
      <c r="N151" s="10"/>
      <c r="R151" s="10"/>
      <c r="S151" s="156" t="str">
        <f>+IF(MARZO!S151=0,"",MARZO!S151)</f>
        <v>2020102-2</v>
      </c>
      <c r="T151" s="159" t="str">
        <f>+IF(MARZO!T151=0,"",MARZO!T151)</f>
        <v>Materiales</v>
      </c>
      <c r="U151" s="29">
        <f>+ENERO!U151</f>
        <v>17885632</v>
      </c>
      <c r="V151" s="17">
        <f>MARZO!V151+ABRIL!AL151</f>
        <v>0</v>
      </c>
      <c r="W151" s="17">
        <f>MARZO!W151+ABRIL!AM151</f>
        <v>0</v>
      </c>
      <c r="X151" s="20">
        <f>SUM(U151:W151)</f>
        <v>17885632</v>
      </c>
      <c r="Y151" s="21">
        <f>MARZO!AA151</f>
        <v>4515160</v>
      </c>
      <c r="Z151" s="457">
        <v>5202360</v>
      </c>
      <c r="AA151" s="20">
        <f>SUM(Y151:Z151)</f>
        <v>9717520</v>
      </c>
      <c r="AB151" s="21">
        <f>MARZO!AD151</f>
        <v>4515160</v>
      </c>
      <c r="AC151" s="457">
        <v>5202360</v>
      </c>
      <c r="AD151" s="20">
        <f>SUM(AB151:AC151)</f>
        <v>9717520</v>
      </c>
      <c r="AE151" s="21">
        <f>MARZO!AG151</f>
        <v>3406578</v>
      </c>
      <c r="AF151" s="457">
        <v>3864900</v>
      </c>
      <c r="AG151" s="20">
        <f>SUM(AE151:AF151)</f>
        <v>7271478</v>
      </c>
      <c r="AH151" s="21">
        <f>X151-AA151</f>
        <v>8168112</v>
      </c>
      <c r="AI151" s="17">
        <f>X151-AD151</f>
        <v>8168112</v>
      </c>
      <c r="AJ151" s="18">
        <f>X151-AG151</f>
        <v>10614154</v>
      </c>
      <c r="AK151" s="10"/>
      <c r="AL151" s="455">
        <v>0</v>
      </c>
      <c r="AM151" s="458">
        <v>0</v>
      </c>
      <c r="AN151" s="10"/>
    </row>
    <row r="152" spans="1:40" s="467" customFormat="1" x14ac:dyDescent="0.2">
      <c r="A152" s="623"/>
      <c r="N152" s="10"/>
      <c r="R152" s="10"/>
      <c r="S152" s="156" t="str">
        <f>+IF(MARZO!S152=0,"",MARZO!S152)</f>
        <v>2020102-3</v>
      </c>
      <c r="T152" s="55" t="str">
        <f>+IF(MARZO!T152=0,"",MARZO!T152)</f>
        <v>Combustible</v>
      </c>
      <c r="U152" s="29">
        <f>+ENERO!U152</f>
        <v>32621313</v>
      </c>
      <c r="V152" s="17">
        <f>MARZO!V152+ABRIL!AL152</f>
        <v>0</v>
      </c>
      <c r="W152" s="17">
        <f>MARZO!W152+ABRIL!AM152</f>
        <v>0</v>
      </c>
      <c r="X152" s="20">
        <f>SUM(U152:W152)</f>
        <v>32621313</v>
      </c>
      <c r="Y152" s="21">
        <f>MARZO!AA152</f>
        <v>12286433</v>
      </c>
      <c r="Z152" s="457">
        <v>2875118</v>
      </c>
      <c r="AA152" s="20">
        <f>SUM(Y152:Z152)</f>
        <v>15161551</v>
      </c>
      <c r="AB152" s="21">
        <f>MARZO!AD152</f>
        <v>12286433</v>
      </c>
      <c r="AC152" s="457">
        <v>2875118</v>
      </c>
      <c r="AD152" s="20">
        <f>SUM(AB152:AC152)</f>
        <v>15161551</v>
      </c>
      <c r="AE152" s="21">
        <f>MARZO!AG152</f>
        <v>7490443</v>
      </c>
      <c r="AF152" s="457">
        <v>4795990</v>
      </c>
      <c r="AG152" s="20">
        <f>SUM(AE152:AF152)</f>
        <v>12286433</v>
      </c>
      <c r="AH152" s="21">
        <f>X152-AA152</f>
        <v>17459762</v>
      </c>
      <c r="AI152" s="17">
        <f>X152-AD152</f>
        <v>17459762</v>
      </c>
      <c r="AJ152" s="18">
        <f>X152-AG152</f>
        <v>20334880</v>
      </c>
      <c r="AK152" s="10"/>
      <c r="AL152" s="455">
        <v>0</v>
      </c>
      <c r="AM152" s="458">
        <v>0</v>
      </c>
      <c r="AN152" s="10"/>
    </row>
    <row r="153" spans="1:40" s="467" customFormat="1" x14ac:dyDescent="0.2">
      <c r="A153" s="623"/>
      <c r="N153" s="10"/>
      <c r="R153" s="10"/>
      <c r="S153" s="155">
        <f>+IF(MARZO!S153=0,"",MARZO!S153)</f>
        <v>2020199</v>
      </c>
      <c r="T153" s="159" t="str">
        <f>+IF(MARZO!T153=0,"",MARZO!T153)</f>
        <v>Vigencias Anteriores</v>
      </c>
      <c r="U153" s="29">
        <f>+ENERO!U153</f>
        <v>4000000</v>
      </c>
      <c r="V153" s="17">
        <f>MARZO!V153+ABRIL!AL153</f>
        <v>4370491</v>
      </c>
      <c r="W153" s="17">
        <f>MARZO!W153+ABRIL!AM153</f>
        <v>9287532</v>
      </c>
      <c r="X153" s="20">
        <f>SUM(U153:W153)</f>
        <v>17658023</v>
      </c>
      <c r="Y153" s="21">
        <f>MARZO!AA153</f>
        <v>17658023</v>
      </c>
      <c r="Z153" s="457">
        <v>0</v>
      </c>
      <c r="AA153" s="20">
        <f>SUM(Y153:Z153)</f>
        <v>17658023</v>
      </c>
      <c r="AB153" s="21">
        <f>MARZO!AD153</f>
        <v>17658023</v>
      </c>
      <c r="AC153" s="457">
        <v>0</v>
      </c>
      <c r="AD153" s="20">
        <f>SUM(AB153:AC153)</f>
        <v>17658023</v>
      </c>
      <c r="AE153" s="21">
        <f>MARZO!AG153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+IF(MARZO!S154=0,"",MARZO!S154)</f>
        <v/>
      </c>
      <c r="T154" s="649" t="str">
        <f>+IF(MARZO!T154=0,"",MARZO!T154)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+IF(MARZO!S155=0,"",MARZO!S155)</f>
        <v>2020200</v>
      </c>
      <c r="T155" s="158" t="str">
        <f>+IF(MARZO!T155=0,"",MARZO!T155)</f>
        <v>Adquisición de Servicios</v>
      </c>
      <c r="U155" s="157">
        <f t="shared" ref="U155:AJ155" si="145">SUM(U156:U157)+U168</f>
        <v>214129198</v>
      </c>
      <c r="V155" s="144">
        <f t="shared" si="145"/>
        <v>-2041325</v>
      </c>
      <c r="W155" s="144">
        <f t="shared" si="145"/>
        <v>0</v>
      </c>
      <c r="X155" s="152">
        <f t="shared" si="145"/>
        <v>212087873</v>
      </c>
      <c r="Y155" s="151">
        <f t="shared" si="145"/>
        <v>38934663</v>
      </c>
      <c r="Z155" s="144">
        <f t="shared" si="145"/>
        <v>13421415</v>
      </c>
      <c r="AA155" s="152">
        <f t="shared" si="145"/>
        <v>52356078</v>
      </c>
      <c r="AB155" s="151">
        <f t="shared" si="145"/>
        <v>38934663</v>
      </c>
      <c r="AC155" s="144">
        <f t="shared" si="145"/>
        <v>13421415</v>
      </c>
      <c r="AD155" s="152">
        <f t="shared" si="145"/>
        <v>52356078</v>
      </c>
      <c r="AE155" s="151">
        <f t="shared" si="145"/>
        <v>20763839</v>
      </c>
      <c r="AF155" s="144">
        <f t="shared" si="145"/>
        <v>9590292</v>
      </c>
      <c r="AG155" s="152">
        <f t="shared" si="145"/>
        <v>30354131</v>
      </c>
      <c r="AH155" s="151">
        <f t="shared" si="145"/>
        <v>159731795</v>
      </c>
      <c r="AI155" s="144">
        <f t="shared" si="145"/>
        <v>159731795</v>
      </c>
      <c r="AJ155" s="153">
        <f t="shared" si="145"/>
        <v>181733742</v>
      </c>
      <c r="AK155" s="10"/>
      <c r="AL155" s="151">
        <f>SUM(AL156:AL157)+AL168</f>
        <v>0</v>
      </c>
      <c r="AM155" s="153">
        <f>SUM(AM156:AM157)+AM168</f>
        <v>0</v>
      </c>
      <c r="AN155" s="10"/>
    </row>
    <row r="156" spans="1:40" s="467" customFormat="1" x14ac:dyDescent="0.2">
      <c r="A156" s="623"/>
      <c r="N156" s="10"/>
      <c r="P156" s="10"/>
      <c r="Q156" s="10"/>
      <c r="R156" s="10"/>
      <c r="S156" s="155">
        <f>+IF(MARZO!S156=0,"",MARZO!S156)</f>
        <v>2020201</v>
      </c>
      <c r="T156" s="159" t="str">
        <f>+IF(MARZO!T156=0,"",MARZO!T156)</f>
        <v>Mantenimiento Hospitalario</v>
      </c>
      <c r="U156" s="29">
        <f>+ENERO!U156</f>
        <v>89449384</v>
      </c>
      <c r="V156" s="17">
        <f>MARZO!V156+ABRIL!AL156</f>
        <v>0</v>
      </c>
      <c r="W156" s="17">
        <f>MARZO!W156+ABRIL!AM156</f>
        <v>0</v>
      </c>
      <c r="X156" s="20">
        <f>SUM(U156:W156)</f>
        <v>89449384</v>
      </c>
      <c r="Y156" s="21">
        <f>MARZO!AA156</f>
        <v>11316454</v>
      </c>
      <c r="Z156" s="457">
        <v>6698588</v>
      </c>
      <c r="AA156" s="20">
        <f>SUM(Y156:Z156)</f>
        <v>18015042</v>
      </c>
      <c r="AB156" s="21">
        <f>MARZO!AD156</f>
        <v>11316454</v>
      </c>
      <c r="AC156" s="457">
        <v>6698588</v>
      </c>
      <c r="AD156" s="20">
        <f>SUM(AB156:AC156)</f>
        <v>18015042</v>
      </c>
      <c r="AE156" s="21">
        <f>MARZO!AG156</f>
        <v>5158664</v>
      </c>
      <c r="AF156" s="457">
        <v>5244066</v>
      </c>
      <c r="AG156" s="20">
        <f>SUM(AE156:AF156)</f>
        <v>10402730</v>
      </c>
      <c r="AH156" s="21">
        <f>X156-AA156</f>
        <v>71434342</v>
      </c>
      <c r="AI156" s="17">
        <f>X156-AD156</f>
        <v>71434342</v>
      </c>
      <c r="AJ156" s="18">
        <f>X156-AG156</f>
        <v>79046654</v>
      </c>
      <c r="AK156" s="10"/>
      <c r="AL156" s="455">
        <v>0</v>
      </c>
      <c r="AM156" s="458">
        <v>0</v>
      </c>
      <c r="AN156" s="10"/>
    </row>
    <row r="157" spans="1:40" s="467" customFormat="1" x14ac:dyDescent="0.2">
      <c r="A157" s="623"/>
      <c r="N157" s="10"/>
      <c r="P157" s="10"/>
      <c r="Q157" s="10"/>
      <c r="R157" s="10"/>
      <c r="S157" s="155">
        <f>+IF(MARZO!S157=0,"",MARZO!S157)</f>
        <v>2020202</v>
      </c>
      <c r="T157" s="159" t="str">
        <f>+IF(MARZO!T157=0,"",MARZO!T157)</f>
        <v>Otros</v>
      </c>
      <c r="U157" s="29">
        <f t="shared" ref="U157:AJ157" si="146">SUM(U158:U167)</f>
        <v>111949655</v>
      </c>
      <c r="V157" s="17">
        <f t="shared" si="146"/>
        <v>0</v>
      </c>
      <c r="W157" s="17">
        <f t="shared" si="146"/>
        <v>0</v>
      </c>
      <c r="X157" s="20">
        <f t="shared" si="146"/>
        <v>111949655</v>
      </c>
      <c r="Y157" s="21">
        <f t="shared" si="146"/>
        <v>16929375</v>
      </c>
      <c r="Z157" s="169">
        <f t="shared" si="146"/>
        <v>6722827</v>
      </c>
      <c r="AA157" s="20">
        <f t="shared" si="146"/>
        <v>23652202</v>
      </c>
      <c r="AB157" s="21">
        <f t="shared" si="146"/>
        <v>16929375</v>
      </c>
      <c r="AC157" s="169">
        <f t="shared" si="146"/>
        <v>6722827</v>
      </c>
      <c r="AD157" s="20">
        <f t="shared" si="146"/>
        <v>23652202</v>
      </c>
      <c r="AE157" s="21">
        <f t="shared" si="146"/>
        <v>8589301</v>
      </c>
      <c r="AF157" s="169">
        <f t="shared" si="146"/>
        <v>3920681</v>
      </c>
      <c r="AG157" s="20">
        <f t="shared" si="146"/>
        <v>12509982</v>
      </c>
      <c r="AH157" s="21">
        <f t="shared" si="146"/>
        <v>88297453</v>
      </c>
      <c r="AI157" s="17">
        <f t="shared" si="146"/>
        <v>88297453</v>
      </c>
      <c r="AJ157" s="18">
        <f t="shared" si="146"/>
        <v>99439673</v>
      </c>
      <c r="AK157" s="12"/>
      <c r="AL157" s="18">
        <f>SUM(AL158:AL167)</f>
        <v>0</v>
      </c>
      <c r="AM157" s="18">
        <f>SUM(AM158:AM167)</f>
        <v>0</v>
      </c>
      <c r="AN157" s="10"/>
    </row>
    <row r="158" spans="1:40" s="467" customFormat="1" x14ac:dyDescent="0.2">
      <c r="A158" s="623"/>
      <c r="N158" s="10"/>
      <c r="P158" s="10"/>
      <c r="Q158" s="10"/>
      <c r="R158" s="10"/>
      <c r="S158" s="156" t="str">
        <f>+IF(MARZO!S158=0,"",MARZO!S158)</f>
        <v>2020202-1</v>
      </c>
      <c r="T158" s="55" t="str">
        <f>+IF(MARZO!T158=0,"",MARZO!T158)</f>
        <v>Seguros</v>
      </c>
      <c r="U158" s="29">
        <f>+ENERO!U158</f>
        <v>10500000</v>
      </c>
      <c r="V158" s="17">
        <f>MARZO!V158+ABRIL!AL158</f>
        <v>0</v>
      </c>
      <c r="W158" s="17">
        <f>MARZO!W158+ABRIL!AM158</f>
        <v>0</v>
      </c>
      <c r="X158" s="20">
        <f t="shared" ref="X158:X168" si="147">SUM(U158:W158)</f>
        <v>10500000</v>
      </c>
      <c r="Y158" s="21">
        <f>MARZO!AA158</f>
        <v>782400</v>
      </c>
      <c r="Z158" s="457">
        <v>0</v>
      </c>
      <c r="AA158" s="20">
        <f t="shared" ref="AA158:AA168" si="148">SUM(Y158:Z158)</f>
        <v>782400</v>
      </c>
      <c r="AB158" s="21">
        <f>MARZO!AD158</f>
        <v>782400</v>
      </c>
      <c r="AC158" s="457">
        <v>0</v>
      </c>
      <c r="AD158" s="20">
        <f t="shared" ref="AD158:AD168" si="149">SUM(AB158:AC158)</f>
        <v>782400</v>
      </c>
      <c r="AE158" s="21">
        <f>MARZO!AG158</f>
        <v>782400</v>
      </c>
      <c r="AF158" s="457">
        <v>0</v>
      </c>
      <c r="AG158" s="20">
        <f t="shared" ref="AG158:AG168" si="150">SUM(AE158:AF158)</f>
        <v>782400</v>
      </c>
      <c r="AH158" s="21">
        <f t="shared" ref="AH158:AH168" si="151">X158-AA158</f>
        <v>9717600</v>
      </c>
      <c r="AI158" s="17">
        <f t="shared" ref="AI158:AI168" si="152">X158-AD158</f>
        <v>9717600</v>
      </c>
      <c r="AJ158" s="18">
        <f t="shared" ref="AJ158:AJ168" si="153">X158-AG158</f>
        <v>9717600</v>
      </c>
      <c r="AK158" s="10"/>
      <c r="AL158" s="455">
        <v>0</v>
      </c>
      <c r="AM158" s="458">
        <v>0</v>
      </c>
      <c r="AN158" s="10"/>
    </row>
    <row r="159" spans="1:40" s="467" customFormat="1" x14ac:dyDescent="0.2">
      <c r="A159" s="623"/>
      <c r="N159" s="10"/>
      <c r="P159" s="10"/>
      <c r="Q159" s="10"/>
      <c r="R159" s="10"/>
      <c r="S159" s="156" t="str">
        <f>+IF(MARZO!S159=0,"",MARZO!S159)</f>
        <v>2020202-2</v>
      </c>
      <c r="T159" s="55" t="str">
        <f>+IF(MARZO!T159=0,"",MARZO!T159)</f>
        <v>Impresos y Publicaciones</v>
      </c>
      <c r="U159" s="29">
        <f>+ENERO!U159</f>
        <v>6697601</v>
      </c>
      <c r="V159" s="17">
        <f>MARZO!V159+ABRIL!AL159</f>
        <v>0</v>
      </c>
      <c r="W159" s="17">
        <f>MARZO!W159+ABRIL!AM159</f>
        <v>0</v>
      </c>
      <c r="X159" s="20">
        <f t="shared" si="147"/>
        <v>6697601</v>
      </c>
      <c r="Y159" s="21">
        <f>MARZO!AA159</f>
        <v>132800</v>
      </c>
      <c r="Z159" s="457">
        <v>295597</v>
      </c>
      <c r="AA159" s="20">
        <f t="shared" si="148"/>
        <v>428397</v>
      </c>
      <c r="AB159" s="21">
        <f>MARZO!AD159</f>
        <v>132800</v>
      </c>
      <c r="AC159" s="457">
        <v>295597</v>
      </c>
      <c r="AD159" s="20">
        <f t="shared" si="149"/>
        <v>428397</v>
      </c>
      <c r="AE159" s="21">
        <f>MARZO!AG159</f>
        <v>132800</v>
      </c>
      <c r="AF159" s="457">
        <v>0</v>
      </c>
      <c r="AG159" s="20">
        <f t="shared" si="150"/>
        <v>132800</v>
      </c>
      <c r="AH159" s="21">
        <f t="shared" si="151"/>
        <v>6269204</v>
      </c>
      <c r="AI159" s="17">
        <f t="shared" si="152"/>
        <v>6269204</v>
      </c>
      <c r="AJ159" s="18">
        <f t="shared" si="153"/>
        <v>6564801</v>
      </c>
      <c r="AK159" s="10"/>
      <c r="AL159" s="455">
        <v>0</v>
      </c>
      <c r="AM159" s="458">
        <v>0</v>
      </c>
      <c r="AN159" s="10"/>
    </row>
    <row r="160" spans="1:40" s="467" customFormat="1" x14ac:dyDescent="0.2">
      <c r="A160" s="623"/>
      <c r="N160" s="10"/>
      <c r="P160" s="10"/>
      <c r="Q160" s="10"/>
      <c r="R160" s="10"/>
      <c r="S160" s="156" t="str">
        <f>+IF(MARZO!S160=0,"",MARZO!S160)</f>
        <v>2020202-3</v>
      </c>
      <c r="T160" s="55" t="str">
        <f>+IF(MARZO!T160=0,"",MARZO!T160)</f>
        <v>Pago a otras IPS</v>
      </c>
      <c r="U160" s="29">
        <f>+ENERO!U160</f>
        <v>11458020</v>
      </c>
      <c r="V160" s="17">
        <f>MARZO!V160+ABRIL!AL160</f>
        <v>0</v>
      </c>
      <c r="W160" s="17">
        <f>MARZO!W160+ABRIL!AM160</f>
        <v>0</v>
      </c>
      <c r="X160" s="20">
        <f t="shared" si="147"/>
        <v>11458020</v>
      </c>
      <c r="Y160" s="21">
        <f>MARZO!AA160</f>
        <v>436200</v>
      </c>
      <c r="Z160" s="457">
        <v>62949</v>
      </c>
      <c r="AA160" s="20">
        <f t="shared" si="148"/>
        <v>499149</v>
      </c>
      <c r="AB160" s="21">
        <f>MARZO!AD160</f>
        <v>436200</v>
      </c>
      <c r="AC160" s="457">
        <v>62949</v>
      </c>
      <c r="AD160" s="20">
        <f t="shared" si="149"/>
        <v>499149</v>
      </c>
      <c r="AE160" s="21">
        <f>MARZO!AG160</f>
        <v>0</v>
      </c>
      <c r="AF160" s="457">
        <v>0</v>
      </c>
      <c r="AG160" s="20">
        <f t="shared" si="150"/>
        <v>0</v>
      </c>
      <c r="AH160" s="21">
        <f t="shared" si="151"/>
        <v>10958871</v>
      </c>
      <c r="AI160" s="17">
        <f t="shared" si="152"/>
        <v>10958871</v>
      </c>
      <c r="AJ160" s="18">
        <f t="shared" si="153"/>
        <v>11458020</v>
      </c>
      <c r="AK160" s="10"/>
      <c r="AL160" s="455">
        <v>0</v>
      </c>
      <c r="AM160" s="458">
        <v>0</v>
      </c>
      <c r="AN160" s="10"/>
    </row>
    <row r="161" spans="1:40" s="467" customFormat="1" x14ac:dyDescent="0.2">
      <c r="A161" s="623"/>
      <c r="N161" s="10"/>
      <c r="P161" s="10"/>
      <c r="Q161" s="10"/>
      <c r="R161" s="10"/>
      <c r="S161" s="156" t="str">
        <f>+IF(MARZO!S161=0,"",MARZO!S161)</f>
        <v>2020202-4</v>
      </c>
      <c r="T161" s="55" t="str">
        <f>+IF(MARZO!T161=0,"",MARZO!T161)</f>
        <v>Comunicaciones y Transportes</v>
      </c>
      <c r="U161" s="29">
        <f>+ENERO!U161</f>
        <v>14340084</v>
      </c>
      <c r="V161" s="17">
        <f>MARZO!V161+ABRIL!AL161</f>
        <v>0</v>
      </c>
      <c r="W161" s="17">
        <f>MARZO!W161+ABRIL!AM161</f>
        <v>0</v>
      </c>
      <c r="X161" s="20">
        <f t="shared" si="147"/>
        <v>14340084</v>
      </c>
      <c r="Y161" s="21">
        <f>MARZO!AA161</f>
        <v>3890200</v>
      </c>
      <c r="Z161" s="457">
        <v>117200</v>
      </c>
      <c r="AA161" s="20">
        <f t="shared" si="148"/>
        <v>4007400</v>
      </c>
      <c r="AB161" s="21">
        <f>MARZO!AD161</f>
        <v>3890200</v>
      </c>
      <c r="AC161" s="457">
        <v>117200</v>
      </c>
      <c r="AD161" s="20">
        <f t="shared" si="149"/>
        <v>4007400</v>
      </c>
      <c r="AE161" s="21">
        <f>MARZO!AG161</f>
        <v>2117200</v>
      </c>
      <c r="AF161" s="457">
        <v>0</v>
      </c>
      <c r="AG161" s="20">
        <f t="shared" si="150"/>
        <v>2117200</v>
      </c>
      <c r="AH161" s="21">
        <f t="shared" si="151"/>
        <v>10332684</v>
      </c>
      <c r="AI161" s="17">
        <f t="shared" si="152"/>
        <v>10332684</v>
      </c>
      <c r="AJ161" s="18">
        <f t="shared" si="153"/>
        <v>12222884</v>
      </c>
      <c r="AK161" s="10"/>
      <c r="AL161" s="455">
        <v>0</v>
      </c>
      <c r="AM161" s="458">
        <v>0</v>
      </c>
      <c r="AN161" s="10"/>
    </row>
    <row r="162" spans="1:40" s="467" customFormat="1" x14ac:dyDescent="0.2">
      <c r="A162" s="623"/>
      <c r="N162" s="10"/>
      <c r="P162" s="10"/>
      <c r="Q162" s="10"/>
      <c r="R162" s="10"/>
      <c r="S162" s="156" t="str">
        <f>+IF(MARZO!S162=0,"",MARZO!S162)</f>
        <v>2020202-5</v>
      </c>
      <c r="T162" s="55" t="str">
        <f>+IF(MARZO!T162=0,"",MARZO!T162)</f>
        <v>Viáticos y Gastos de Viaje</v>
      </c>
      <c r="U162" s="29">
        <f>+ENERO!U162</f>
        <v>23894636</v>
      </c>
      <c r="V162" s="17">
        <f>MARZO!V162+ABRIL!AL162</f>
        <v>0</v>
      </c>
      <c r="W162" s="17">
        <f>MARZO!W162+ABRIL!AM162</f>
        <v>0</v>
      </c>
      <c r="X162" s="20">
        <f t="shared" si="147"/>
        <v>23894636</v>
      </c>
      <c r="Y162" s="21">
        <f>MARZO!AA162</f>
        <v>5583021</v>
      </c>
      <c r="Z162" s="457">
        <v>2308681</v>
      </c>
      <c r="AA162" s="20">
        <f t="shared" si="148"/>
        <v>7891702</v>
      </c>
      <c r="AB162" s="21">
        <f>MARZO!AD162</f>
        <v>5583021</v>
      </c>
      <c r="AC162" s="457">
        <v>2308681</v>
      </c>
      <c r="AD162" s="20">
        <f t="shared" si="149"/>
        <v>7891702</v>
      </c>
      <c r="AE162" s="21">
        <f>MARZO!AG162</f>
        <v>5556901</v>
      </c>
      <c r="AF162" s="457">
        <v>2308681</v>
      </c>
      <c r="AG162" s="20">
        <f t="shared" si="150"/>
        <v>7865582</v>
      </c>
      <c r="AH162" s="21">
        <f t="shared" si="151"/>
        <v>16002934</v>
      </c>
      <c r="AI162" s="17">
        <f t="shared" si="152"/>
        <v>16002934</v>
      </c>
      <c r="AJ162" s="18">
        <f t="shared" si="153"/>
        <v>16029054</v>
      </c>
      <c r="AK162" s="10"/>
      <c r="AL162" s="455">
        <v>0</v>
      </c>
      <c r="AM162" s="458">
        <v>0</v>
      </c>
      <c r="AN162" s="10"/>
    </row>
    <row r="163" spans="1:40" s="467" customFormat="1" x14ac:dyDescent="0.2">
      <c r="A163" s="623"/>
      <c r="N163" s="10"/>
      <c r="P163" s="10"/>
      <c r="Q163" s="10"/>
      <c r="R163" s="10"/>
      <c r="S163" s="156" t="str">
        <f>+IF(MARZO!S163=0,"",MARZO!S163)</f>
        <v>2020202-6</v>
      </c>
      <c r="T163" s="55" t="str">
        <f>+IF(MARZO!T163=0,"",MARZO!T163)</f>
        <v>Plan Integral de Manejo de Residuos Sólidos Hospitalarios</v>
      </c>
      <c r="U163" s="29">
        <f>+ENERO!U163</f>
        <v>8565804</v>
      </c>
      <c r="V163" s="17">
        <f>MARZO!V163+ABRIL!AL163</f>
        <v>0</v>
      </c>
      <c r="W163" s="17">
        <f>MARZO!W163+ABRIL!AM163</f>
        <v>0</v>
      </c>
      <c r="X163" s="20">
        <f t="shared" si="147"/>
        <v>8565804</v>
      </c>
      <c r="Y163" s="21">
        <f>MARZO!AA163</f>
        <v>2389354</v>
      </c>
      <c r="Z163" s="457">
        <v>0</v>
      </c>
      <c r="AA163" s="20">
        <f t="shared" si="148"/>
        <v>2389354</v>
      </c>
      <c r="AB163" s="21">
        <f>MARZO!AD163</f>
        <v>2389354</v>
      </c>
      <c r="AC163" s="457">
        <v>0</v>
      </c>
      <c r="AD163" s="20">
        <f t="shared" si="149"/>
        <v>2389354</v>
      </c>
      <c r="AE163" s="21">
        <f>MARZO!AG163</f>
        <v>0</v>
      </c>
      <c r="AF163" s="457">
        <v>0</v>
      </c>
      <c r="AG163" s="20">
        <f t="shared" si="150"/>
        <v>0</v>
      </c>
      <c r="AH163" s="21">
        <f t="shared" si="151"/>
        <v>6176450</v>
      </c>
      <c r="AI163" s="17">
        <f t="shared" si="152"/>
        <v>6176450</v>
      </c>
      <c r="AJ163" s="18">
        <f t="shared" si="153"/>
        <v>8565804</v>
      </c>
      <c r="AK163" s="10"/>
      <c r="AL163" s="455">
        <v>0</v>
      </c>
      <c r="AM163" s="458">
        <v>0</v>
      </c>
      <c r="AN163" s="10"/>
    </row>
    <row r="164" spans="1:40" s="467" customFormat="1" x14ac:dyDescent="0.2">
      <c r="A164" s="623"/>
      <c r="N164" s="10"/>
      <c r="P164" s="10"/>
      <c r="Q164" s="10"/>
      <c r="R164" s="10"/>
      <c r="S164" s="156" t="str">
        <f>+IF(MARZO!S164=0,"",MARZO!S164)</f>
        <v>2020202-7</v>
      </c>
      <c r="T164" s="55" t="str">
        <f>+IF(MARZO!T164=0,"",MARZO!T164)</f>
        <v>Servicios de Laboratorio contratados con terceros</v>
      </c>
      <c r="U164" s="29">
        <f>+ENERO!U164</f>
        <v>12000000</v>
      </c>
      <c r="V164" s="17">
        <f>MARZO!V164+ABRIL!AL164</f>
        <v>0</v>
      </c>
      <c r="W164" s="17">
        <f>MARZO!W164+ABRIL!AM164</f>
        <v>0</v>
      </c>
      <c r="X164" s="20">
        <f t="shared" si="147"/>
        <v>12000000</v>
      </c>
      <c r="Y164" s="21">
        <f>MARZO!AA164</f>
        <v>383400</v>
      </c>
      <c r="Z164" s="457">
        <v>353400</v>
      </c>
      <c r="AA164" s="20">
        <f t="shared" si="148"/>
        <v>736800</v>
      </c>
      <c r="AB164" s="21">
        <f>MARZO!AD164</f>
        <v>383400</v>
      </c>
      <c r="AC164" s="457">
        <v>353400</v>
      </c>
      <c r="AD164" s="20">
        <f t="shared" si="149"/>
        <v>736800</v>
      </c>
      <c r="AE164" s="21">
        <f>MARZO!AG164</f>
        <v>0</v>
      </c>
      <c r="AF164" s="457">
        <v>0</v>
      </c>
      <c r="AG164" s="20">
        <f t="shared" si="150"/>
        <v>0</v>
      </c>
      <c r="AH164" s="21">
        <f t="shared" si="151"/>
        <v>11263200</v>
      </c>
      <c r="AI164" s="17">
        <f t="shared" si="152"/>
        <v>11263200</v>
      </c>
      <c r="AJ164" s="18">
        <f t="shared" si="153"/>
        <v>12000000</v>
      </c>
      <c r="AK164" s="10"/>
      <c r="AL164" s="455">
        <v>0</v>
      </c>
      <c r="AM164" s="458">
        <v>0</v>
      </c>
      <c r="AN164" s="10"/>
    </row>
    <row r="165" spans="1:40" s="467" customFormat="1" x14ac:dyDescent="0.2">
      <c r="A165" s="623"/>
      <c r="N165" s="10"/>
      <c r="P165" s="10"/>
      <c r="Q165" s="10"/>
      <c r="R165" s="10"/>
      <c r="S165" s="156" t="str">
        <f>+IF(MARZO!S165=0,"",MARZO!S165)</f>
        <v>2020202-8</v>
      </c>
      <c r="T165" s="55" t="str">
        <f>+IF(MARZO!T165=0,"",MARZO!T165)</f>
        <v>Servicios de Rayos X e Imaginología contratado con terceros</v>
      </c>
      <c r="U165" s="29">
        <f>+ENERO!U165</f>
        <v>19000000</v>
      </c>
      <c r="V165" s="17">
        <f>MARZO!V165+ABRIL!AL165</f>
        <v>0</v>
      </c>
      <c r="W165" s="17">
        <f>MARZO!W165+ABRIL!AM165</f>
        <v>0</v>
      </c>
      <c r="X165" s="20">
        <f t="shared" si="147"/>
        <v>19000000</v>
      </c>
      <c r="Y165" s="21">
        <f>MARZO!AA165</f>
        <v>1612000</v>
      </c>
      <c r="Z165" s="457">
        <v>2795000</v>
      </c>
      <c r="AA165" s="20">
        <f t="shared" si="148"/>
        <v>4407000</v>
      </c>
      <c r="AB165" s="21">
        <f>MARZO!AD165</f>
        <v>1612000</v>
      </c>
      <c r="AC165" s="457">
        <v>2795000</v>
      </c>
      <c r="AD165" s="20">
        <f t="shared" si="149"/>
        <v>4407000</v>
      </c>
      <c r="AE165" s="21">
        <f>MARZO!AG165</f>
        <v>0</v>
      </c>
      <c r="AF165" s="457">
        <v>1612000</v>
      </c>
      <c r="AG165" s="20">
        <f t="shared" si="150"/>
        <v>1612000</v>
      </c>
      <c r="AH165" s="21">
        <f t="shared" si="151"/>
        <v>14593000</v>
      </c>
      <c r="AI165" s="17">
        <f t="shared" si="152"/>
        <v>14593000</v>
      </c>
      <c r="AJ165" s="18">
        <f t="shared" si="153"/>
        <v>17388000</v>
      </c>
      <c r="AK165" s="10"/>
      <c r="AL165" s="455">
        <v>0</v>
      </c>
      <c r="AM165" s="458">
        <v>0</v>
      </c>
      <c r="AN165" s="10"/>
    </row>
    <row r="166" spans="1:40" s="467" customFormat="1" x14ac:dyDescent="0.2">
      <c r="A166" s="623"/>
      <c r="N166" s="10"/>
      <c r="P166" s="10"/>
      <c r="Q166" s="10"/>
      <c r="R166" s="10"/>
      <c r="S166" s="156" t="str">
        <f>+IF(MARZO!S166=0,"",MARZO!S166)</f>
        <v>2020202-9</v>
      </c>
      <c r="T166" s="55" t="str">
        <f>+IF(MARZO!T166=0,"",MARZO!T166)</f>
        <v>Arrendamientos</v>
      </c>
      <c r="U166" s="29">
        <f>+ENERO!U166</f>
        <v>5493510</v>
      </c>
      <c r="V166" s="17">
        <f>MARZO!V166+ABRIL!AL166</f>
        <v>0</v>
      </c>
      <c r="W166" s="17">
        <f>MARZO!W166+ABRIL!AM166</f>
        <v>0</v>
      </c>
      <c r="X166" s="20">
        <f t="shared" si="147"/>
        <v>5493510</v>
      </c>
      <c r="Y166" s="21">
        <f>MARZO!AA166</f>
        <v>1720000</v>
      </c>
      <c r="Z166" s="457">
        <v>790000</v>
      </c>
      <c r="AA166" s="20">
        <f t="shared" si="148"/>
        <v>2510000</v>
      </c>
      <c r="AB166" s="21">
        <f>MARZO!AD166</f>
        <v>1720000</v>
      </c>
      <c r="AC166" s="457">
        <v>790000</v>
      </c>
      <c r="AD166" s="20">
        <f t="shared" si="149"/>
        <v>2510000</v>
      </c>
      <c r="AE166" s="21">
        <f>MARZO!AG166</f>
        <v>0</v>
      </c>
      <c r="AF166" s="457">
        <v>0</v>
      </c>
      <c r="AG166" s="20">
        <f t="shared" si="150"/>
        <v>0</v>
      </c>
      <c r="AH166" s="21">
        <f t="shared" si="151"/>
        <v>2983510</v>
      </c>
      <c r="AI166" s="17">
        <f t="shared" si="152"/>
        <v>2983510</v>
      </c>
      <c r="AJ166" s="18">
        <f t="shared" si="153"/>
        <v>5493510</v>
      </c>
      <c r="AK166" s="10"/>
      <c r="AL166" s="455">
        <v>0</v>
      </c>
      <c r="AM166" s="458">
        <v>0</v>
      </c>
      <c r="AN166" s="10"/>
    </row>
    <row r="167" spans="1:40" s="467" customFormat="1" x14ac:dyDescent="0.2">
      <c r="A167" s="623"/>
      <c r="N167" s="10"/>
      <c r="P167" s="10"/>
      <c r="Q167" s="10"/>
      <c r="R167" s="10"/>
      <c r="S167" s="156" t="str">
        <f>+IF(MARZO!S167=0,"",MARZO!S167)</f>
        <v>2020202-10</v>
      </c>
      <c r="T167" s="55" t="str">
        <f>+IF(MARZO!T167=0,"",MARZO!T167)</f>
        <v>Servicios Públicos</v>
      </c>
      <c r="U167" s="29">
        <f>+ENERO!U167</f>
        <v>0</v>
      </c>
      <c r="V167" s="17">
        <f>MARZO!V167+ABRIL!AL167</f>
        <v>0</v>
      </c>
      <c r="W167" s="17">
        <f>MARZO!W167+ABRIL!AM167</f>
        <v>0</v>
      </c>
      <c r="X167" s="20">
        <f>SUM(U167:W167)</f>
        <v>0</v>
      </c>
      <c r="Y167" s="21">
        <f>MARZO!AA167</f>
        <v>0</v>
      </c>
      <c r="Z167" s="457">
        <v>0</v>
      </c>
      <c r="AA167" s="20">
        <f>SUM(Y167:Z167)</f>
        <v>0</v>
      </c>
      <c r="AB167" s="21">
        <f>MARZO!AD167</f>
        <v>0</v>
      </c>
      <c r="AC167" s="457">
        <v>0</v>
      </c>
      <c r="AD167" s="20">
        <f>SUM(AB167:AC167)</f>
        <v>0</v>
      </c>
      <c r="AE167" s="21">
        <f>MARZO!AG167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+IF(MARZO!S168=0,"",MARZO!S168)</f>
        <v>2020299</v>
      </c>
      <c r="T168" s="159" t="str">
        <f>+IF(MARZO!T168=0,"",MARZO!T168)</f>
        <v>Vigencias Anteriores</v>
      </c>
      <c r="U168" s="29">
        <f>+ENERO!U168</f>
        <v>12730159</v>
      </c>
      <c r="V168" s="17">
        <f>MARZO!V168+ABRIL!AL168</f>
        <v>-2041325</v>
      </c>
      <c r="W168" s="17">
        <f>MARZO!W168+ABRIL!AM168</f>
        <v>0</v>
      </c>
      <c r="X168" s="20">
        <f t="shared" si="147"/>
        <v>10688834</v>
      </c>
      <c r="Y168" s="21">
        <f>MARZO!AA168</f>
        <v>10688834</v>
      </c>
      <c r="Z168" s="457">
        <v>0</v>
      </c>
      <c r="AA168" s="20">
        <f t="shared" si="148"/>
        <v>10688834</v>
      </c>
      <c r="AB168" s="21">
        <f>MARZO!AD168</f>
        <v>10688834</v>
      </c>
      <c r="AC168" s="457">
        <v>0</v>
      </c>
      <c r="AD168" s="20">
        <f t="shared" si="149"/>
        <v>10688834</v>
      </c>
      <c r="AE168" s="21">
        <f>MARZO!AG168</f>
        <v>7015874</v>
      </c>
      <c r="AF168" s="457">
        <v>425545</v>
      </c>
      <c r="AG168" s="20">
        <f t="shared" si="150"/>
        <v>7441419</v>
      </c>
      <c r="AH168" s="21">
        <f t="shared" si="151"/>
        <v>0</v>
      </c>
      <c r="AI168" s="17">
        <f t="shared" si="152"/>
        <v>0</v>
      </c>
      <c r="AJ168" s="18">
        <f t="shared" si="153"/>
        <v>3247415</v>
      </c>
      <c r="AK168" s="10"/>
      <c r="AL168" s="455">
        <v>0</v>
      </c>
      <c r="AM168" s="458">
        <v>0</v>
      </c>
      <c r="AN168" s="10"/>
    </row>
    <row r="169" spans="1:40" s="467" customFormat="1" ht="15.75" x14ac:dyDescent="0.2">
      <c r="A169" s="623"/>
      <c r="N169" s="10"/>
      <c r="P169" s="10"/>
      <c r="Q169" s="10"/>
      <c r="R169" s="10"/>
      <c r="S169" s="448" t="str">
        <f>+IF(MARZO!S169=0,"",MARZO!S169)</f>
        <v/>
      </c>
      <c r="T169" s="649" t="str">
        <f>+IF(MARZO!T169=0,"",MARZO!T169)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+IF(MARZO!S170=0,"",MARZO!S170)</f>
        <v>3000000</v>
      </c>
      <c r="T170" s="588" t="str">
        <f>+IF(MARZO!T170=0,"",MARZO!T170)</f>
        <v>TRANSFERENCIAS CORRIENTES</v>
      </c>
      <c r="U170" s="589">
        <f t="shared" ref="U170:AJ170" si="154">U172+U176+U185</f>
        <v>217489235</v>
      </c>
      <c r="V170" s="590">
        <f t="shared" si="154"/>
        <v>-12907692</v>
      </c>
      <c r="W170" s="590">
        <f t="shared" si="154"/>
        <v>0</v>
      </c>
      <c r="X170" s="591">
        <f t="shared" si="154"/>
        <v>204581543</v>
      </c>
      <c r="Y170" s="464">
        <f t="shared" si="154"/>
        <v>37266881</v>
      </c>
      <c r="Z170" s="590">
        <f t="shared" si="154"/>
        <v>8079764</v>
      </c>
      <c r="AA170" s="591">
        <f t="shared" si="154"/>
        <v>45346645</v>
      </c>
      <c r="AB170" s="464">
        <f t="shared" si="154"/>
        <v>37266881</v>
      </c>
      <c r="AC170" s="590">
        <f t="shared" si="154"/>
        <v>8079764</v>
      </c>
      <c r="AD170" s="591">
        <f t="shared" si="154"/>
        <v>45346645</v>
      </c>
      <c r="AE170" s="464">
        <f t="shared" si="154"/>
        <v>31940420</v>
      </c>
      <c r="AF170" s="590">
        <f t="shared" si="154"/>
        <v>7194661</v>
      </c>
      <c r="AG170" s="591">
        <f t="shared" si="154"/>
        <v>39135081</v>
      </c>
      <c r="AH170" s="464">
        <f t="shared" si="154"/>
        <v>159234898</v>
      </c>
      <c r="AI170" s="590">
        <f t="shared" si="154"/>
        <v>159234898</v>
      </c>
      <c r="AJ170" s="465">
        <f t="shared" si="154"/>
        <v>165446462</v>
      </c>
      <c r="AK170" s="10"/>
      <c r="AL170" s="151">
        <f>AL172+AL176+AL185</f>
        <v>0</v>
      </c>
      <c r="AM170" s="153">
        <f>AM172+AM176+AM185</f>
        <v>0</v>
      </c>
      <c r="AN170" s="10"/>
    </row>
    <row r="171" spans="1:40" s="467" customFormat="1" ht="15.75" x14ac:dyDescent="0.2">
      <c r="A171" s="623"/>
      <c r="N171" s="10"/>
      <c r="P171" s="10"/>
      <c r="Q171" s="10"/>
      <c r="R171" s="10"/>
      <c r="S171" s="448" t="str">
        <f>+IF(MARZO!S171=0,"",MARZO!S171)</f>
        <v/>
      </c>
      <c r="T171" s="649" t="str">
        <f>+IF(MARZO!T171=0,"",MARZO!T171)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+IF(MARZO!S172=0,"",MARZO!S172)</f>
        <v>3100000</v>
      </c>
      <c r="T172" s="158" t="str">
        <f>+IF(MARZO!T172=0,"",MARZO!T172)</f>
        <v>Transferencias al Sector Público</v>
      </c>
      <c r="U172" s="157">
        <f t="shared" ref="U172:AJ172" si="155">SUM(U173:U174)</f>
        <v>2689964</v>
      </c>
      <c r="V172" s="144">
        <f t="shared" si="155"/>
        <v>746499</v>
      </c>
      <c r="W172" s="144">
        <f t="shared" si="155"/>
        <v>0</v>
      </c>
      <c r="X172" s="152">
        <f t="shared" si="155"/>
        <v>3436463</v>
      </c>
      <c r="Y172" s="151">
        <f t="shared" si="155"/>
        <v>746499</v>
      </c>
      <c r="Z172" s="144">
        <f t="shared" si="155"/>
        <v>0</v>
      </c>
      <c r="AA172" s="152">
        <f t="shared" si="155"/>
        <v>746499</v>
      </c>
      <c r="AB172" s="151">
        <f t="shared" si="155"/>
        <v>746499</v>
      </c>
      <c r="AC172" s="144">
        <f t="shared" si="155"/>
        <v>0</v>
      </c>
      <c r="AD172" s="152">
        <f t="shared" si="155"/>
        <v>746499</v>
      </c>
      <c r="AE172" s="151">
        <f t="shared" si="155"/>
        <v>746499</v>
      </c>
      <c r="AF172" s="144">
        <f t="shared" si="155"/>
        <v>0</v>
      </c>
      <c r="AG172" s="152">
        <f t="shared" si="155"/>
        <v>746499</v>
      </c>
      <c r="AH172" s="151">
        <f t="shared" si="155"/>
        <v>2689964</v>
      </c>
      <c r="AI172" s="144">
        <f t="shared" si="155"/>
        <v>2689964</v>
      </c>
      <c r="AJ172" s="153">
        <f t="shared" si="155"/>
        <v>2689964</v>
      </c>
      <c r="AK172" s="10"/>
      <c r="AL172" s="151">
        <f>SUM(AL173:AL174)</f>
        <v>0</v>
      </c>
      <c r="AM172" s="153">
        <f>SUM(AM173:AM174)</f>
        <v>0</v>
      </c>
      <c r="AN172" s="10"/>
    </row>
    <row r="173" spans="1:40" s="467" customFormat="1" x14ac:dyDescent="0.2">
      <c r="A173" s="623"/>
      <c r="N173" s="10"/>
      <c r="P173" s="10"/>
      <c r="Q173" s="10"/>
      <c r="R173" s="10"/>
      <c r="S173" s="155">
        <f>+IF(MARZO!S173=0,"",MARZO!S173)</f>
        <v>3100003</v>
      </c>
      <c r="T173" s="159" t="str">
        <f>+IF(MARZO!T173=0,"",MARZO!T173)</f>
        <v>Entidades Públicas (Contraloria, Supersalud,…)</v>
      </c>
      <c r="U173" s="29">
        <f>+ENERO!U173</f>
        <v>2689964</v>
      </c>
      <c r="V173" s="17">
        <f>MARZO!V173+ABRIL!AL173</f>
        <v>0</v>
      </c>
      <c r="W173" s="17">
        <f>MARZO!W173+ABRIL!AM173</f>
        <v>0</v>
      </c>
      <c r="X173" s="20">
        <f>SUM(U173:W173)</f>
        <v>2689964</v>
      </c>
      <c r="Y173" s="21">
        <f>MARZO!AA173</f>
        <v>0</v>
      </c>
      <c r="Z173" s="457">
        <v>0</v>
      </c>
      <c r="AA173" s="20">
        <f>SUM(Y173:Z173)</f>
        <v>0</v>
      </c>
      <c r="AB173" s="21">
        <f>MARZO!AD173</f>
        <v>0</v>
      </c>
      <c r="AC173" s="457">
        <v>0</v>
      </c>
      <c r="AD173" s="20">
        <f>SUM(AB173:AC173)</f>
        <v>0</v>
      </c>
      <c r="AE173" s="21">
        <f>MARZO!AG173</f>
        <v>0</v>
      </c>
      <c r="AF173" s="457">
        <v>0</v>
      </c>
      <c r="AG173" s="20">
        <f>SUM(AE173:AF173)</f>
        <v>0</v>
      </c>
      <c r="AH173" s="21">
        <f>X173-AA173</f>
        <v>2689964</v>
      </c>
      <c r="AI173" s="17">
        <f>X173-AD173</f>
        <v>2689964</v>
      </c>
      <c r="AJ173" s="18">
        <f>X173-AG173</f>
        <v>2689964</v>
      </c>
      <c r="AK173" s="10"/>
      <c r="AL173" s="455">
        <v>0</v>
      </c>
      <c r="AM173" s="458">
        <v>0</v>
      </c>
      <c r="AN173" s="10"/>
    </row>
    <row r="174" spans="1:40" s="467" customFormat="1" x14ac:dyDescent="0.2">
      <c r="A174" s="623"/>
      <c r="N174" s="10"/>
      <c r="P174" s="10"/>
      <c r="Q174" s="10"/>
      <c r="R174" s="10"/>
      <c r="S174" s="155">
        <f>+IF(MARZO!S174=0,"",MARZO!S174)</f>
        <v>3199999</v>
      </c>
      <c r="T174" s="159" t="str">
        <f>+IF(MARZO!T174=0,"",MARZO!T174)</f>
        <v>Vigencias Anteriores</v>
      </c>
      <c r="U174" s="29">
        <f>+ENERO!U174</f>
        <v>0</v>
      </c>
      <c r="V174" s="17">
        <f>MARZO!V174+ABRIL!AL174</f>
        <v>746499</v>
      </c>
      <c r="W174" s="17">
        <f>MARZO!W174+ABRIL!AM174</f>
        <v>0</v>
      </c>
      <c r="X174" s="20">
        <f>SUM(U174:W174)</f>
        <v>746499</v>
      </c>
      <c r="Y174" s="21">
        <f>MARZO!AA174</f>
        <v>746499</v>
      </c>
      <c r="Z174" s="457">
        <v>0</v>
      </c>
      <c r="AA174" s="20">
        <f>SUM(Y174:Z174)</f>
        <v>746499</v>
      </c>
      <c r="AB174" s="21">
        <f>MARZO!AD174</f>
        <v>746499</v>
      </c>
      <c r="AC174" s="457">
        <v>0</v>
      </c>
      <c r="AD174" s="20">
        <f>SUM(AB174:AC174)</f>
        <v>746499</v>
      </c>
      <c r="AE174" s="21">
        <f>MARZO!AG174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+IF(MARZO!S175=0,"",MARZO!S175)</f>
        <v/>
      </c>
      <c r="T175" s="649" t="str">
        <f>+IF(MARZO!T175=0,"",MARZO!T175)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+IF(MARZO!S176=0,"",MARZO!S176)</f>
        <v>320000</v>
      </c>
      <c r="T176" s="158" t="str">
        <f>+IF(MARZO!T176=0,"",MARZO!T176)</f>
        <v>Transf. Previsión y Seguridad Social</v>
      </c>
      <c r="U176" s="157">
        <f t="shared" ref="U176:AJ176" si="156">SUM(U177:U183)</f>
        <v>213299271</v>
      </c>
      <c r="V176" s="144">
        <f t="shared" si="156"/>
        <v>-14130741</v>
      </c>
      <c r="W176" s="144">
        <f t="shared" si="156"/>
        <v>0</v>
      </c>
      <c r="X176" s="152">
        <f t="shared" si="156"/>
        <v>199168530</v>
      </c>
      <c r="Y176" s="151">
        <f t="shared" si="156"/>
        <v>36043832</v>
      </c>
      <c r="Z176" s="144">
        <f t="shared" si="156"/>
        <v>7940564</v>
      </c>
      <c r="AA176" s="152">
        <f t="shared" si="156"/>
        <v>43984396</v>
      </c>
      <c r="AB176" s="151">
        <f t="shared" si="156"/>
        <v>36043832</v>
      </c>
      <c r="AC176" s="144">
        <f t="shared" si="156"/>
        <v>7940564</v>
      </c>
      <c r="AD176" s="152">
        <f t="shared" si="156"/>
        <v>43984396</v>
      </c>
      <c r="AE176" s="151">
        <f t="shared" si="156"/>
        <v>30717371</v>
      </c>
      <c r="AF176" s="144">
        <f t="shared" si="156"/>
        <v>7194661</v>
      </c>
      <c r="AG176" s="152">
        <f t="shared" si="156"/>
        <v>37912032</v>
      </c>
      <c r="AH176" s="151">
        <f t="shared" si="156"/>
        <v>155184134</v>
      </c>
      <c r="AI176" s="144">
        <f t="shared" si="156"/>
        <v>155184134</v>
      </c>
      <c r="AJ176" s="153">
        <f t="shared" si="156"/>
        <v>161256498</v>
      </c>
      <c r="AK176" s="10"/>
      <c r="AL176" s="151">
        <f>SUM(AL177:AL183)</f>
        <v>0</v>
      </c>
      <c r="AM176" s="153">
        <f>SUM(AM177:AM183)</f>
        <v>0</v>
      </c>
      <c r="AN176" s="10"/>
    </row>
    <row r="177" spans="1:40" s="467" customFormat="1" x14ac:dyDescent="0.2">
      <c r="A177" s="623"/>
      <c r="N177" s="10"/>
      <c r="P177" s="10"/>
      <c r="Q177" s="10"/>
      <c r="R177" s="10"/>
      <c r="S177" s="155">
        <f>+IF(MARZO!S177=0,"",MARZO!S177)</f>
        <v>3200100</v>
      </c>
      <c r="T177" s="159" t="str">
        <f>+IF(MARZO!T177=0,"",MARZO!T177)</f>
        <v>Pensiones y Jubilaciones (Pago Directo)</v>
      </c>
      <c r="U177" s="29">
        <f>+ENERO!U177</f>
        <v>104106866</v>
      </c>
      <c r="V177" s="17">
        <f>MARZO!V177+ABRIL!AL177</f>
        <v>0</v>
      </c>
      <c r="W177" s="17">
        <f>MARZO!W177+ABRIL!AM177</f>
        <v>0</v>
      </c>
      <c r="X177" s="20">
        <f t="shared" ref="X177:X183" si="157">SUM(U177:W177)</f>
        <v>104106866</v>
      </c>
      <c r="Y177" s="21">
        <f>MARZO!AA177</f>
        <v>21938627</v>
      </c>
      <c r="Z177" s="457">
        <v>7458862</v>
      </c>
      <c r="AA177" s="20">
        <f t="shared" ref="AA177:AA183" si="158">SUM(Y177:Z177)</f>
        <v>29397489</v>
      </c>
      <c r="AB177" s="21">
        <f>MARZO!AD177</f>
        <v>21938627</v>
      </c>
      <c r="AC177" s="457">
        <v>7458862</v>
      </c>
      <c r="AD177" s="20">
        <f t="shared" ref="AD177:AD183" si="159">SUM(AB177:AC177)</f>
        <v>29397489</v>
      </c>
      <c r="AE177" s="21">
        <f>MARZO!AG177</f>
        <v>21076307</v>
      </c>
      <c r="AF177" s="457">
        <v>7189790</v>
      </c>
      <c r="AG177" s="20">
        <f t="shared" ref="AG177:AG183" si="160">SUM(AE177:AF177)</f>
        <v>28266097</v>
      </c>
      <c r="AH177" s="21">
        <f t="shared" ref="AH177:AH183" si="161">X177-AA177</f>
        <v>74709377</v>
      </c>
      <c r="AI177" s="17">
        <f t="shared" ref="AI177:AI183" si="162">X177-AD177</f>
        <v>74709377</v>
      </c>
      <c r="AJ177" s="18">
        <f t="shared" ref="AJ177:AJ183" si="163">X177-AG177</f>
        <v>75840769</v>
      </c>
      <c r="AK177" s="10"/>
      <c r="AL177" s="455">
        <v>0</v>
      </c>
      <c r="AM177" s="458">
        <v>0</v>
      </c>
      <c r="AN177" s="10"/>
    </row>
    <row r="178" spans="1:40" s="467" customFormat="1" x14ac:dyDescent="0.2">
      <c r="A178" s="623"/>
      <c r="N178" s="10"/>
      <c r="P178" s="10"/>
      <c r="Q178" s="10"/>
      <c r="R178" s="10"/>
      <c r="S178" s="155">
        <f>+IF(MARZO!S178=0,"",MARZO!S178)</f>
        <v>3200200</v>
      </c>
      <c r="T178" s="159" t="str">
        <f>+IF(MARZO!T178=0,"",MARZO!T178)</f>
        <v>Cesantías Pago Directo (Pago Directo)</v>
      </c>
      <c r="U178" s="29">
        <f>+ENERO!U178</f>
        <v>22532311</v>
      </c>
      <c r="V178" s="17">
        <f>MARZO!V178+ABRIL!AL178</f>
        <v>0</v>
      </c>
      <c r="W178" s="17">
        <f>MARZO!W178+ABRIL!AM178</f>
        <v>0</v>
      </c>
      <c r="X178" s="20">
        <f t="shared" si="157"/>
        <v>22532311</v>
      </c>
      <c r="Y178" s="21">
        <f>MARZO!AA178</f>
        <v>5000000</v>
      </c>
      <c r="Z178" s="457">
        <v>0</v>
      </c>
      <c r="AA178" s="20">
        <f t="shared" si="158"/>
        <v>5000000</v>
      </c>
      <c r="AB178" s="21">
        <f>MARZO!AD178</f>
        <v>5000000</v>
      </c>
      <c r="AC178" s="457">
        <v>0</v>
      </c>
      <c r="AD178" s="20">
        <f t="shared" si="159"/>
        <v>5000000</v>
      </c>
      <c r="AE178" s="21">
        <f>MARZO!AG178</f>
        <v>5000000</v>
      </c>
      <c r="AF178" s="457">
        <v>0</v>
      </c>
      <c r="AG178" s="20">
        <f t="shared" si="160"/>
        <v>5000000</v>
      </c>
      <c r="AH178" s="21">
        <f t="shared" si="161"/>
        <v>17532311</v>
      </c>
      <c r="AI178" s="17">
        <f t="shared" si="162"/>
        <v>17532311</v>
      </c>
      <c r="AJ178" s="18">
        <f t="shared" si="163"/>
        <v>17532311</v>
      </c>
      <c r="AK178" s="10"/>
      <c r="AL178" s="455">
        <v>0</v>
      </c>
      <c r="AM178" s="458">
        <v>0</v>
      </c>
      <c r="AN178" s="10"/>
    </row>
    <row r="179" spans="1:40" s="467" customFormat="1" x14ac:dyDescent="0.2">
      <c r="A179" s="623"/>
      <c r="N179" s="10"/>
      <c r="P179" s="10"/>
      <c r="Q179" s="10"/>
      <c r="R179" s="10"/>
      <c r="S179" s="155">
        <f>+IF(MARZO!S179=0,"",MARZO!S179)</f>
        <v>3200300</v>
      </c>
      <c r="T179" s="159" t="str">
        <f>+IF(MARZO!T179=0,"",MARZO!T179)</f>
        <v>Bonos, Cuotas de Bonos y cuotas partes jubilatorias</v>
      </c>
      <c r="U179" s="29">
        <f>+ENERO!U179</f>
        <v>70000000</v>
      </c>
      <c r="V179" s="17">
        <f>MARZO!V179+ABRIL!AL179</f>
        <v>-17721746</v>
      </c>
      <c r="W179" s="17">
        <f>MARZO!W179+ABRIL!AM179</f>
        <v>0</v>
      </c>
      <c r="X179" s="20">
        <f t="shared" si="157"/>
        <v>52278254</v>
      </c>
      <c r="Y179" s="21">
        <f>MARZO!AA179</f>
        <v>2935257</v>
      </c>
      <c r="Z179" s="457">
        <v>481702</v>
      </c>
      <c r="AA179" s="20">
        <f t="shared" si="158"/>
        <v>3416959</v>
      </c>
      <c r="AB179" s="21">
        <f>MARZO!AD179</f>
        <v>2935257</v>
      </c>
      <c r="AC179" s="457">
        <v>481702</v>
      </c>
      <c r="AD179" s="20">
        <f t="shared" si="159"/>
        <v>3416959</v>
      </c>
      <c r="AE179" s="21">
        <f>MARZO!AG179</f>
        <v>0</v>
      </c>
      <c r="AF179" s="457">
        <v>0</v>
      </c>
      <c r="AG179" s="20">
        <f t="shared" si="160"/>
        <v>0</v>
      </c>
      <c r="AH179" s="21">
        <f t="shared" si="161"/>
        <v>48861295</v>
      </c>
      <c r="AI179" s="17">
        <f t="shared" si="162"/>
        <v>48861295</v>
      </c>
      <c r="AJ179" s="18">
        <f t="shared" si="163"/>
        <v>52278254</v>
      </c>
      <c r="AK179" s="10"/>
      <c r="AL179" s="455">
        <v>0</v>
      </c>
      <c r="AM179" s="458">
        <v>0</v>
      </c>
      <c r="AN179" s="10"/>
    </row>
    <row r="180" spans="1:40" s="467" customFormat="1" x14ac:dyDescent="0.2">
      <c r="A180" s="623"/>
      <c r="N180" s="10"/>
      <c r="P180" s="10"/>
      <c r="Q180" s="10"/>
      <c r="R180" s="10"/>
      <c r="S180" s="155">
        <f>+IF(MARZO!S180=0,"",MARZO!S180)</f>
        <v>3200400</v>
      </c>
      <c r="T180" s="159" t="str">
        <f>+IF(MARZO!T180=0,"",MARZO!T180)</f>
        <v>Intereses a las cesantias</v>
      </c>
      <c r="U180" s="29">
        <f>+ENERO!U180</f>
        <v>14660094</v>
      </c>
      <c r="V180" s="17">
        <f>MARZO!V180+ABRIL!AL180</f>
        <v>0</v>
      </c>
      <c r="W180" s="17">
        <f>MARZO!W180+ABRIL!AM180</f>
        <v>0</v>
      </c>
      <c r="X180" s="20">
        <f t="shared" si="157"/>
        <v>14660094</v>
      </c>
      <c r="Y180" s="21">
        <f>MARZO!AA180</f>
        <v>578943</v>
      </c>
      <c r="Z180" s="457">
        <v>0</v>
      </c>
      <c r="AA180" s="20">
        <f t="shared" si="158"/>
        <v>578943</v>
      </c>
      <c r="AB180" s="21">
        <f>MARZO!AD180</f>
        <v>578943</v>
      </c>
      <c r="AC180" s="457">
        <v>0</v>
      </c>
      <c r="AD180" s="20">
        <f t="shared" si="159"/>
        <v>578943</v>
      </c>
      <c r="AE180" s="21">
        <f>MARZO!AG180</f>
        <v>0</v>
      </c>
      <c r="AF180" s="457">
        <v>0</v>
      </c>
      <c r="AG180" s="20">
        <f t="shared" si="160"/>
        <v>0</v>
      </c>
      <c r="AH180" s="21">
        <f t="shared" si="161"/>
        <v>14081151</v>
      </c>
      <c r="AI180" s="17">
        <f t="shared" si="162"/>
        <v>14081151</v>
      </c>
      <c r="AJ180" s="18">
        <f t="shared" si="163"/>
        <v>14660094</v>
      </c>
      <c r="AK180" s="10"/>
      <c r="AL180" s="455">
        <v>0</v>
      </c>
      <c r="AM180" s="458">
        <v>0</v>
      </c>
      <c r="AN180" s="10"/>
    </row>
    <row r="181" spans="1:40" s="467" customFormat="1" x14ac:dyDescent="0.2">
      <c r="A181" s="623"/>
      <c r="N181" s="10"/>
      <c r="P181" s="10"/>
      <c r="Q181" s="10"/>
      <c r="R181" s="10"/>
      <c r="S181" s="155" t="str">
        <f>+IF(MARZO!S181=0,"",MARZO!S181)</f>
        <v/>
      </c>
      <c r="T181" s="159" t="str">
        <f>+IF(MARZO!T181=0,"",MARZO!T181)</f>
        <v/>
      </c>
      <c r="U181" s="29">
        <f>+ENERO!U181</f>
        <v>0</v>
      </c>
      <c r="V181" s="17">
        <f>MARZO!V181+ABRIL!AL181</f>
        <v>0</v>
      </c>
      <c r="W181" s="17">
        <f>MARZO!W181+ABRIL!AM181</f>
        <v>0</v>
      </c>
      <c r="X181" s="20">
        <f t="shared" si="157"/>
        <v>0</v>
      </c>
      <c r="Y181" s="21">
        <f>MARZO!AA181</f>
        <v>0</v>
      </c>
      <c r="Z181" s="457">
        <v>0</v>
      </c>
      <c r="AA181" s="20">
        <f t="shared" si="158"/>
        <v>0</v>
      </c>
      <c r="AB181" s="21">
        <f>MARZO!AD181</f>
        <v>0</v>
      </c>
      <c r="AC181" s="457">
        <v>0</v>
      </c>
      <c r="AD181" s="20">
        <f t="shared" si="159"/>
        <v>0</v>
      </c>
      <c r="AE181" s="21">
        <f>MARZO!AG181</f>
        <v>0</v>
      </c>
      <c r="AF181" s="457">
        <v>0</v>
      </c>
      <c r="AG181" s="20">
        <f t="shared" si="160"/>
        <v>0</v>
      </c>
      <c r="AH181" s="21">
        <f t="shared" si="161"/>
        <v>0</v>
      </c>
      <c r="AI181" s="17">
        <f t="shared" si="162"/>
        <v>0</v>
      </c>
      <c r="AJ181" s="18">
        <f t="shared" si="163"/>
        <v>0</v>
      </c>
      <c r="AK181" s="10"/>
      <c r="AL181" s="455">
        <v>0</v>
      </c>
      <c r="AM181" s="458">
        <v>0</v>
      </c>
      <c r="AN181" s="10"/>
    </row>
    <row r="182" spans="1:40" s="467" customFormat="1" x14ac:dyDescent="0.2">
      <c r="A182" s="623"/>
      <c r="N182" s="10"/>
      <c r="P182" s="10"/>
      <c r="Q182" s="10"/>
      <c r="R182" s="10"/>
      <c r="S182" s="155" t="str">
        <f>+IF(MARZO!S182=0,"",MARZO!S182)</f>
        <v/>
      </c>
      <c r="T182" s="159" t="str">
        <f>+IF(MARZO!T182=0,"",MARZO!T182)</f>
        <v/>
      </c>
      <c r="U182" s="29">
        <f>+ENERO!U182</f>
        <v>0</v>
      </c>
      <c r="V182" s="17">
        <f>MARZO!V182+ABRIL!AL182</f>
        <v>0</v>
      </c>
      <c r="W182" s="17">
        <f>MARZO!W182+ABRIL!AM182</f>
        <v>0</v>
      </c>
      <c r="X182" s="20">
        <f t="shared" si="157"/>
        <v>0</v>
      </c>
      <c r="Y182" s="21">
        <f>MARZO!AA182</f>
        <v>0</v>
      </c>
      <c r="Z182" s="457">
        <v>0</v>
      </c>
      <c r="AA182" s="20">
        <f t="shared" si="158"/>
        <v>0</v>
      </c>
      <c r="AB182" s="21">
        <f>MARZO!AD182</f>
        <v>0</v>
      </c>
      <c r="AC182" s="457">
        <v>0</v>
      </c>
      <c r="AD182" s="20">
        <f t="shared" si="159"/>
        <v>0</v>
      </c>
      <c r="AE182" s="21">
        <f>MARZO!AG182</f>
        <v>0</v>
      </c>
      <c r="AF182" s="457">
        <v>0</v>
      </c>
      <c r="AG182" s="20">
        <f t="shared" si="160"/>
        <v>0</v>
      </c>
      <c r="AH182" s="21">
        <f t="shared" si="161"/>
        <v>0</v>
      </c>
      <c r="AI182" s="17">
        <f t="shared" si="162"/>
        <v>0</v>
      </c>
      <c r="AJ182" s="18">
        <f t="shared" si="163"/>
        <v>0</v>
      </c>
      <c r="AK182" s="10"/>
      <c r="AL182" s="455">
        <v>0</v>
      </c>
      <c r="AM182" s="458">
        <v>0</v>
      </c>
      <c r="AN182" s="10"/>
    </row>
    <row r="183" spans="1:40" s="467" customFormat="1" x14ac:dyDescent="0.2">
      <c r="A183" s="623"/>
      <c r="N183" s="10"/>
      <c r="P183" s="10"/>
      <c r="Q183" s="10"/>
      <c r="R183" s="10"/>
      <c r="S183" s="155">
        <f>+IF(MARZO!S183=0,"",MARZO!S183)</f>
        <v>3299999</v>
      </c>
      <c r="T183" s="159" t="str">
        <f>+IF(MARZO!T183=0,"",MARZO!T183)</f>
        <v>Vigencias Anteriores</v>
      </c>
      <c r="U183" s="29">
        <f>+ENERO!U183</f>
        <v>2000000</v>
      </c>
      <c r="V183" s="17">
        <f>MARZO!V183+ABRIL!AL183</f>
        <v>3591005</v>
      </c>
      <c r="W183" s="17">
        <f>MARZO!W183+ABRIL!AM183</f>
        <v>0</v>
      </c>
      <c r="X183" s="20">
        <f t="shared" si="157"/>
        <v>5591005</v>
      </c>
      <c r="Y183" s="21">
        <f>MARZO!AA183</f>
        <v>5591005</v>
      </c>
      <c r="Z183" s="457">
        <v>0</v>
      </c>
      <c r="AA183" s="20">
        <f t="shared" si="158"/>
        <v>5591005</v>
      </c>
      <c r="AB183" s="21">
        <f>MARZO!AD183</f>
        <v>5591005</v>
      </c>
      <c r="AC183" s="457">
        <v>0</v>
      </c>
      <c r="AD183" s="20">
        <f t="shared" si="159"/>
        <v>5591005</v>
      </c>
      <c r="AE183" s="21">
        <f>MARZO!AG183</f>
        <v>4641064</v>
      </c>
      <c r="AF183" s="457">
        <v>4871</v>
      </c>
      <c r="AG183" s="20">
        <f t="shared" si="160"/>
        <v>4645935</v>
      </c>
      <c r="AH183" s="21">
        <f t="shared" si="161"/>
        <v>0</v>
      </c>
      <c r="AI183" s="17">
        <f t="shared" si="162"/>
        <v>0</v>
      </c>
      <c r="AJ183" s="18">
        <f t="shared" si="163"/>
        <v>945070</v>
      </c>
      <c r="AK183" s="10"/>
      <c r="AL183" s="455">
        <v>0</v>
      </c>
      <c r="AM183" s="458">
        <v>0</v>
      </c>
      <c r="AN183" s="10"/>
    </row>
    <row r="184" spans="1:40" s="467" customFormat="1" ht="15.75" x14ac:dyDescent="0.2">
      <c r="A184" s="623"/>
      <c r="N184" s="10"/>
      <c r="P184" s="10"/>
      <c r="Q184" s="10"/>
      <c r="R184" s="10"/>
      <c r="S184" s="448" t="str">
        <f>+IF(MARZO!S184=0,"",MARZO!S184)</f>
        <v/>
      </c>
      <c r="T184" s="649" t="str">
        <f>+IF(MARZO!T184=0,"",MARZO!T184)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+IF(MARZO!S185=0,"",MARZO!S185)</f>
        <v>3300000</v>
      </c>
      <c r="T185" s="158" t="str">
        <f>+IF(MARZO!T185=0,"",MARZO!T185)</f>
        <v>Otras Transferencias</v>
      </c>
      <c r="U185" s="157">
        <f t="shared" ref="U185:AJ185" si="164">U186+U187+U191</f>
        <v>1500000</v>
      </c>
      <c r="V185" s="144">
        <f t="shared" si="164"/>
        <v>476550</v>
      </c>
      <c r="W185" s="144">
        <f t="shared" si="164"/>
        <v>0</v>
      </c>
      <c r="X185" s="152">
        <f t="shared" si="164"/>
        <v>1976550</v>
      </c>
      <c r="Y185" s="151">
        <f t="shared" si="164"/>
        <v>476550</v>
      </c>
      <c r="Z185" s="144">
        <f t="shared" si="164"/>
        <v>139200</v>
      </c>
      <c r="AA185" s="152">
        <f t="shared" si="164"/>
        <v>615750</v>
      </c>
      <c r="AB185" s="151">
        <f t="shared" si="164"/>
        <v>476550</v>
      </c>
      <c r="AC185" s="144">
        <f t="shared" si="164"/>
        <v>139200</v>
      </c>
      <c r="AD185" s="152">
        <f t="shared" si="164"/>
        <v>615750</v>
      </c>
      <c r="AE185" s="151">
        <f t="shared" si="164"/>
        <v>476550</v>
      </c>
      <c r="AF185" s="144">
        <f t="shared" si="164"/>
        <v>0</v>
      </c>
      <c r="AG185" s="152">
        <f t="shared" si="164"/>
        <v>476550</v>
      </c>
      <c r="AH185" s="151">
        <f t="shared" si="164"/>
        <v>1360800</v>
      </c>
      <c r="AI185" s="144">
        <f t="shared" si="164"/>
        <v>1360800</v>
      </c>
      <c r="AJ185" s="153">
        <f t="shared" si="164"/>
        <v>1500000</v>
      </c>
      <c r="AK185" s="10"/>
      <c r="AL185" s="151">
        <f>AL186+AL187+AL191</f>
        <v>0</v>
      </c>
      <c r="AM185" s="153">
        <f>AM186+AM187+AM191</f>
        <v>0</v>
      </c>
      <c r="AN185" s="10"/>
    </row>
    <row r="186" spans="1:40" s="467" customFormat="1" x14ac:dyDescent="0.2">
      <c r="A186" s="623"/>
      <c r="N186" s="10"/>
      <c r="P186" s="10"/>
      <c r="Q186" s="10"/>
      <c r="R186" s="10"/>
      <c r="S186" s="155">
        <f>+IF(MARZO!S186=0,"",MARZO!S186)</f>
        <v>3300100</v>
      </c>
      <c r="T186" s="159" t="str">
        <f>+IF(MARZO!T186=0,"",MARZO!T186)</f>
        <v>Sentencias y Conciliaciones</v>
      </c>
      <c r="U186" s="29">
        <f>+ENERO!U186</f>
        <v>0</v>
      </c>
      <c r="V186" s="17">
        <f>MARZO!V186+ABRIL!AL186</f>
        <v>0</v>
      </c>
      <c r="W186" s="17">
        <f>MARZO!W186+ABRIL!AM186</f>
        <v>0</v>
      </c>
      <c r="X186" s="20">
        <f>SUM(U186:W186)</f>
        <v>0</v>
      </c>
      <c r="Y186" s="21">
        <f>MARZO!AA186</f>
        <v>0</v>
      </c>
      <c r="Z186" s="457">
        <v>0</v>
      </c>
      <c r="AA186" s="20">
        <f>SUM(Y186:Z186)</f>
        <v>0</v>
      </c>
      <c r="AB186" s="21">
        <f>MARZO!AD186</f>
        <v>0</v>
      </c>
      <c r="AC186" s="457">
        <v>0</v>
      </c>
      <c r="AD186" s="20">
        <f>SUM(AB186:AC186)</f>
        <v>0</v>
      </c>
      <c r="AE186" s="21">
        <f>MARZO!AG186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+IF(MARZO!S187=0,"",MARZO!S187)</f>
        <v>3300200</v>
      </c>
      <c r="T187" s="159" t="str">
        <f>+IF(MARZO!T187=0,"",MARZO!T187)</f>
        <v>Destinatarios de otras transferencias</v>
      </c>
      <c r="U187" s="29">
        <f t="shared" ref="U187:AM187" si="165">SUM(U188:U190)</f>
        <v>1500000</v>
      </c>
      <c r="V187" s="17">
        <f t="shared" si="165"/>
        <v>0</v>
      </c>
      <c r="W187" s="17">
        <f t="shared" si="165"/>
        <v>0</v>
      </c>
      <c r="X187" s="20">
        <f t="shared" si="165"/>
        <v>1500000</v>
      </c>
      <c r="Y187" s="21">
        <f t="shared" si="165"/>
        <v>0</v>
      </c>
      <c r="Z187" s="169">
        <f t="shared" si="165"/>
        <v>139200</v>
      </c>
      <c r="AA187" s="20">
        <f t="shared" si="165"/>
        <v>139200</v>
      </c>
      <c r="AB187" s="21">
        <f t="shared" si="165"/>
        <v>0</v>
      </c>
      <c r="AC187" s="169">
        <f t="shared" si="165"/>
        <v>139200</v>
      </c>
      <c r="AD187" s="20">
        <f t="shared" si="165"/>
        <v>139200</v>
      </c>
      <c r="AE187" s="21">
        <f t="shared" si="165"/>
        <v>0</v>
      </c>
      <c r="AF187" s="169">
        <f t="shared" si="165"/>
        <v>0</v>
      </c>
      <c r="AG187" s="20">
        <f t="shared" si="165"/>
        <v>0</v>
      </c>
      <c r="AH187" s="21">
        <f t="shared" si="165"/>
        <v>1360800</v>
      </c>
      <c r="AI187" s="17">
        <f t="shared" si="165"/>
        <v>1360800</v>
      </c>
      <c r="AJ187" s="18">
        <f t="shared" si="165"/>
        <v>1500000</v>
      </c>
      <c r="AK187" s="10"/>
      <c r="AL187" s="18">
        <f t="shared" si="165"/>
        <v>0</v>
      </c>
      <c r="AM187" s="18">
        <f t="shared" si="165"/>
        <v>0</v>
      </c>
      <c r="AN187" s="10"/>
    </row>
    <row r="188" spans="1:40" s="467" customFormat="1" x14ac:dyDescent="0.2">
      <c r="A188" s="623"/>
      <c r="B188" s="554"/>
      <c r="N188" s="10"/>
      <c r="P188" s="10"/>
      <c r="Q188" s="10"/>
      <c r="R188" s="10"/>
      <c r="S188" s="156" t="str">
        <f>+IF(MARZO!S188=0,"",MARZO!S188)</f>
        <v>3300200-1</v>
      </c>
      <c r="T188" s="159" t="str">
        <f>+IF(MARZO!T188=0,"",MARZO!T188)</f>
        <v>COHAN</v>
      </c>
      <c r="U188" s="29">
        <f>+ENERO!U188</f>
        <v>1500000</v>
      </c>
      <c r="V188" s="17">
        <f>MARZO!V188+ABRIL!AL188</f>
        <v>0</v>
      </c>
      <c r="W188" s="17">
        <f>MARZO!W188+ABRIL!AM188</f>
        <v>0</v>
      </c>
      <c r="X188" s="20">
        <f>SUM(U188:W188)</f>
        <v>1500000</v>
      </c>
      <c r="Y188" s="21">
        <f>MARZO!AA188</f>
        <v>0</v>
      </c>
      <c r="Z188" s="457">
        <v>139200</v>
      </c>
      <c r="AA188" s="20">
        <f>SUM(Y188:Z188)</f>
        <v>139200</v>
      </c>
      <c r="AB188" s="21">
        <f>MARZO!AD188</f>
        <v>0</v>
      </c>
      <c r="AC188" s="457">
        <v>139200</v>
      </c>
      <c r="AD188" s="20">
        <f>SUM(AB188:AC188)</f>
        <v>139200</v>
      </c>
      <c r="AE188" s="21">
        <f>MARZO!AG188</f>
        <v>0</v>
      </c>
      <c r="AF188" s="457">
        <v>0</v>
      </c>
      <c r="AG188" s="20">
        <f>SUM(AE188:AF188)</f>
        <v>0</v>
      </c>
      <c r="AH188" s="21">
        <f>X188-AA188</f>
        <v>1360800</v>
      </c>
      <c r="AI188" s="17">
        <f>X188-AD188</f>
        <v>1360800</v>
      </c>
      <c r="AJ188" s="18">
        <f>X188-AG188</f>
        <v>1500000</v>
      </c>
      <c r="AK188" s="10"/>
      <c r="AL188" s="455">
        <v>0</v>
      </c>
      <c r="AM188" s="458">
        <v>0</v>
      </c>
      <c r="AN188" s="10"/>
    </row>
    <row r="189" spans="1:40" s="467" customFormat="1" x14ac:dyDescent="0.2">
      <c r="A189" s="623"/>
      <c r="B189" s="554"/>
      <c r="N189" s="10"/>
      <c r="P189" s="10"/>
      <c r="Q189" s="10"/>
      <c r="R189" s="10"/>
      <c r="S189" s="156" t="str">
        <f>+IF(MARZO!S189=0,"",MARZO!S189)</f>
        <v>3300200-2</v>
      </c>
      <c r="T189" s="159" t="str">
        <f>+IF(MARZO!T189=0,"",MARZO!T189)</f>
        <v>AESA</v>
      </c>
      <c r="U189" s="29">
        <f>+ENERO!U189</f>
        <v>0</v>
      </c>
      <c r="V189" s="17">
        <f>MARZO!V189+ABRIL!AL189</f>
        <v>0</v>
      </c>
      <c r="W189" s="17">
        <f>MARZO!W189+ABRIL!AM189</f>
        <v>0</v>
      </c>
      <c r="X189" s="20">
        <f>SUM(U189:W189)</f>
        <v>0</v>
      </c>
      <c r="Y189" s="21">
        <f>MARZO!AA189</f>
        <v>0</v>
      </c>
      <c r="Z189" s="457">
        <v>0</v>
      </c>
      <c r="AA189" s="20">
        <f>SUM(Y189:Z189)</f>
        <v>0</v>
      </c>
      <c r="AB189" s="21">
        <f>MARZO!AD189</f>
        <v>0</v>
      </c>
      <c r="AC189" s="457">
        <v>0</v>
      </c>
      <c r="AD189" s="20">
        <f>SUM(AB189:AC189)</f>
        <v>0</v>
      </c>
      <c r="AE189" s="21">
        <f>MARZO!AG189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+IF(MARZO!S190=0,"",MARZO!S190)</f>
        <v>3300200-3</v>
      </c>
      <c r="T190" s="159" t="str">
        <f>+IF(MARZO!T190=0,"",MARZO!T190)</f>
        <v xml:space="preserve">OTRAS </v>
      </c>
      <c r="U190" s="29">
        <f>+ENERO!U190</f>
        <v>0</v>
      </c>
      <c r="V190" s="17">
        <f>MARZO!V190+ABRIL!AL190</f>
        <v>0</v>
      </c>
      <c r="W190" s="17">
        <f>MARZO!W190+ABRIL!AM190</f>
        <v>0</v>
      </c>
      <c r="X190" s="20">
        <f>SUM(U190:W190)</f>
        <v>0</v>
      </c>
      <c r="Y190" s="21">
        <f>MARZO!AA190</f>
        <v>0</v>
      </c>
      <c r="Z190" s="457">
        <v>0</v>
      </c>
      <c r="AA190" s="20">
        <f>SUM(Y190:Z190)</f>
        <v>0</v>
      </c>
      <c r="AB190" s="21">
        <f>MARZO!AD190</f>
        <v>0</v>
      </c>
      <c r="AC190" s="457">
        <v>0</v>
      </c>
      <c r="AD190" s="20">
        <f>SUM(AB190:AC190)</f>
        <v>0</v>
      </c>
      <c r="AE190" s="21">
        <f>MARZO!AG190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+IF(MARZO!S191=0,"",MARZO!S191)</f>
        <v>3399999</v>
      </c>
      <c r="T191" s="159" t="str">
        <f>+IF(MARZO!T191=0,"",MARZO!T191)</f>
        <v>Vigencias Anteriores</v>
      </c>
      <c r="U191" s="29">
        <f>+ENERO!U191</f>
        <v>0</v>
      </c>
      <c r="V191" s="17">
        <f>MARZO!V191+ABRIL!AL191</f>
        <v>476550</v>
      </c>
      <c r="W191" s="17">
        <f>MARZO!W191+ABRIL!AM191</f>
        <v>0</v>
      </c>
      <c r="X191" s="20">
        <f>SUM(U191:W191)</f>
        <v>476550</v>
      </c>
      <c r="Y191" s="21">
        <f>MARZO!AA191</f>
        <v>476550</v>
      </c>
      <c r="Z191" s="457">
        <v>0</v>
      </c>
      <c r="AA191" s="20">
        <f>SUM(Y191:Z191)</f>
        <v>476550</v>
      </c>
      <c r="AB191" s="21">
        <f>MARZO!AD191</f>
        <v>476550</v>
      </c>
      <c r="AC191" s="457">
        <v>0</v>
      </c>
      <c r="AD191" s="20">
        <f>SUM(AB191:AC191)</f>
        <v>476550</v>
      </c>
      <c r="AE191" s="21">
        <f>MARZO!AG191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+IF(MARZO!S192=0,"",MARZO!S192)</f>
        <v/>
      </c>
      <c r="T192" s="649" t="str">
        <f>+IF(MARZO!T192=0,"",MARZO!T192)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+IF(MARZO!S193=0,"",MARZO!S193)</f>
        <v>4000000</v>
      </c>
      <c r="T193" s="588" t="str">
        <f>+IF(MARZO!T193=0,"",MARZO!T193)</f>
        <v>GASTOS  DE PRESTACION DE SERVICIOS</v>
      </c>
      <c r="U193" s="589">
        <f t="shared" ref="U193:AJ193" si="166">U194</f>
        <v>355892858</v>
      </c>
      <c r="V193" s="590">
        <f t="shared" si="166"/>
        <v>15217291</v>
      </c>
      <c r="W193" s="590">
        <f t="shared" si="166"/>
        <v>17783068</v>
      </c>
      <c r="X193" s="591">
        <f t="shared" si="166"/>
        <v>388893217</v>
      </c>
      <c r="Y193" s="464">
        <f t="shared" si="166"/>
        <v>120780800</v>
      </c>
      <c r="Z193" s="590">
        <f t="shared" si="166"/>
        <v>37984064</v>
      </c>
      <c r="AA193" s="591">
        <f t="shared" si="166"/>
        <v>158764864</v>
      </c>
      <c r="AB193" s="464">
        <f t="shared" si="166"/>
        <v>120753800</v>
      </c>
      <c r="AC193" s="590">
        <f t="shared" si="166"/>
        <v>37984063</v>
      </c>
      <c r="AD193" s="591">
        <f t="shared" si="166"/>
        <v>158737863</v>
      </c>
      <c r="AE193" s="464">
        <f t="shared" si="166"/>
        <v>57865767</v>
      </c>
      <c r="AF193" s="590">
        <f t="shared" si="166"/>
        <v>22423521</v>
      </c>
      <c r="AG193" s="591">
        <f t="shared" si="166"/>
        <v>80289288</v>
      </c>
      <c r="AH193" s="464">
        <f t="shared" si="166"/>
        <v>230128353</v>
      </c>
      <c r="AI193" s="590">
        <f t="shared" si="166"/>
        <v>230155354</v>
      </c>
      <c r="AJ193" s="465">
        <f t="shared" si="166"/>
        <v>308603929</v>
      </c>
      <c r="AK193" s="10"/>
      <c r="AL193" s="151">
        <f>AL194</f>
        <v>0</v>
      </c>
      <c r="AM193" s="153">
        <f>AM194</f>
        <v>0</v>
      </c>
      <c r="AN193" s="10"/>
    </row>
    <row r="194" spans="1:40" s="467" customFormat="1" ht="15" x14ac:dyDescent="0.2">
      <c r="A194" s="623"/>
      <c r="B194" s="554"/>
      <c r="N194" s="10"/>
      <c r="P194" s="10"/>
      <c r="Q194" s="10"/>
      <c r="R194" s="10"/>
      <c r="S194" s="34">
        <f>+IF(MARZO!S194=0,"",MARZO!S194)</f>
        <v>4100000</v>
      </c>
      <c r="T194" s="158" t="str">
        <f>+IF(MARZO!T194=0,"",MARZO!T194)</f>
        <v>Insumos y Suministros Hospitalarios</v>
      </c>
      <c r="U194" s="157">
        <f t="shared" ref="U194:AJ194" si="167">U195+U203+U205</f>
        <v>355892858</v>
      </c>
      <c r="V194" s="144">
        <f t="shared" si="167"/>
        <v>15217291</v>
      </c>
      <c r="W194" s="144">
        <f t="shared" si="167"/>
        <v>17783068</v>
      </c>
      <c r="X194" s="152">
        <f t="shared" si="167"/>
        <v>388893217</v>
      </c>
      <c r="Y194" s="151">
        <f t="shared" si="167"/>
        <v>120780800</v>
      </c>
      <c r="Z194" s="144">
        <f t="shared" si="167"/>
        <v>37984064</v>
      </c>
      <c r="AA194" s="152">
        <f t="shared" si="167"/>
        <v>158764864</v>
      </c>
      <c r="AB194" s="151">
        <f t="shared" si="167"/>
        <v>120753800</v>
      </c>
      <c r="AC194" s="144">
        <f t="shared" si="167"/>
        <v>37984063</v>
      </c>
      <c r="AD194" s="152">
        <f t="shared" si="167"/>
        <v>158737863</v>
      </c>
      <c r="AE194" s="151">
        <f t="shared" si="167"/>
        <v>57865767</v>
      </c>
      <c r="AF194" s="144">
        <f t="shared" si="167"/>
        <v>22423521</v>
      </c>
      <c r="AG194" s="152">
        <f t="shared" si="167"/>
        <v>80289288</v>
      </c>
      <c r="AH194" s="151">
        <f t="shared" si="167"/>
        <v>230128353</v>
      </c>
      <c r="AI194" s="144">
        <f t="shared" si="167"/>
        <v>230155354</v>
      </c>
      <c r="AJ194" s="153">
        <f t="shared" si="167"/>
        <v>308603929</v>
      </c>
      <c r="AK194" s="12"/>
      <c r="AL194" s="151">
        <f>AL195+AL203+AL205</f>
        <v>0</v>
      </c>
      <c r="AM194" s="153">
        <f>AM195+AM203+AM205</f>
        <v>0</v>
      </c>
      <c r="AN194" s="10"/>
    </row>
    <row r="195" spans="1:40" s="467" customFormat="1" x14ac:dyDescent="0.2">
      <c r="A195" s="623"/>
      <c r="B195" s="554"/>
      <c r="N195" s="10"/>
      <c r="P195" s="10"/>
      <c r="Q195" s="10"/>
      <c r="R195" s="10"/>
      <c r="S195" s="155">
        <f>+IF(MARZO!S195=0,"",MARZO!S195)</f>
        <v>4100100</v>
      </c>
      <c r="T195" s="159" t="str">
        <f>+IF(MARZO!T195=0,"",MARZO!T195)</f>
        <v>Compra de Bienes para la Prestacion de servicios</v>
      </c>
      <c r="U195" s="29">
        <f t="shared" ref="U195:AJ195" si="168">SUM(U196:U202)</f>
        <v>282124359</v>
      </c>
      <c r="V195" s="17">
        <f t="shared" si="168"/>
        <v>0</v>
      </c>
      <c r="W195" s="17">
        <f t="shared" si="168"/>
        <v>17783068</v>
      </c>
      <c r="X195" s="20">
        <f t="shared" si="168"/>
        <v>299907427</v>
      </c>
      <c r="Y195" s="21">
        <f t="shared" si="168"/>
        <v>55195020</v>
      </c>
      <c r="Z195" s="169">
        <f t="shared" si="168"/>
        <v>36577740</v>
      </c>
      <c r="AA195" s="20">
        <f t="shared" si="168"/>
        <v>91772760</v>
      </c>
      <c r="AB195" s="21">
        <f t="shared" si="168"/>
        <v>55168020</v>
      </c>
      <c r="AC195" s="169">
        <f t="shared" si="168"/>
        <v>36577739</v>
      </c>
      <c r="AD195" s="20">
        <f t="shared" si="168"/>
        <v>91745759</v>
      </c>
      <c r="AE195" s="21">
        <f t="shared" si="168"/>
        <v>1763050</v>
      </c>
      <c r="AF195" s="169">
        <f t="shared" si="168"/>
        <v>16592746</v>
      </c>
      <c r="AG195" s="20">
        <f t="shared" si="168"/>
        <v>18355796</v>
      </c>
      <c r="AH195" s="21">
        <f t="shared" si="168"/>
        <v>208134667</v>
      </c>
      <c r="AI195" s="17">
        <f t="shared" si="168"/>
        <v>208161668</v>
      </c>
      <c r="AJ195" s="18">
        <f t="shared" si="168"/>
        <v>281551631</v>
      </c>
      <c r="AK195" s="10"/>
      <c r="AL195" s="31">
        <f>SUM(AL196:AL202)</f>
        <v>0</v>
      </c>
      <c r="AM195" s="28">
        <f>SUM(AM196:AM202)</f>
        <v>0</v>
      </c>
      <c r="AN195" s="10"/>
    </row>
    <row r="196" spans="1:40" s="467" customFormat="1" x14ac:dyDescent="0.2">
      <c r="A196" s="623"/>
      <c r="B196" s="554"/>
      <c r="N196" s="10"/>
      <c r="P196" s="10"/>
      <c r="Q196" s="10"/>
      <c r="R196" s="10"/>
      <c r="S196" s="156" t="str">
        <f>+IF(MARZO!S196=0,"",MARZO!S196)</f>
        <v>4100100-1</v>
      </c>
      <c r="T196" s="55" t="str">
        <f>+IF(MARZO!T196=0,"",MARZO!T196)</f>
        <v>Productos Farmaceuticos</v>
      </c>
      <c r="U196" s="29">
        <f>+ENERO!U196</f>
        <v>185254982</v>
      </c>
      <c r="V196" s="17">
        <f>MARZO!V196+ABRIL!AL196</f>
        <v>0</v>
      </c>
      <c r="W196" s="17">
        <f>MARZO!W196+ABRIL!AM196</f>
        <v>17783068</v>
      </c>
      <c r="X196" s="20">
        <f t="shared" ref="X196:X202" si="169">SUM(U196:W196)</f>
        <v>203038050</v>
      </c>
      <c r="Y196" s="21">
        <f>MARZO!AA196</f>
        <v>36279728</v>
      </c>
      <c r="Z196" s="457">
        <v>23575936</v>
      </c>
      <c r="AA196" s="20">
        <f t="shared" ref="AA196:AA202" si="170">SUM(Y196:Z196)</f>
        <v>59855664</v>
      </c>
      <c r="AB196" s="21">
        <f>MARZO!AD196</f>
        <v>36252728</v>
      </c>
      <c r="AC196" s="457">
        <v>23575936</v>
      </c>
      <c r="AD196" s="20">
        <f t="shared" ref="AD196:AD202" si="171">SUM(AB196:AC196)</f>
        <v>59828664</v>
      </c>
      <c r="AE196" s="21">
        <f>MARZO!AG196</f>
        <v>653050</v>
      </c>
      <c r="AF196" s="457">
        <v>13486231</v>
      </c>
      <c r="AG196" s="20">
        <f t="shared" ref="AG196:AG202" si="172">SUM(AE196:AF196)</f>
        <v>14139281</v>
      </c>
      <c r="AH196" s="21">
        <f t="shared" ref="AH196:AH202" si="173">X196-AA196</f>
        <v>143182386</v>
      </c>
      <c r="AI196" s="17">
        <f t="shared" ref="AI196:AI202" si="174">X196-AD196</f>
        <v>143209386</v>
      </c>
      <c r="AJ196" s="18">
        <f t="shared" ref="AJ196:AJ202" si="175">X196-AG196</f>
        <v>188898769</v>
      </c>
      <c r="AK196" s="10"/>
      <c r="AL196" s="455">
        <v>0</v>
      </c>
      <c r="AM196" s="458">
        <v>0</v>
      </c>
      <c r="AN196" s="10"/>
    </row>
    <row r="197" spans="1:40" s="467" customFormat="1" x14ac:dyDescent="0.2">
      <c r="A197" s="623"/>
      <c r="B197" s="554"/>
      <c r="N197" s="10"/>
      <c r="P197" s="10"/>
      <c r="Q197" s="10"/>
      <c r="R197" s="10"/>
      <c r="S197" s="156" t="str">
        <f>+IF(MARZO!S197=0,"",MARZO!S197)</f>
        <v>4100100-2</v>
      </c>
      <c r="T197" s="55" t="str">
        <f>+IF(MARZO!T197=0,"",MARZO!T197)</f>
        <v>Material Médico Quirúrgico</v>
      </c>
      <c r="U197" s="29">
        <f>+ENERO!U197</f>
        <v>45805235</v>
      </c>
      <c r="V197" s="17">
        <f>MARZO!V197+ABRIL!AL197</f>
        <v>0</v>
      </c>
      <c r="W197" s="17">
        <f>MARZO!W197+ABRIL!AM197</f>
        <v>0</v>
      </c>
      <c r="X197" s="20">
        <f t="shared" si="169"/>
        <v>45805235</v>
      </c>
      <c r="Y197" s="21">
        <f>MARZO!AA197</f>
        <v>10427563</v>
      </c>
      <c r="Z197" s="457">
        <v>5356747</v>
      </c>
      <c r="AA197" s="20">
        <f t="shared" si="170"/>
        <v>15784310</v>
      </c>
      <c r="AB197" s="21">
        <f>MARZO!AD197</f>
        <v>10427563</v>
      </c>
      <c r="AC197" s="457">
        <v>5356746</v>
      </c>
      <c r="AD197" s="20">
        <f t="shared" si="171"/>
        <v>15784309</v>
      </c>
      <c r="AE197" s="21">
        <f>MARZO!AG197</f>
        <v>0</v>
      </c>
      <c r="AF197" s="457">
        <v>2867710</v>
      </c>
      <c r="AG197" s="20">
        <f t="shared" si="172"/>
        <v>2867710</v>
      </c>
      <c r="AH197" s="21">
        <f t="shared" si="173"/>
        <v>30020925</v>
      </c>
      <c r="AI197" s="17">
        <f t="shared" si="174"/>
        <v>30020926</v>
      </c>
      <c r="AJ197" s="18">
        <f t="shared" si="175"/>
        <v>42937525</v>
      </c>
      <c r="AK197" s="10"/>
      <c r="AL197" s="455">
        <v>0</v>
      </c>
      <c r="AM197" s="458">
        <v>0</v>
      </c>
      <c r="AN197" s="10"/>
    </row>
    <row r="198" spans="1:40" s="467" customFormat="1" x14ac:dyDescent="0.2">
      <c r="A198" s="623"/>
      <c r="B198" s="554"/>
      <c r="N198" s="10"/>
      <c r="P198" s="10"/>
      <c r="Q198" s="10"/>
      <c r="R198" s="10"/>
      <c r="S198" s="156" t="str">
        <f>+IF(MARZO!S198=0,"",MARZO!S198)</f>
        <v>4100100-3</v>
      </c>
      <c r="T198" s="55" t="str">
        <f>+IF(MARZO!T198=0,"",MARZO!T198)</f>
        <v>Material de Laboratorio</v>
      </c>
      <c r="U198" s="29">
        <f>+ENERO!U198</f>
        <v>28507645</v>
      </c>
      <c r="V198" s="17">
        <f>MARZO!V198+ABRIL!AL198</f>
        <v>0</v>
      </c>
      <c r="W198" s="17">
        <f>MARZO!W198+ABRIL!AM198</f>
        <v>0</v>
      </c>
      <c r="X198" s="20">
        <f t="shared" si="169"/>
        <v>28507645</v>
      </c>
      <c r="Y198" s="21">
        <f>MARZO!AA198</f>
        <v>5179884</v>
      </c>
      <c r="Z198" s="457">
        <v>3666880</v>
      </c>
      <c r="AA198" s="20">
        <f t="shared" si="170"/>
        <v>8846764</v>
      </c>
      <c r="AB198" s="21">
        <f>MARZO!AD198</f>
        <v>5179884</v>
      </c>
      <c r="AC198" s="457">
        <v>3666880</v>
      </c>
      <c r="AD198" s="20">
        <f t="shared" si="171"/>
        <v>8846764</v>
      </c>
      <c r="AE198" s="21">
        <f>MARZO!AG198</f>
        <v>1110000</v>
      </c>
      <c r="AF198" s="457">
        <v>0</v>
      </c>
      <c r="AG198" s="20">
        <f t="shared" si="172"/>
        <v>1110000</v>
      </c>
      <c r="AH198" s="21">
        <f t="shared" si="173"/>
        <v>19660881</v>
      </c>
      <c r="AI198" s="17">
        <f t="shared" si="174"/>
        <v>19660881</v>
      </c>
      <c r="AJ198" s="18">
        <f t="shared" si="175"/>
        <v>27397645</v>
      </c>
      <c r="AK198" s="10"/>
      <c r="AL198" s="455">
        <v>0</v>
      </c>
      <c r="AM198" s="458">
        <v>0</v>
      </c>
      <c r="AN198" s="10"/>
    </row>
    <row r="199" spans="1:40" s="467" customFormat="1" x14ac:dyDescent="0.2">
      <c r="A199" s="623"/>
      <c r="B199" s="554"/>
      <c r="N199" s="10"/>
      <c r="P199" s="10"/>
      <c r="Q199" s="10"/>
      <c r="R199" s="10"/>
      <c r="S199" s="156" t="str">
        <f>+IF(MARZO!S199=0,"",MARZO!S199)</f>
        <v>4100100-4</v>
      </c>
      <c r="T199" s="55" t="str">
        <f>+IF(MARZO!T199=0,"",MARZO!T199)</f>
        <v>Material para Odontologia</v>
      </c>
      <c r="U199" s="29">
        <f>+ENERO!U199</f>
        <v>13598841</v>
      </c>
      <c r="V199" s="17">
        <f>MARZO!V199+ABRIL!AL199</f>
        <v>0</v>
      </c>
      <c r="W199" s="17">
        <f>MARZO!W199+ABRIL!AM199</f>
        <v>0</v>
      </c>
      <c r="X199" s="20">
        <f t="shared" si="169"/>
        <v>13598841</v>
      </c>
      <c r="Y199" s="21">
        <f>MARZO!AA199</f>
        <v>1265400</v>
      </c>
      <c r="Z199" s="457">
        <v>3705340</v>
      </c>
      <c r="AA199" s="20">
        <f t="shared" si="170"/>
        <v>4970740</v>
      </c>
      <c r="AB199" s="21">
        <f>MARZO!AD199</f>
        <v>1265400</v>
      </c>
      <c r="AC199" s="457">
        <v>3705340</v>
      </c>
      <c r="AD199" s="20">
        <f t="shared" si="171"/>
        <v>4970740</v>
      </c>
      <c r="AE199" s="21">
        <f>MARZO!AG199</f>
        <v>0</v>
      </c>
      <c r="AF199" s="457">
        <v>0</v>
      </c>
      <c r="AG199" s="20">
        <f t="shared" si="172"/>
        <v>0</v>
      </c>
      <c r="AH199" s="21">
        <f t="shared" si="173"/>
        <v>8628101</v>
      </c>
      <c r="AI199" s="17">
        <f t="shared" si="174"/>
        <v>8628101</v>
      </c>
      <c r="AJ199" s="18">
        <f t="shared" si="175"/>
        <v>13598841</v>
      </c>
      <c r="AK199" s="10"/>
      <c r="AL199" s="455">
        <v>0</v>
      </c>
      <c r="AM199" s="458">
        <v>0</v>
      </c>
      <c r="AN199" s="10"/>
    </row>
    <row r="200" spans="1:40" s="467" customFormat="1" x14ac:dyDescent="0.2">
      <c r="A200" s="623"/>
      <c r="B200" s="554"/>
      <c r="N200" s="10"/>
      <c r="P200" s="10"/>
      <c r="Q200" s="10"/>
      <c r="R200" s="10"/>
      <c r="S200" s="156" t="str">
        <f>+IF(MARZO!S200=0,"",MARZO!S200)</f>
        <v>4100100-5</v>
      </c>
      <c r="T200" s="55" t="str">
        <f>+IF(MARZO!T200=0,"",MARZO!T200)</f>
        <v>Material para Rayos X</v>
      </c>
      <c r="U200" s="29">
        <f>+ENERO!U200</f>
        <v>8957656</v>
      </c>
      <c r="V200" s="17">
        <f>MARZO!V200+ABRIL!AL200</f>
        <v>0</v>
      </c>
      <c r="W200" s="17">
        <f>MARZO!W200+ABRIL!AM200</f>
        <v>0</v>
      </c>
      <c r="X200" s="20">
        <f t="shared" si="169"/>
        <v>8957656</v>
      </c>
      <c r="Y200" s="21">
        <f>MARZO!AA200</f>
        <v>2042445</v>
      </c>
      <c r="Z200" s="457">
        <v>272837</v>
      </c>
      <c r="AA200" s="20">
        <f t="shared" si="170"/>
        <v>2315282</v>
      </c>
      <c r="AB200" s="21">
        <f>MARZO!AD200</f>
        <v>2042445</v>
      </c>
      <c r="AC200" s="457">
        <v>272837</v>
      </c>
      <c r="AD200" s="20">
        <f t="shared" si="171"/>
        <v>2315282</v>
      </c>
      <c r="AE200" s="21">
        <f>MARZO!AG200</f>
        <v>0</v>
      </c>
      <c r="AF200" s="457">
        <v>238805</v>
      </c>
      <c r="AG200" s="20">
        <f t="shared" si="172"/>
        <v>238805</v>
      </c>
      <c r="AH200" s="21">
        <f t="shared" si="173"/>
        <v>6642374</v>
      </c>
      <c r="AI200" s="17">
        <f t="shared" si="174"/>
        <v>6642374</v>
      </c>
      <c r="AJ200" s="18">
        <f t="shared" si="175"/>
        <v>8718851</v>
      </c>
      <c r="AK200" s="10"/>
      <c r="AL200" s="455">
        <v>0</v>
      </c>
      <c r="AM200" s="458">
        <v>0</v>
      </c>
      <c r="AN200" s="10"/>
    </row>
    <row r="201" spans="1:40" s="467" customFormat="1" x14ac:dyDescent="0.2">
      <c r="A201" s="623"/>
      <c r="B201" s="554"/>
      <c r="N201" s="10"/>
      <c r="P201" s="10"/>
      <c r="Q201" s="10"/>
      <c r="R201" s="10"/>
      <c r="S201" s="156" t="str">
        <f>+IF(MARZO!S201=0,"",MARZO!S201)</f>
        <v/>
      </c>
      <c r="T201" s="55" t="str">
        <f>+IF(MARZO!T201=0,"",MARZO!T201)</f>
        <v/>
      </c>
      <c r="U201" s="29">
        <f>+ENERO!U201</f>
        <v>0</v>
      </c>
      <c r="V201" s="17">
        <f>MARZO!V201+ABRIL!AL201</f>
        <v>0</v>
      </c>
      <c r="W201" s="17">
        <f>MARZO!W201+ABRIL!AM201</f>
        <v>0</v>
      </c>
      <c r="X201" s="20">
        <f t="shared" si="169"/>
        <v>0</v>
      </c>
      <c r="Y201" s="21">
        <f>MARZO!AA201</f>
        <v>0</v>
      </c>
      <c r="Z201" s="457">
        <v>0</v>
      </c>
      <c r="AA201" s="20">
        <f t="shared" si="170"/>
        <v>0</v>
      </c>
      <c r="AB201" s="21">
        <f>MARZO!AD201</f>
        <v>0</v>
      </c>
      <c r="AC201" s="457">
        <v>0</v>
      </c>
      <c r="AD201" s="20">
        <f t="shared" si="171"/>
        <v>0</v>
      </c>
      <c r="AE201" s="21">
        <f>MARZO!AG201</f>
        <v>0</v>
      </c>
      <c r="AF201" s="457">
        <v>0</v>
      </c>
      <c r="AG201" s="20">
        <f t="shared" si="172"/>
        <v>0</v>
      </c>
      <c r="AH201" s="21">
        <f t="shared" si="173"/>
        <v>0</v>
      </c>
      <c r="AI201" s="17">
        <f t="shared" si="174"/>
        <v>0</v>
      </c>
      <c r="AJ201" s="18">
        <f t="shared" si="175"/>
        <v>0</v>
      </c>
      <c r="AK201" s="10"/>
      <c r="AL201" s="455">
        <v>0</v>
      </c>
      <c r="AM201" s="458">
        <v>0</v>
      </c>
      <c r="AN201" s="10"/>
    </row>
    <row r="202" spans="1:40" s="467" customFormat="1" x14ac:dyDescent="0.2">
      <c r="A202" s="623"/>
      <c r="B202" s="554"/>
      <c r="N202" s="10"/>
      <c r="P202" s="10"/>
      <c r="Q202" s="10"/>
      <c r="R202" s="10"/>
      <c r="S202" s="156" t="str">
        <f>+IF(MARZO!S202=0,"",MARZO!S202)</f>
        <v/>
      </c>
      <c r="T202" s="55" t="str">
        <f>+IF(MARZO!T202=0,"",MARZO!T202)</f>
        <v/>
      </c>
      <c r="U202" s="29">
        <f>+ENERO!U202</f>
        <v>0</v>
      </c>
      <c r="V202" s="17">
        <f>MARZO!V202+ABRIL!AL202</f>
        <v>0</v>
      </c>
      <c r="W202" s="17">
        <f>MARZO!W202+ABRIL!AM202</f>
        <v>0</v>
      </c>
      <c r="X202" s="20">
        <f t="shared" si="169"/>
        <v>0</v>
      </c>
      <c r="Y202" s="21">
        <f>MARZO!AA202</f>
        <v>0</v>
      </c>
      <c r="Z202" s="457">
        <v>0</v>
      </c>
      <c r="AA202" s="20">
        <f t="shared" si="170"/>
        <v>0</v>
      </c>
      <c r="AB202" s="21">
        <f>MARZO!AD202</f>
        <v>0</v>
      </c>
      <c r="AC202" s="457">
        <v>0</v>
      </c>
      <c r="AD202" s="20">
        <f t="shared" si="171"/>
        <v>0</v>
      </c>
      <c r="AE202" s="21">
        <f>MARZO!AG202</f>
        <v>0</v>
      </c>
      <c r="AF202" s="457">
        <v>0</v>
      </c>
      <c r="AG202" s="20">
        <f t="shared" si="172"/>
        <v>0</v>
      </c>
      <c r="AH202" s="21">
        <f t="shared" si="173"/>
        <v>0</v>
      </c>
      <c r="AI202" s="17">
        <f t="shared" si="174"/>
        <v>0</v>
      </c>
      <c r="AJ202" s="18">
        <f t="shared" si="175"/>
        <v>0</v>
      </c>
      <c r="AK202" s="10"/>
      <c r="AL202" s="455">
        <v>0</v>
      </c>
      <c r="AM202" s="458">
        <v>0</v>
      </c>
      <c r="AN202" s="10"/>
    </row>
    <row r="203" spans="1:40" s="467" customFormat="1" x14ac:dyDescent="0.2">
      <c r="A203" s="623"/>
      <c r="B203" s="554"/>
      <c r="N203" s="10"/>
      <c r="P203" s="10"/>
      <c r="Q203" s="10"/>
      <c r="R203" s="10"/>
      <c r="S203" s="155">
        <f>+IF(MARZO!S203=0,"",MARZO!S203)</f>
        <v>4100200</v>
      </c>
      <c r="T203" s="159" t="str">
        <f>+IF(MARZO!T203=0,"",MARZO!T203)</f>
        <v>Gastos Complementarios e Intermedios</v>
      </c>
      <c r="U203" s="29">
        <f t="shared" ref="U203:AJ203" si="176">U204</f>
        <v>28768499</v>
      </c>
      <c r="V203" s="17">
        <f t="shared" si="176"/>
        <v>0</v>
      </c>
      <c r="W203" s="17">
        <f t="shared" si="176"/>
        <v>0</v>
      </c>
      <c r="X203" s="20">
        <f t="shared" si="176"/>
        <v>28768499</v>
      </c>
      <c r="Y203" s="21">
        <f t="shared" si="176"/>
        <v>5368489</v>
      </c>
      <c r="Z203" s="169">
        <f t="shared" si="176"/>
        <v>1406324</v>
      </c>
      <c r="AA203" s="20">
        <f t="shared" si="176"/>
        <v>6774813</v>
      </c>
      <c r="AB203" s="21">
        <f t="shared" si="176"/>
        <v>5368489</v>
      </c>
      <c r="AC203" s="169">
        <f t="shared" si="176"/>
        <v>1406324</v>
      </c>
      <c r="AD203" s="20">
        <f t="shared" si="176"/>
        <v>6774813</v>
      </c>
      <c r="AE203" s="21">
        <f t="shared" si="176"/>
        <v>3846048</v>
      </c>
      <c r="AF203" s="169">
        <f t="shared" si="176"/>
        <v>1863753</v>
      </c>
      <c r="AG203" s="20">
        <f t="shared" si="176"/>
        <v>5709801</v>
      </c>
      <c r="AH203" s="21">
        <f t="shared" si="176"/>
        <v>21993686</v>
      </c>
      <c r="AI203" s="17">
        <f t="shared" si="176"/>
        <v>21993686</v>
      </c>
      <c r="AJ203" s="18">
        <f t="shared" si="176"/>
        <v>23058698</v>
      </c>
      <c r="AK203" s="10"/>
      <c r="AL203" s="31">
        <f>AL204</f>
        <v>0</v>
      </c>
      <c r="AM203" s="28">
        <f>AM204</f>
        <v>0</v>
      </c>
      <c r="AN203" s="10"/>
    </row>
    <row r="204" spans="1:40" s="467" customFormat="1" x14ac:dyDescent="0.2">
      <c r="A204" s="623"/>
      <c r="B204" s="554"/>
      <c r="N204" s="10"/>
      <c r="P204" s="10"/>
      <c r="Q204" s="10"/>
      <c r="R204" s="10"/>
      <c r="S204" s="156" t="str">
        <f>+IF(MARZO!S204=0,"",MARZO!S204)</f>
        <v>4100200-1</v>
      </c>
      <c r="T204" s="55" t="str">
        <f>+IF(MARZO!T204=0,"",MARZO!T204)</f>
        <v>Alimentación</v>
      </c>
      <c r="U204" s="29">
        <f>+ENERO!U204</f>
        <v>28768499</v>
      </c>
      <c r="V204" s="17">
        <f>MARZO!V204+ABRIL!AL204</f>
        <v>0</v>
      </c>
      <c r="W204" s="17">
        <f>MARZO!W204+ABRIL!AM204</f>
        <v>0</v>
      </c>
      <c r="X204" s="20">
        <f>SUM(U204:W204)</f>
        <v>28768499</v>
      </c>
      <c r="Y204" s="21">
        <f>MARZO!AA204</f>
        <v>5368489</v>
      </c>
      <c r="Z204" s="457">
        <v>1406324</v>
      </c>
      <c r="AA204" s="20">
        <f>SUM(Y204:Z204)</f>
        <v>6774813</v>
      </c>
      <c r="AB204" s="21">
        <f>MARZO!AD204</f>
        <v>5368489</v>
      </c>
      <c r="AC204" s="457">
        <v>1406324</v>
      </c>
      <c r="AD204" s="20">
        <f>SUM(AB204:AC204)</f>
        <v>6774813</v>
      </c>
      <c r="AE204" s="21">
        <f>MARZO!AG204</f>
        <v>3846048</v>
      </c>
      <c r="AF204" s="457">
        <v>1863753</v>
      </c>
      <c r="AG204" s="20">
        <f>SUM(AE204:AF204)</f>
        <v>5709801</v>
      </c>
      <c r="AH204" s="21">
        <f>X204-AA204</f>
        <v>21993686</v>
      </c>
      <c r="AI204" s="17">
        <f>X204-AD204</f>
        <v>21993686</v>
      </c>
      <c r="AJ204" s="18">
        <f>X204-AG204</f>
        <v>23058698</v>
      </c>
      <c r="AK204" s="10"/>
      <c r="AL204" s="455">
        <v>0</v>
      </c>
      <c r="AM204" s="458">
        <v>0</v>
      </c>
      <c r="AN204" s="10"/>
    </row>
    <row r="205" spans="1:40" s="467" customFormat="1" ht="13.5" thickBot="1" x14ac:dyDescent="0.25">
      <c r="A205" s="623"/>
      <c r="B205" s="554"/>
      <c r="N205" s="10"/>
      <c r="P205" s="10"/>
      <c r="Q205" s="10"/>
      <c r="R205" s="10"/>
      <c r="S205" s="624">
        <f>+IF(MARZO!S205=0,"",MARZO!S205)</f>
        <v>4199999</v>
      </c>
      <c r="T205" s="625" t="str">
        <f>+IF(MARZO!T205=0,"",MARZO!T205)</f>
        <v>Vigencias Anteriores</v>
      </c>
      <c r="U205" s="160">
        <f>+ENERO!U205</f>
        <v>45000000</v>
      </c>
      <c r="V205" s="143">
        <f>MARZO!V205+ABRIL!AL205</f>
        <v>15217291</v>
      </c>
      <c r="W205" s="143">
        <f>MARZO!W205+ABRIL!AM205</f>
        <v>0</v>
      </c>
      <c r="X205" s="149">
        <f>SUM(U205:W205)</f>
        <v>60217291</v>
      </c>
      <c r="Y205" s="147">
        <f>MARZO!AA205</f>
        <v>60217291</v>
      </c>
      <c r="Z205" s="475">
        <v>0</v>
      </c>
      <c r="AA205" s="149">
        <f>SUM(Y205:Z205)</f>
        <v>60217291</v>
      </c>
      <c r="AB205" s="147">
        <f>MARZO!AD205</f>
        <v>60217291</v>
      </c>
      <c r="AC205" s="475">
        <v>0</v>
      </c>
      <c r="AD205" s="149">
        <f>SUM(AB205:AC205)</f>
        <v>60217291</v>
      </c>
      <c r="AE205" s="147">
        <f>MARZO!AG205</f>
        <v>52256669</v>
      </c>
      <c r="AF205" s="475">
        <v>3967022</v>
      </c>
      <c r="AG205" s="149">
        <f>SUM(AE205:AF205)</f>
        <v>56223691</v>
      </c>
      <c r="AH205" s="147">
        <f>X205-AA205</f>
        <v>0</v>
      </c>
      <c r="AI205" s="143">
        <f>X205-AD205</f>
        <v>0</v>
      </c>
      <c r="AJ205" s="148">
        <f>X205-AG205</f>
        <v>3993600</v>
      </c>
      <c r="AK205" s="10"/>
      <c r="AL205" s="471">
        <v>0</v>
      </c>
      <c r="AM205" s="476">
        <v>0</v>
      </c>
      <c r="AN205" s="10"/>
    </row>
    <row r="206" spans="1:40" s="467" customFormat="1" ht="15.75" x14ac:dyDescent="0.2">
      <c r="A206" s="623"/>
      <c r="B206" s="554"/>
      <c r="N206" s="10"/>
      <c r="P206" s="10"/>
      <c r="Q206" s="10"/>
      <c r="R206" s="10"/>
      <c r="S206" s="627" t="str">
        <f>+IF(MARZO!S206=0,"",MARZO!S206)</f>
        <v/>
      </c>
      <c r="T206" s="628" t="str">
        <f>+IF(MARZO!T206=0,"",MARZO!T206)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+IF(MARZO!S207=0,"",MARZO!S207)</f>
        <v>B</v>
      </c>
      <c r="T207" s="655" t="str">
        <f>+IF(MARZO!T207=0,"",MARZO!T207)</f>
        <v>GASTOS DE OPERACION COMERCIAL</v>
      </c>
      <c r="U207" s="589">
        <f t="shared" ref="U207:AJ207" si="177">U209</f>
        <v>0</v>
      </c>
      <c r="V207" s="590">
        <f t="shared" si="177"/>
        <v>0</v>
      </c>
      <c r="W207" s="590">
        <f t="shared" si="177"/>
        <v>0</v>
      </c>
      <c r="X207" s="591">
        <f t="shared" si="177"/>
        <v>0</v>
      </c>
      <c r="Y207" s="464">
        <f t="shared" si="177"/>
        <v>0</v>
      </c>
      <c r="Z207" s="590">
        <f t="shared" si="177"/>
        <v>0</v>
      </c>
      <c r="AA207" s="591">
        <f t="shared" si="177"/>
        <v>0</v>
      </c>
      <c r="AB207" s="464">
        <f t="shared" si="177"/>
        <v>0</v>
      </c>
      <c r="AC207" s="590">
        <f t="shared" si="177"/>
        <v>0</v>
      </c>
      <c r="AD207" s="591">
        <f t="shared" si="177"/>
        <v>0</v>
      </c>
      <c r="AE207" s="464">
        <f t="shared" si="177"/>
        <v>0</v>
      </c>
      <c r="AF207" s="590">
        <f t="shared" si="177"/>
        <v>0</v>
      </c>
      <c r="AG207" s="591">
        <f t="shared" si="177"/>
        <v>0</v>
      </c>
      <c r="AH207" s="464">
        <f t="shared" si="177"/>
        <v>0</v>
      </c>
      <c r="AI207" s="590">
        <f t="shared" si="177"/>
        <v>0</v>
      </c>
      <c r="AJ207" s="465">
        <f t="shared" si="177"/>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+IF(MARZO!S209=0,"",MARZO!S209)</f>
        <v>5000000</v>
      </c>
      <c r="T209" s="469" t="str">
        <f>+IF(MARZO!T209=0,"",MARZO!T209)</f>
        <v>GASTOS DE COMERCIALIZACION</v>
      </c>
      <c r="U209" s="589">
        <f t="shared" ref="U209:AJ209" si="178">U210</f>
        <v>0</v>
      </c>
      <c r="V209" s="590">
        <f t="shared" si="178"/>
        <v>0</v>
      </c>
      <c r="W209" s="590">
        <f t="shared" si="178"/>
        <v>0</v>
      </c>
      <c r="X209" s="591">
        <f t="shared" si="178"/>
        <v>0</v>
      </c>
      <c r="Y209" s="464">
        <f t="shared" si="178"/>
        <v>0</v>
      </c>
      <c r="Z209" s="590">
        <f t="shared" si="178"/>
        <v>0</v>
      </c>
      <c r="AA209" s="591">
        <f t="shared" si="178"/>
        <v>0</v>
      </c>
      <c r="AB209" s="464">
        <f t="shared" si="178"/>
        <v>0</v>
      </c>
      <c r="AC209" s="590">
        <f t="shared" si="178"/>
        <v>0</v>
      </c>
      <c r="AD209" s="591">
        <f t="shared" si="178"/>
        <v>0</v>
      </c>
      <c r="AE209" s="464">
        <f t="shared" si="178"/>
        <v>0</v>
      </c>
      <c r="AF209" s="590">
        <f t="shared" si="178"/>
        <v>0</v>
      </c>
      <c r="AG209" s="591">
        <f t="shared" si="178"/>
        <v>0</v>
      </c>
      <c r="AH209" s="464">
        <f t="shared" si="178"/>
        <v>0</v>
      </c>
      <c r="AI209" s="590">
        <f t="shared" si="178"/>
        <v>0</v>
      </c>
      <c r="AJ209" s="465">
        <f t="shared" si="178"/>
        <v>0</v>
      </c>
      <c r="AK209" s="10"/>
      <c r="AL209" s="151">
        <f>AL210</f>
        <v>0</v>
      </c>
      <c r="AM209" s="153">
        <f>AM210</f>
        <v>0</v>
      </c>
      <c r="AN209" s="10"/>
    </row>
    <row r="210" spans="1:40" s="467" customFormat="1" ht="15" x14ac:dyDescent="0.2">
      <c r="A210" s="623"/>
      <c r="B210" s="554"/>
      <c r="N210" s="10"/>
      <c r="P210" s="10"/>
      <c r="Q210" s="10"/>
      <c r="R210" s="10"/>
      <c r="S210" s="34">
        <f>+IF(MARZO!S210=0,"",MARZO!S210)</f>
        <v>5100000</v>
      </c>
      <c r="T210" s="158" t="str">
        <f>+IF(MARZO!T210=0,"",MARZO!T210)</f>
        <v>Insumos y Suministros para Venta al Público</v>
      </c>
      <c r="U210" s="157">
        <f t="shared" ref="U210:AJ210" si="179">U211+U218</f>
        <v>0</v>
      </c>
      <c r="V210" s="144">
        <f t="shared" si="179"/>
        <v>0</v>
      </c>
      <c r="W210" s="144">
        <f t="shared" si="179"/>
        <v>0</v>
      </c>
      <c r="X210" s="152">
        <f t="shared" si="179"/>
        <v>0</v>
      </c>
      <c r="Y210" s="151">
        <f t="shared" si="179"/>
        <v>0</v>
      </c>
      <c r="Z210" s="144">
        <f t="shared" si="179"/>
        <v>0</v>
      </c>
      <c r="AA210" s="152">
        <f t="shared" si="179"/>
        <v>0</v>
      </c>
      <c r="AB210" s="151">
        <f t="shared" si="179"/>
        <v>0</v>
      </c>
      <c r="AC210" s="144">
        <f t="shared" si="179"/>
        <v>0</v>
      </c>
      <c r="AD210" s="152">
        <f t="shared" si="179"/>
        <v>0</v>
      </c>
      <c r="AE210" s="151">
        <f t="shared" si="179"/>
        <v>0</v>
      </c>
      <c r="AF210" s="144">
        <f t="shared" si="179"/>
        <v>0</v>
      </c>
      <c r="AG210" s="152">
        <f t="shared" si="179"/>
        <v>0</v>
      </c>
      <c r="AH210" s="151">
        <f t="shared" si="179"/>
        <v>0</v>
      </c>
      <c r="AI210" s="144">
        <f t="shared" si="179"/>
        <v>0</v>
      </c>
      <c r="AJ210" s="153">
        <f t="shared" si="179"/>
        <v>0</v>
      </c>
      <c r="AK210" s="10"/>
      <c r="AL210" s="151">
        <f>AL211+AL218</f>
        <v>0</v>
      </c>
      <c r="AM210" s="153">
        <f>AM211+AM218</f>
        <v>0</v>
      </c>
      <c r="AN210" s="10"/>
    </row>
    <row r="211" spans="1:40" s="467" customFormat="1" x14ac:dyDescent="0.2">
      <c r="A211" s="623"/>
      <c r="B211" s="554"/>
      <c r="N211" s="10"/>
      <c r="P211" s="10"/>
      <c r="Q211" s="10"/>
      <c r="R211" s="10"/>
      <c r="S211" s="155">
        <f>+IF(MARZO!S211=0,"",MARZO!S211)</f>
        <v>5100100</v>
      </c>
      <c r="T211" s="159" t="str">
        <f>+IF(MARZO!T211=0,"",MARZO!T211)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20">
        <f t="shared" si="180"/>
        <v>0</v>
      </c>
      <c r="AE211" s="21">
        <f t="shared" si="180"/>
        <v>0</v>
      </c>
      <c r="AF211" s="169">
        <f t="shared" si="180"/>
        <v>0</v>
      </c>
      <c r="AG211" s="20">
        <f t="shared" si="180"/>
        <v>0</v>
      </c>
      <c r="AH211" s="21">
        <f t="shared" si="180"/>
        <v>0</v>
      </c>
      <c r="AI211" s="17">
        <f t="shared" si="180"/>
        <v>0</v>
      </c>
      <c r="AJ211" s="18">
        <f t="shared" si="180"/>
        <v>0</v>
      </c>
      <c r="AK211" s="12"/>
      <c r="AL211" s="31">
        <f>SUM(AL212:AL217)</f>
        <v>0</v>
      </c>
      <c r="AM211" s="28">
        <f>SUM(AM212:AM217)</f>
        <v>0</v>
      </c>
      <c r="AN211" s="10"/>
    </row>
    <row r="212" spans="1:40" s="467" customFormat="1" x14ac:dyDescent="0.2">
      <c r="A212" s="623"/>
      <c r="B212" s="554"/>
      <c r="N212" s="10"/>
      <c r="P212" s="10"/>
      <c r="Q212" s="10"/>
      <c r="R212" s="10"/>
      <c r="S212" s="156" t="str">
        <f>+IF(MARZO!S212=0,"",MARZO!S212)</f>
        <v>5100100-1</v>
      </c>
      <c r="T212" s="55" t="str">
        <f>+IF(MARZO!T212=0,"",MARZO!T212)</f>
        <v>Productos Farmaceuticos</v>
      </c>
      <c r="U212" s="29">
        <f>+ENERO!U212</f>
        <v>0</v>
      </c>
      <c r="V212" s="17">
        <f>MARZO!V212+ABRIL!AL212</f>
        <v>0</v>
      </c>
      <c r="W212" s="17">
        <f>MARZO!W212+ABRIL!AM212</f>
        <v>0</v>
      </c>
      <c r="X212" s="20">
        <f t="shared" ref="X212:X218" si="181">SUM(U212:W212)</f>
        <v>0</v>
      </c>
      <c r="Y212" s="21">
        <f>MARZO!AA212</f>
        <v>0</v>
      </c>
      <c r="Z212" s="457">
        <v>0</v>
      </c>
      <c r="AA212" s="20">
        <f t="shared" ref="AA212:AA218" si="182">SUM(Y212:Z212)</f>
        <v>0</v>
      </c>
      <c r="AB212" s="21">
        <f>MARZO!AD212</f>
        <v>0</v>
      </c>
      <c r="AC212" s="457">
        <v>0</v>
      </c>
      <c r="AD212" s="20">
        <f t="shared" ref="AD212:AD218" si="183">SUM(AB212:AC212)</f>
        <v>0</v>
      </c>
      <c r="AE212" s="21">
        <f>MARZO!AG212</f>
        <v>0</v>
      </c>
      <c r="AF212" s="457">
        <v>0</v>
      </c>
      <c r="AG212" s="20">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x14ac:dyDescent="0.2">
      <c r="A213" s="623"/>
      <c r="B213" s="554"/>
      <c r="N213" s="10"/>
      <c r="P213" s="10"/>
      <c r="Q213" s="10"/>
      <c r="R213" s="10"/>
      <c r="S213" s="156" t="str">
        <f>+IF(MARZO!S213=0,"",MARZO!S213)</f>
        <v>5100100-2</v>
      </c>
      <c r="T213" s="55" t="str">
        <f>+IF(MARZO!T213=0,"",MARZO!T213)</f>
        <v>Material Médico Quirúrgico</v>
      </c>
      <c r="U213" s="29">
        <f>+ENERO!U213</f>
        <v>0</v>
      </c>
      <c r="V213" s="17">
        <f>MARZO!V213+ABRIL!AL213</f>
        <v>0</v>
      </c>
      <c r="W213" s="17">
        <f>MARZO!W213+ABRIL!AM213</f>
        <v>0</v>
      </c>
      <c r="X213" s="20">
        <f t="shared" si="181"/>
        <v>0</v>
      </c>
      <c r="Y213" s="21">
        <f>MARZO!AA213</f>
        <v>0</v>
      </c>
      <c r="Z213" s="457">
        <v>0</v>
      </c>
      <c r="AA213" s="20">
        <f t="shared" si="182"/>
        <v>0</v>
      </c>
      <c r="AB213" s="21">
        <f>MARZO!AD213</f>
        <v>0</v>
      </c>
      <c r="AC213" s="457">
        <v>0</v>
      </c>
      <c r="AD213" s="20">
        <f t="shared" si="183"/>
        <v>0</v>
      </c>
      <c r="AE213" s="21">
        <f>MARZO!AG213</f>
        <v>0</v>
      </c>
      <c r="AF213" s="457">
        <v>0</v>
      </c>
      <c r="AG213" s="20">
        <f t="shared" si="184"/>
        <v>0</v>
      </c>
      <c r="AH213" s="21">
        <f t="shared" si="185"/>
        <v>0</v>
      </c>
      <c r="AI213" s="17">
        <f t="shared" si="186"/>
        <v>0</v>
      </c>
      <c r="AJ213" s="18">
        <f t="shared" si="187"/>
        <v>0</v>
      </c>
      <c r="AK213" s="10"/>
      <c r="AL213" s="455">
        <v>0</v>
      </c>
      <c r="AM213" s="458">
        <v>0</v>
      </c>
      <c r="AN213" s="10"/>
    </row>
    <row r="214" spans="1:40" s="467" customFormat="1" x14ac:dyDescent="0.2">
      <c r="A214" s="623"/>
      <c r="B214" s="554"/>
      <c r="N214" s="10"/>
      <c r="P214" s="10"/>
      <c r="Q214" s="10"/>
      <c r="R214" s="10"/>
      <c r="S214" s="156" t="str">
        <f>+IF(MARZO!S214=0,"",MARZO!S214)</f>
        <v>5100100-3</v>
      </c>
      <c r="T214" s="55" t="str">
        <f>+IF(MARZO!T214=0,"",MARZO!T214)</f>
        <v>Material de Laboratorio</v>
      </c>
      <c r="U214" s="29">
        <f>+ENERO!U214</f>
        <v>0</v>
      </c>
      <c r="V214" s="17">
        <f>MARZO!V214+ABRIL!AL214</f>
        <v>0</v>
      </c>
      <c r="W214" s="17">
        <f>MARZO!W214+ABRIL!AM214</f>
        <v>0</v>
      </c>
      <c r="X214" s="20">
        <f t="shared" si="181"/>
        <v>0</v>
      </c>
      <c r="Y214" s="21">
        <f>MARZO!AA214</f>
        <v>0</v>
      </c>
      <c r="Z214" s="457">
        <v>0</v>
      </c>
      <c r="AA214" s="20">
        <f t="shared" si="182"/>
        <v>0</v>
      </c>
      <c r="AB214" s="21">
        <f>MARZO!AD214</f>
        <v>0</v>
      </c>
      <c r="AC214" s="457">
        <v>0</v>
      </c>
      <c r="AD214" s="20">
        <f t="shared" si="183"/>
        <v>0</v>
      </c>
      <c r="AE214" s="21">
        <f>MARZO!AG214</f>
        <v>0</v>
      </c>
      <c r="AF214" s="457">
        <v>0</v>
      </c>
      <c r="AG214" s="20">
        <f t="shared" si="184"/>
        <v>0</v>
      </c>
      <c r="AH214" s="21">
        <f t="shared" si="185"/>
        <v>0</v>
      </c>
      <c r="AI214" s="17">
        <f t="shared" si="186"/>
        <v>0</v>
      </c>
      <c r="AJ214" s="18">
        <f t="shared" si="187"/>
        <v>0</v>
      </c>
      <c r="AK214" s="10"/>
      <c r="AL214" s="455">
        <v>0</v>
      </c>
      <c r="AM214" s="458">
        <v>0</v>
      </c>
      <c r="AN214" s="10"/>
    </row>
    <row r="215" spans="1:40" s="467" customFormat="1" x14ac:dyDescent="0.2">
      <c r="A215" s="623"/>
      <c r="B215" s="554"/>
      <c r="N215" s="10"/>
      <c r="P215" s="10"/>
      <c r="Q215" s="10"/>
      <c r="R215" s="10"/>
      <c r="S215" s="156" t="str">
        <f>+IF(MARZO!S215=0,"",MARZO!S215)</f>
        <v>5100100-4</v>
      </c>
      <c r="T215" s="55" t="str">
        <f>+IF(MARZO!T215=0,"",MARZO!T215)</f>
        <v>Material para Odontologia</v>
      </c>
      <c r="U215" s="29">
        <f>+ENERO!U215</f>
        <v>0</v>
      </c>
      <c r="V215" s="17">
        <f>MARZO!V215+ABRIL!AL215</f>
        <v>0</v>
      </c>
      <c r="W215" s="17">
        <f>MARZO!W215+ABRIL!AM215</f>
        <v>0</v>
      </c>
      <c r="X215" s="20">
        <f t="shared" si="181"/>
        <v>0</v>
      </c>
      <c r="Y215" s="21">
        <f>MARZO!AA215</f>
        <v>0</v>
      </c>
      <c r="Z215" s="457">
        <v>0</v>
      </c>
      <c r="AA215" s="20">
        <f t="shared" si="182"/>
        <v>0</v>
      </c>
      <c r="AB215" s="21">
        <f>MARZO!AD215</f>
        <v>0</v>
      </c>
      <c r="AC215" s="457">
        <v>0</v>
      </c>
      <c r="AD215" s="20">
        <f t="shared" si="183"/>
        <v>0</v>
      </c>
      <c r="AE215" s="21">
        <f>MARZO!AG215</f>
        <v>0</v>
      </c>
      <c r="AF215" s="457">
        <v>0</v>
      </c>
      <c r="AG215" s="20">
        <f t="shared" si="184"/>
        <v>0</v>
      </c>
      <c r="AH215" s="21">
        <f t="shared" si="185"/>
        <v>0</v>
      </c>
      <c r="AI215" s="17">
        <f t="shared" si="186"/>
        <v>0</v>
      </c>
      <c r="AJ215" s="18">
        <f t="shared" si="187"/>
        <v>0</v>
      </c>
      <c r="AK215" s="10"/>
      <c r="AL215" s="455">
        <v>0</v>
      </c>
      <c r="AM215" s="458">
        <v>0</v>
      </c>
      <c r="AN215" s="10"/>
    </row>
    <row r="216" spans="1:40" s="467" customFormat="1" x14ac:dyDescent="0.2">
      <c r="A216" s="623"/>
      <c r="B216" s="554"/>
      <c r="N216" s="10"/>
      <c r="P216" s="10"/>
      <c r="Q216" s="10"/>
      <c r="R216" s="10"/>
      <c r="S216" s="156" t="str">
        <f>+IF(MARZO!S216=0,"",MARZO!S216)</f>
        <v>5100100-5</v>
      </c>
      <c r="T216" s="55" t="str">
        <f>+IF(MARZO!T216=0,"",MARZO!T216)</f>
        <v>Material para Rayos X</v>
      </c>
      <c r="U216" s="29">
        <f>+ENERO!U216</f>
        <v>0</v>
      </c>
      <c r="V216" s="17">
        <f>MARZO!V216+ABRIL!AL216</f>
        <v>0</v>
      </c>
      <c r="W216" s="17">
        <f>MARZO!W216+ABRIL!AM216</f>
        <v>0</v>
      </c>
      <c r="X216" s="20">
        <f t="shared" si="181"/>
        <v>0</v>
      </c>
      <c r="Y216" s="21">
        <f>MARZO!AA216</f>
        <v>0</v>
      </c>
      <c r="Z216" s="457">
        <v>0</v>
      </c>
      <c r="AA216" s="20">
        <f t="shared" si="182"/>
        <v>0</v>
      </c>
      <c r="AB216" s="21">
        <f>MARZO!AD216</f>
        <v>0</v>
      </c>
      <c r="AC216" s="457">
        <v>0</v>
      </c>
      <c r="AD216" s="20">
        <f t="shared" si="183"/>
        <v>0</v>
      </c>
      <c r="AE216" s="21">
        <f>MARZO!AG216</f>
        <v>0</v>
      </c>
      <c r="AF216" s="457">
        <v>0</v>
      </c>
      <c r="AG216" s="20">
        <f t="shared" si="184"/>
        <v>0</v>
      </c>
      <c r="AH216" s="21">
        <f t="shared" si="185"/>
        <v>0</v>
      </c>
      <c r="AI216" s="17">
        <f t="shared" si="186"/>
        <v>0</v>
      </c>
      <c r="AJ216" s="18">
        <f t="shared" si="187"/>
        <v>0</v>
      </c>
      <c r="AK216" s="10"/>
      <c r="AL216" s="455">
        <v>0</v>
      </c>
      <c r="AM216" s="458">
        <v>0</v>
      </c>
      <c r="AN216" s="10"/>
    </row>
    <row r="217" spans="1:40" s="467" customFormat="1" x14ac:dyDescent="0.2">
      <c r="A217" s="623"/>
      <c r="B217" s="554"/>
      <c r="N217" s="10"/>
      <c r="P217" s="10"/>
      <c r="Q217" s="10"/>
      <c r="R217" s="10"/>
      <c r="S217" s="156" t="str">
        <f>+IF(MARZO!S217=0,"",MARZO!S217)</f>
        <v>5100100-6</v>
      </c>
      <c r="T217" s="55" t="str">
        <f>+IF(MARZO!T217=0,"",MARZO!T217)</f>
        <v>Material aseo personal, etc.</v>
      </c>
      <c r="U217" s="29">
        <f>+ENERO!U217</f>
        <v>0</v>
      </c>
      <c r="V217" s="17">
        <f>MARZO!V217+ABRIL!AL217</f>
        <v>0</v>
      </c>
      <c r="W217" s="17">
        <f>MARZO!W217+ABRIL!AM217</f>
        <v>0</v>
      </c>
      <c r="X217" s="20">
        <f t="shared" si="181"/>
        <v>0</v>
      </c>
      <c r="Y217" s="21">
        <f>MARZO!AA217</f>
        <v>0</v>
      </c>
      <c r="Z217" s="457">
        <v>0</v>
      </c>
      <c r="AA217" s="20">
        <f t="shared" si="182"/>
        <v>0</v>
      </c>
      <c r="AB217" s="21">
        <f>MARZO!AD217</f>
        <v>0</v>
      </c>
      <c r="AC217" s="457">
        <v>0</v>
      </c>
      <c r="AD217" s="20">
        <f t="shared" si="183"/>
        <v>0</v>
      </c>
      <c r="AE217" s="21">
        <f>MARZO!AG217</f>
        <v>0</v>
      </c>
      <c r="AF217" s="457">
        <v>0</v>
      </c>
      <c r="AG217" s="20">
        <f t="shared" si="184"/>
        <v>0</v>
      </c>
      <c r="AH217" s="21">
        <f t="shared" si="185"/>
        <v>0</v>
      </c>
      <c r="AI217" s="17">
        <f t="shared" si="186"/>
        <v>0</v>
      </c>
      <c r="AJ217" s="18">
        <f t="shared" si="187"/>
        <v>0</v>
      </c>
      <c r="AK217" s="10"/>
      <c r="AL217" s="455">
        <v>0</v>
      </c>
      <c r="AM217" s="458">
        <v>0</v>
      </c>
      <c r="AN217" s="10"/>
    </row>
    <row r="218" spans="1:40" s="467" customFormat="1" ht="15" thickBot="1" x14ac:dyDescent="0.25">
      <c r="A218" s="623"/>
      <c r="B218" s="554"/>
      <c r="N218" s="10"/>
      <c r="P218" s="10"/>
      <c r="Q218" s="10"/>
      <c r="R218" s="10"/>
      <c r="S218" s="657">
        <f>+IF(MARZO!S218=0,"",MARZO!S218)</f>
        <v>5199999</v>
      </c>
      <c r="T218" s="658" t="str">
        <f>+IF(MARZO!T218=0,"",MARZO!T218)</f>
        <v>Vigencias Anteriores</v>
      </c>
      <c r="U218" s="160">
        <f>+ENERO!U218</f>
        <v>0</v>
      </c>
      <c r="V218" s="143">
        <f>MARZO!V218+ABRIL!AL218</f>
        <v>0</v>
      </c>
      <c r="W218" s="143">
        <f>MARZO!W218+ABRIL!AM218</f>
        <v>0</v>
      </c>
      <c r="X218" s="149">
        <f t="shared" si="181"/>
        <v>0</v>
      </c>
      <c r="Y218" s="147">
        <f>MARZO!AA218</f>
        <v>0</v>
      </c>
      <c r="Z218" s="475">
        <v>0</v>
      </c>
      <c r="AA218" s="149">
        <f t="shared" si="182"/>
        <v>0</v>
      </c>
      <c r="AB218" s="147">
        <f>MARZO!AD218</f>
        <v>0</v>
      </c>
      <c r="AC218" s="475">
        <v>0</v>
      </c>
      <c r="AD218" s="149">
        <f t="shared" si="183"/>
        <v>0</v>
      </c>
      <c r="AE218" s="147">
        <f>MARZO!AG218</f>
        <v>0</v>
      </c>
      <c r="AF218" s="475">
        <v>0</v>
      </c>
      <c r="AG218" s="149">
        <f t="shared" si="184"/>
        <v>0</v>
      </c>
      <c r="AH218" s="147">
        <f t="shared" si="185"/>
        <v>0</v>
      </c>
      <c r="AI218" s="143">
        <f t="shared" si="186"/>
        <v>0</v>
      </c>
      <c r="AJ218" s="148">
        <f t="shared" si="187"/>
        <v>0</v>
      </c>
      <c r="AK218" s="10"/>
      <c r="AL218" s="650">
        <v>0</v>
      </c>
      <c r="AM218" s="651">
        <v>0</v>
      </c>
      <c r="AN218" s="10"/>
    </row>
    <row r="219" spans="1:40" s="467" customFormat="1" ht="16.5" thickBot="1" x14ac:dyDescent="0.25">
      <c r="A219" s="623"/>
      <c r="B219" s="554"/>
      <c r="N219" s="10"/>
      <c r="P219" s="10"/>
      <c r="Q219" s="10"/>
      <c r="R219" s="10"/>
      <c r="S219" s="643" t="str">
        <f>+IF(MARZO!S219=0,"",MARZO!S219)</f>
        <v/>
      </c>
      <c r="T219" s="357" t="str">
        <f>+IF(MARZO!T219=0,"",MARZO!T219)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+IF(MARZO!S220=0,"",MARZO!S220)</f>
        <v>C</v>
      </c>
      <c r="T220" s="439" t="str">
        <f>+IF(MARZO!T220=0,"",MARZO!T220)</f>
        <v xml:space="preserve">SERVICIO DE LA DEUDA </v>
      </c>
      <c r="U220" s="440">
        <f t="shared" ref="U220:AJ220" si="188">U222+U227</f>
        <v>0</v>
      </c>
      <c r="V220" s="441">
        <f t="shared" si="188"/>
        <v>0</v>
      </c>
      <c r="W220" s="441">
        <f t="shared" si="188"/>
        <v>0</v>
      </c>
      <c r="X220" s="444">
        <f t="shared" si="188"/>
        <v>0</v>
      </c>
      <c r="Y220" s="443">
        <f t="shared" si="188"/>
        <v>0</v>
      </c>
      <c r="Z220" s="441">
        <f t="shared" si="188"/>
        <v>0</v>
      </c>
      <c r="AA220" s="444">
        <f t="shared" si="188"/>
        <v>0</v>
      </c>
      <c r="AB220" s="443">
        <f t="shared" si="188"/>
        <v>0</v>
      </c>
      <c r="AC220" s="441">
        <f t="shared" si="188"/>
        <v>0</v>
      </c>
      <c r="AD220" s="444">
        <f t="shared" si="188"/>
        <v>0</v>
      </c>
      <c r="AE220" s="443">
        <f t="shared" si="188"/>
        <v>0</v>
      </c>
      <c r="AF220" s="441">
        <f t="shared" si="188"/>
        <v>0</v>
      </c>
      <c r="AG220" s="444">
        <f t="shared" si="188"/>
        <v>0</v>
      </c>
      <c r="AH220" s="443">
        <f t="shared" si="188"/>
        <v>0</v>
      </c>
      <c r="AI220" s="441">
        <f t="shared" si="188"/>
        <v>0</v>
      </c>
      <c r="AJ220" s="442">
        <f t="shared" si="188"/>
        <v>0</v>
      </c>
      <c r="AK220" s="648"/>
      <c r="AL220" s="443">
        <f>AL222+AL227</f>
        <v>0</v>
      </c>
      <c r="AM220" s="442">
        <f>AM222+AM227</f>
        <v>0</v>
      </c>
      <c r="AN220" s="10"/>
    </row>
    <row r="221" spans="1:40" s="467" customFormat="1" ht="15.75" x14ac:dyDescent="0.2">
      <c r="A221" s="623"/>
      <c r="B221" s="554"/>
      <c r="N221" s="10"/>
      <c r="P221" s="10"/>
      <c r="Q221" s="10"/>
      <c r="R221" s="10"/>
      <c r="S221" s="448" t="str">
        <f>+IF(MARZO!S221=0,"",MARZO!S221)</f>
        <v/>
      </c>
      <c r="T221" s="649" t="str">
        <f>+IF(MARZO!T221=0,"",MARZO!T221)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+IF(MARZO!S222=0,"",MARZO!S222)</f>
        <v>7001000</v>
      </c>
      <c r="T222" s="158" t="str">
        <f>+IF(MARZO!T222=0,"",MARZO!T222)</f>
        <v>SERVICIO DE LA DEUDA INTERNA</v>
      </c>
      <c r="U222" s="157">
        <f t="shared" ref="U222:AJ222" si="189">SUM(U223:U225)</f>
        <v>0</v>
      </c>
      <c r="V222" s="144">
        <f t="shared" si="189"/>
        <v>0</v>
      </c>
      <c r="W222" s="144">
        <f t="shared" si="189"/>
        <v>0</v>
      </c>
      <c r="X222" s="152">
        <f t="shared" si="189"/>
        <v>0</v>
      </c>
      <c r="Y222" s="151">
        <f t="shared" si="189"/>
        <v>0</v>
      </c>
      <c r="Z222" s="144">
        <f t="shared" si="189"/>
        <v>0</v>
      </c>
      <c r="AA222" s="152">
        <f t="shared" si="189"/>
        <v>0</v>
      </c>
      <c r="AB222" s="151">
        <f t="shared" si="189"/>
        <v>0</v>
      </c>
      <c r="AC222" s="144">
        <f t="shared" si="189"/>
        <v>0</v>
      </c>
      <c r="AD222" s="152">
        <f t="shared" si="189"/>
        <v>0</v>
      </c>
      <c r="AE222" s="151">
        <f t="shared" si="189"/>
        <v>0</v>
      </c>
      <c r="AF222" s="144">
        <f t="shared" si="189"/>
        <v>0</v>
      </c>
      <c r="AG222" s="152">
        <f t="shared" si="189"/>
        <v>0</v>
      </c>
      <c r="AH222" s="151">
        <f t="shared" si="189"/>
        <v>0</v>
      </c>
      <c r="AI222" s="144">
        <f t="shared" si="189"/>
        <v>0</v>
      </c>
      <c r="AJ222" s="153">
        <f t="shared" si="189"/>
        <v>0</v>
      </c>
      <c r="AK222" s="10"/>
      <c r="AL222" s="151">
        <f>SUM(AL223:AL225)</f>
        <v>0</v>
      </c>
      <c r="AM222" s="153">
        <f>SUM(AM223:AM225)</f>
        <v>0</v>
      </c>
      <c r="AN222" s="10"/>
    </row>
    <row r="223" spans="1:40" s="467" customFormat="1" x14ac:dyDescent="0.2">
      <c r="A223" s="623"/>
      <c r="B223" s="554"/>
      <c r="N223" s="10"/>
      <c r="P223" s="10"/>
      <c r="Q223" s="10"/>
      <c r="R223" s="10"/>
      <c r="S223" s="155">
        <f>+IF(MARZO!S223=0,"",MARZO!S223)</f>
        <v>7001100</v>
      </c>
      <c r="T223" s="159" t="str">
        <f>+IF(MARZO!T223=0,"",MARZO!T223)</f>
        <v>Amortización deuda Pública Interna</v>
      </c>
      <c r="U223" s="29">
        <f>+ENERO!U223</f>
        <v>0</v>
      </c>
      <c r="V223" s="17">
        <f>MARZO!V223+ABRIL!AL223</f>
        <v>0</v>
      </c>
      <c r="W223" s="17">
        <f>MARZO!W223+ABRIL!AM223</f>
        <v>0</v>
      </c>
      <c r="X223" s="20">
        <f>SUM(U223:W223)</f>
        <v>0</v>
      </c>
      <c r="Y223" s="21">
        <f>MARZO!AA223</f>
        <v>0</v>
      </c>
      <c r="Z223" s="457">
        <v>0</v>
      </c>
      <c r="AA223" s="20">
        <f>SUM(Y223:Z223)</f>
        <v>0</v>
      </c>
      <c r="AB223" s="21">
        <f>MARZO!AD223</f>
        <v>0</v>
      </c>
      <c r="AC223" s="457">
        <v>0</v>
      </c>
      <c r="AD223" s="20">
        <f>SUM(AB223:AC223)</f>
        <v>0</v>
      </c>
      <c r="AE223" s="21">
        <f>MARZO!AG223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+IF(MARZO!S224=0,"",MARZO!S224)</f>
        <v>7001200</v>
      </c>
      <c r="T224" s="159" t="str">
        <f>+IF(MARZO!T224=0,"",MARZO!T224)</f>
        <v>Intereses Comisiones y gastos de la Deuda Pública</v>
      </c>
      <c r="U224" s="29">
        <f>+ENERO!U224</f>
        <v>0</v>
      </c>
      <c r="V224" s="17">
        <f>MARZO!V224+ABRIL!AL224</f>
        <v>0</v>
      </c>
      <c r="W224" s="17">
        <f>MARZO!W224+ABRIL!AM224</f>
        <v>0</v>
      </c>
      <c r="X224" s="20">
        <f>SUM(U224:W224)</f>
        <v>0</v>
      </c>
      <c r="Y224" s="21">
        <f>MARZO!AA224</f>
        <v>0</v>
      </c>
      <c r="Z224" s="457">
        <v>0</v>
      </c>
      <c r="AA224" s="20">
        <f>SUM(Y224:Z224)</f>
        <v>0</v>
      </c>
      <c r="AB224" s="21">
        <f>MARZO!AD224</f>
        <v>0</v>
      </c>
      <c r="AC224" s="457">
        <v>0</v>
      </c>
      <c r="AD224" s="20">
        <f>SUM(AB224:AC224)</f>
        <v>0</v>
      </c>
      <c r="AE224" s="21">
        <f>MARZO!AG224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+IF(MARZO!S225=0,"",MARZO!S225)</f>
        <v>7001999</v>
      </c>
      <c r="T225" s="159" t="str">
        <f>+IF(MARZO!T225=0,"",MARZO!T225)</f>
        <v>Vigencias Anteriores</v>
      </c>
      <c r="U225" s="29">
        <f>+ENERO!U225</f>
        <v>0</v>
      </c>
      <c r="V225" s="17">
        <f>MARZO!V225+ABRIL!AL225</f>
        <v>0</v>
      </c>
      <c r="W225" s="17">
        <f>MARZO!W225+ABRIL!AM225</f>
        <v>0</v>
      </c>
      <c r="X225" s="20">
        <f>SUM(U225:W225)</f>
        <v>0</v>
      </c>
      <c r="Y225" s="21">
        <f>MARZO!AA225</f>
        <v>0</v>
      </c>
      <c r="Z225" s="457">
        <v>0</v>
      </c>
      <c r="AA225" s="20">
        <f>SUM(Y225:Z225)</f>
        <v>0</v>
      </c>
      <c r="AB225" s="21">
        <f>MARZO!AD225</f>
        <v>0</v>
      </c>
      <c r="AC225" s="457">
        <v>0</v>
      </c>
      <c r="AD225" s="20">
        <f>SUM(AB225:AC225)</f>
        <v>0</v>
      </c>
      <c r="AE225" s="21">
        <f>MARZO!AG225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+IF(MARZO!S226=0,"",MARZO!S226)</f>
        <v/>
      </c>
      <c r="T226" s="649" t="str">
        <f>+IF(MARZO!T226=0,"",MARZO!T226)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+IF(MARZO!S227=0,"",MARZO!S227)</f>
        <v>7002001</v>
      </c>
      <c r="T227" s="158" t="str">
        <f>+IF(MARZO!T227=0,"",MARZO!T227)</f>
        <v>SERVICIO DE LA DEUDA EXTERNA</v>
      </c>
      <c r="U227" s="157">
        <f t="shared" ref="U227:AJ227" si="190">SUM(U228:U230)</f>
        <v>0</v>
      </c>
      <c r="V227" s="144">
        <f t="shared" si="190"/>
        <v>0</v>
      </c>
      <c r="W227" s="144">
        <f t="shared" si="190"/>
        <v>0</v>
      </c>
      <c r="X227" s="152">
        <f t="shared" si="190"/>
        <v>0</v>
      </c>
      <c r="Y227" s="151">
        <f t="shared" si="190"/>
        <v>0</v>
      </c>
      <c r="Z227" s="144">
        <f t="shared" si="190"/>
        <v>0</v>
      </c>
      <c r="AA227" s="152">
        <f t="shared" si="190"/>
        <v>0</v>
      </c>
      <c r="AB227" s="151">
        <f t="shared" si="190"/>
        <v>0</v>
      </c>
      <c r="AC227" s="144">
        <f t="shared" si="190"/>
        <v>0</v>
      </c>
      <c r="AD227" s="152">
        <f t="shared" si="190"/>
        <v>0</v>
      </c>
      <c r="AE227" s="151">
        <f t="shared" si="190"/>
        <v>0</v>
      </c>
      <c r="AF227" s="144">
        <f t="shared" si="190"/>
        <v>0</v>
      </c>
      <c r="AG227" s="152">
        <f t="shared" si="190"/>
        <v>0</v>
      </c>
      <c r="AH227" s="151">
        <f t="shared" si="190"/>
        <v>0</v>
      </c>
      <c r="AI227" s="144">
        <f t="shared" si="190"/>
        <v>0</v>
      </c>
      <c r="AJ227" s="153">
        <f t="shared" si="190"/>
        <v>0</v>
      </c>
      <c r="AK227" s="12"/>
      <c r="AL227" s="151">
        <f>SUM(AL228:AL230)</f>
        <v>0</v>
      </c>
      <c r="AM227" s="153">
        <f>SUM(AM228:AM230)</f>
        <v>0</v>
      </c>
      <c r="AN227" s="10"/>
    </row>
    <row r="228" spans="1:64" s="467" customFormat="1" x14ac:dyDescent="0.2">
      <c r="A228" s="623"/>
      <c r="B228" s="554"/>
      <c r="N228" s="10"/>
      <c r="P228" s="10"/>
      <c r="Q228" s="10"/>
      <c r="R228" s="10"/>
      <c r="S228" s="155">
        <f>+IF(MARZO!S228=0,"",MARZO!S228)</f>
        <v>7002100</v>
      </c>
      <c r="T228" s="159" t="str">
        <f>+IF(MARZO!T228=0,"",MARZO!T228)</f>
        <v>Amortización deuda Pública Externa</v>
      </c>
      <c r="U228" s="29">
        <f>+ENERO!U228</f>
        <v>0</v>
      </c>
      <c r="V228" s="17">
        <f>MARZO!V228+ABRIL!AL228</f>
        <v>0</v>
      </c>
      <c r="W228" s="17">
        <f>MARZO!W228+ABRIL!AM228</f>
        <v>0</v>
      </c>
      <c r="X228" s="20">
        <f>SUM(U228:W228)</f>
        <v>0</v>
      </c>
      <c r="Y228" s="21">
        <f>MARZO!AA228</f>
        <v>0</v>
      </c>
      <c r="Z228" s="457">
        <v>0</v>
      </c>
      <c r="AA228" s="20">
        <f>SUM(Y228:Z228)</f>
        <v>0</v>
      </c>
      <c r="AB228" s="21">
        <f>MARZO!AD228</f>
        <v>0</v>
      </c>
      <c r="AC228" s="457">
        <v>0</v>
      </c>
      <c r="AD228" s="20">
        <f>SUM(AB228:AC228)</f>
        <v>0</v>
      </c>
      <c r="AE228" s="21">
        <f>MARZO!AG228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+IF(MARZO!S229=0,"",MARZO!S229)</f>
        <v>7002200</v>
      </c>
      <c r="T229" s="159" t="str">
        <f>+IF(MARZO!T229=0,"",MARZO!T229)</f>
        <v>Intereses Comisiones y gastos de la Deuda Pública</v>
      </c>
      <c r="U229" s="29">
        <f>+ENERO!U229</f>
        <v>0</v>
      </c>
      <c r="V229" s="17">
        <f>MARZO!V229+ABRIL!AL229</f>
        <v>0</v>
      </c>
      <c r="W229" s="17">
        <f>MARZO!W229+ABRIL!AM229</f>
        <v>0</v>
      </c>
      <c r="X229" s="20">
        <f>SUM(U229:W229)</f>
        <v>0</v>
      </c>
      <c r="Y229" s="21">
        <f>MARZO!AA229</f>
        <v>0</v>
      </c>
      <c r="Z229" s="457">
        <v>0</v>
      </c>
      <c r="AA229" s="20">
        <f>SUM(Y229:Z229)</f>
        <v>0</v>
      </c>
      <c r="AB229" s="21">
        <f>MARZO!AD229</f>
        <v>0</v>
      </c>
      <c r="AC229" s="457">
        <v>0</v>
      </c>
      <c r="AD229" s="20">
        <f>SUM(AB229:AC229)</f>
        <v>0</v>
      </c>
      <c r="AE229" s="21">
        <f>MARZO!AG229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+IF(MARZO!S230=0,"",MARZO!S230)</f>
        <v>7002999</v>
      </c>
      <c r="T230" s="625" t="str">
        <f>+IF(MARZO!T230=0,"",MARZO!T230)</f>
        <v>Vigencias Anteriores</v>
      </c>
      <c r="U230" s="160">
        <f>+ENERO!U230</f>
        <v>0</v>
      </c>
      <c r="V230" s="143">
        <f>MARZO!V230+ABRIL!AL230</f>
        <v>0</v>
      </c>
      <c r="W230" s="143">
        <f>MARZO!W230+ABRIL!AM230</f>
        <v>0</v>
      </c>
      <c r="X230" s="149">
        <f>SUM(U230:W230)</f>
        <v>0</v>
      </c>
      <c r="Y230" s="147">
        <f>MARZO!AA230</f>
        <v>0</v>
      </c>
      <c r="Z230" s="475">
        <v>0</v>
      </c>
      <c r="AA230" s="149">
        <f>SUM(Y230:Z230)</f>
        <v>0</v>
      </c>
      <c r="AB230" s="147">
        <f>MARZO!AD230</f>
        <v>0</v>
      </c>
      <c r="AC230" s="475">
        <v>0</v>
      </c>
      <c r="AD230" s="149">
        <f>SUM(AB230:AC230)</f>
        <v>0</v>
      </c>
      <c r="AE230" s="147">
        <f>MARZO!AG230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+IF(MARZO!S231=0,"",MARZO!S231)</f>
        <v/>
      </c>
      <c r="T231" s="628" t="str">
        <f>+IF(MARZO!T231=0,"",MARZO!T231)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+IF(MARZO!S232=0,"",MARZO!S232)</f>
        <v>D</v>
      </c>
      <c r="T232" s="655" t="str">
        <f>+IF(MARZO!T232=0,"",MARZO!T232)</f>
        <v>INVERSION</v>
      </c>
      <c r="U232" s="589">
        <f t="shared" ref="U232:AJ232" si="191">U234</f>
        <v>121563100</v>
      </c>
      <c r="V232" s="590">
        <f t="shared" si="191"/>
        <v>-1563100</v>
      </c>
      <c r="W232" s="590">
        <f t="shared" si="191"/>
        <v>0</v>
      </c>
      <c r="X232" s="591">
        <f t="shared" si="191"/>
        <v>120000000</v>
      </c>
      <c r="Y232" s="464">
        <f t="shared" si="191"/>
        <v>38144984</v>
      </c>
      <c r="Z232" s="590">
        <f t="shared" si="191"/>
        <v>17309492</v>
      </c>
      <c r="AA232" s="591">
        <f t="shared" si="191"/>
        <v>55454476</v>
      </c>
      <c r="AB232" s="464">
        <f t="shared" si="191"/>
        <v>38144984</v>
      </c>
      <c r="AC232" s="590">
        <f t="shared" si="191"/>
        <v>17309492</v>
      </c>
      <c r="AD232" s="591">
        <f t="shared" si="191"/>
        <v>55454476</v>
      </c>
      <c r="AE232" s="464">
        <f t="shared" si="191"/>
        <v>19019492</v>
      </c>
      <c r="AF232" s="590">
        <f t="shared" si="191"/>
        <v>17309492</v>
      </c>
      <c r="AG232" s="591">
        <f t="shared" si="191"/>
        <v>36328984</v>
      </c>
      <c r="AH232" s="464">
        <f t="shared" si="191"/>
        <v>64545524</v>
      </c>
      <c r="AI232" s="590">
        <f t="shared" si="191"/>
        <v>64545524</v>
      </c>
      <c r="AJ232" s="465">
        <f t="shared" si="191"/>
        <v>83671016</v>
      </c>
      <c r="AK232" s="648"/>
      <c r="AL232" s="464">
        <f>AL234</f>
        <v>0</v>
      </c>
      <c r="AM232" s="465">
        <f>AM234</f>
        <v>0</v>
      </c>
      <c r="AN232" s="10"/>
    </row>
    <row r="233" spans="1:64" s="467" customFormat="1" ht="15.75" x14ac:dyDescent="0.2">
      <c r="A233" s="623"/>
      <c r="B233" s="554"/>
      <c r="N233" s="10"/>
      <c r="P233" s="10"/>
      <c r="Q233" s="10"/>
      <c r="R233" s="10"/>
      <c r="S233" s="448" t="str">
        <f>+IF(MARZO!S233=0,"",MARZO!S233)</f>
        <v/>
      </c>
      <c r="T233" s="649" t="str">
        <f>+IF(MARZO!T233=0,"",MARZO!T233)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+IF(MARZO!S234=0,"",MARZO!S234)</f>
        <v>8000000</v>
      </c>
      <c r="T234" s="158" t="str">
        <f>+IF(MARZO!T234=0,"",MARZO!T234)</f>
        <v>Programas de Inversión</v>
      </c>
      <c r="U234" s="157">
        <f t="shared" ref="U234:AJ234" si="192">U235+U243</f>
        <v>121563100</v>
      </c>
      <c r="V234" s="144">
        <f t="shared" si="192"/>
        <v>-1563100</v>
      </c>
      <c r="W234" s="144">
        <f t="shared" si="192"/>
        <v>0</v>
      </c>
      <c r="X234" s="152">
        <f t="shared" si="192"/>
        <v>120000000</v>
      </c>
      <c r="Y234" s="151">
        <f t="shared" si="192"/>
        <v>38144984</v>
      </c>
      <c r="Z234" s="144">
        <f t="shared" si="192"/>
        <v>17309492</v>
      </c>
      <c r="AA234" s="152">
        <f t="shared" si="192"/>
        <v>55454476</v>
      </c>
      <c r="AB234" s="151">
        <f t="shared" si="192"/>
        <v>38144984</v>
      </c>
      <c r="AC234" s="144">
        <f t="shared" si="192"/>
        <v>17309492</v>
      </c>
      <c r="AD234" s="152">
        <f t="shared" si="192"/>
        <v>55454476</v>
      </c>
      <c r="AE234" s="151">
        <f t="shared" si="192"/>
        <v>19019492</v>
      </c>
      <c r="AF234" s="144">
        <f t="shared" si="192"/>
        <v>17309492</v>
      </c>
      <c r="AG234" s="152">
        <f t="shared" si="192"/>
        <v>36328984</v>
      </c>
      <c r="AH234" s="151">
        <f t="shared" si="192"/>
        <v>64545524</v>
      </c>
      <c r="AI234" s="144">
        <f t="shared" si="192"/>
        <v>64545524</v>
      </c>
      <c r="AJ234" s="153">
        <f t="shared" si="192"/>
        <v>83671016</v>
      </c>
      <c r="AK234" s="10"/>
      <c r="AL234" s="151">
        <f>AL235+AL243</f>
        <v>0</v>
      </c>
      <c r="AM234" s="153">
        <f>AM235+AM243</f>
        <v>0</v>
      </c>
      <c r="AN234" s="10"/>
    </row>
    <row r="235" spans="1:64" s="467" customFormat="1" x14ac:dyDescent="0.2">
      <c r="A235" s="623"/>
      <c r="B235" s="554"/>
      <c r="N235" s="10"/>
      <c r="P235" s="10"/>
      <c r="Q235" s="10"/>
      <c r="R235" s="10"/>
      <c r="S235" s="155">
        <f>+IF(MARZO!S235=0,"",MARZO!S235)</f>
        <v>8001000</v>
      </c>
      <c r="T235" s="159" t="str">
        <f>+IF(MARZO!T235=0,"",MARZO!T235)</f>
        <v>Formación Bruta del Capital</v>
      </c>
      <c r="U235" s="29">
        <f t="shared" ref="U235:AJ235" si="193">SUM(U236:U241)</f>
        <v>0</v>
      </c>
      <c r="V235" s="17">
        <f t="shared" si="193"/>
        <v>0</v>
      </c>
      <c r="W235" s="17">
        <f t="shared" si="193"/>
        <v>0</v>
      </c>
      <c r="X235" s="20">
        <f t="shared" si="193"/>
        <v>0</v>
      </c>
      <c r="Y235" s="21">
        <f t="shared" si="193"/>
        <v>0</v>
      </c>
      <c r="Z235" s="169">
        <f t="shared" si="193"/>
        <v>0</v>
      </c>
      <c r="AA235" s="20">
        <f t="shared" si="193"/>
        <v>0</v>
      </c>
      <c r="AB235" s="21">
        <f t="shared" si="193"/>
        <v>0</v>
      </c>
      <c r="AC235" s="169">
        <f t="shared" si="193"/>
        <v>0</v>
      </c>
      <c r="AD235" s="20">
        <f t="shared" si="193"/>
        <v>0</v>
      </c>
      <c r="AE235" s="21">
        <f t="shared" si="193"/>
        <v>0</v>
      </c>
      <c r="AF235" s="169">
        <f t="shared" si="193"/>
        <v>0</v>
      </c>
      <c r="AG235" s="20">
        <f t="shared" si="193"/>
        <v>0</v>
      </c>
      <c r="AH235" s="21">
        <f t="shared" si="193"/>
        <v>0</v>
      </c>
      <c r="AI235" s="17">
        <f t="shared" si="193"/>
        <v>0</v>
      </c>
      <c r="AJ235" s="18">
        <f t="shared" si="193"/>
        <v>0</v>
      </c>
      <c r="AK235" s="10"/>
      <c r="AL235" s="31">
        <f>SUM(AL236:AL241)</f>
        <v>0</v>
      </c>
      <c r="AM235" s="28">
        <f>SUM(AM236:AM241)</f>
        <v>0</v>
      </c>
      <c r="AN235" s="10"/>
    </row>
    <row r="236" spans="1:64" s="467" customFormat="1" x14ac:dyDescent="0.2">
      <c r="A236" s="623"/>
      <c r="B236" s="554"/>
      <c r="N236" s="10"/>
      <c r="P236" s="10"/>
      <c r="Q236" s="10"/>
      <c r="R236" s="10"/>
      <c r="S236" s="156" t="str">
        <f>+IF(MARZO!S236=0,"",MARZO!S236)</f>
        <v>8001000-1</v>
      </c>
      <c r="T236" s="55" t="str">
        <f>+IF(MARZO!T236=0,"",MARZO!T236)</f>
        <v>Subprogr.Construc. Remodelac. Adecuación y Apliac.1</v>
      </c>
      <c r="U236" s="29">
        <f>+ENERO!U236</f>
        <v>0</v>
      </c>
      <c r="V236" s="17">
        <f>MARZO!V236+ABRIL!AL236</f>
        <v>0</v>
      </c>
      <c r="W236" s="17">
        <f>MARZO!W236+ABRIL!AM236</f>
        <v>0</v>
      </c>
      <c r="X236" s="20">
        <f t="shared" ref="X236:X241" si="194">SUM(U236:W236)</f>
        <v>0</v>
      </c>
      <c r="Y236" s="21">
        <f>MARZO!AA236</f>
        <v>0</v>
      </c>
      <c r="Z236" s="457">
        <v>0</v>
      </c>
      <c r="AA236" s="20">
        <f t="shared" ref="AA236:AA241" si="195">SUM(Y236:Z236)</f>
        <v>0</v>
      </c>
      <c r="AB236" s="21">
        <f>MARZO!AD236</f>
        <v>0</v>
      </c>
      <c r="AC236" s="457">
        <v>0</v>
      </c>
      <c r="AD236" s="20">
        <f t="shared" ref="AD236:AD241" si="196">SUM(AB236:AC236)</f>
        <v>0</v>
      </c>
      <c r="AE236" s="21">
        <f>MARZO!AG236</f>
        <v>0</v>
      </c>
      <c r="AF236" s="457">
        <v>0</v>
      </c>
      <c r="AG236" s="20">
        <f t="shared" ref="AG236:AG241" si="197">SUM(AE236:AF236)</f>
        <v>0</v>
      </c>
      <c r="AH236" s="21">
        <f t="shared" ref="AH236:AH241" si="198">X236-AA236</f>
        <v>0</v>
      </c>
      <c r="AI236" s="17">
        <f t="shared" ref="AI236:AI241" si="199">X236-AD236</f>
        <v>0</v>
      </c>
      <c r="AJ236" s="18">
        <f t="shared" ref="AJ236:AJ241" si="200">X236-AG236</f>
        <v>0</v>
      </c>
      <c r="AK236" s="10"/>
      <c r="AL236" s="455">
        <v>0</v>
      </c>
      <c r="AM236" s="458">
        <v>0</v>
      </c>
      <c r="AN236" s="10"/>
    </row>
    <row r="237" spans="1:64" s="467" customFormat="1" x14ac:dyDescent="0.2">
      <c r="A237" s="623"/>
      <c r="B237" s="554"/>
      <c r="N237" s="10"/>
      <c r="P237" s="10"/>
      <c r="Q237" s="10"/>
      <c r="R237" s="10"/>
      <c r="S237" s="156" t="str">
        <f>+IF(MARZO!S237=0,"",MARZO!S237)</f>
        <v>8001000-2</v>
      </c>
      <c r="T237" s="55" t="str">
        <f>+IF(MARZO!T237=0,"",MARZO!T237)</f>
        <v>Subprogr.Construc. Remodelac. Adecuación y Apliac.2</v>
      </c>
      <c r="U237" s="29">
        <f>+ENERO!U237</f>
        <v>0</v>
      </c>
      <c r="V237" s="17">
        <f>MARZO!V237+ABRIL!AL237</f>
        <v>0</v>
      </c>
      <c r="W237" s="17">
        <f>MARZO!W237+ABRIL!AM237</f>
        <v>0</v>
      </c>
      <c r="X237" s="20">
        <f t="shared" si="194"/>
        <v>0</v>
      </c>
      <c r="Y237" s="21">
        <f>MARZO!AA237</f>
        <v>0</v>
      </c>
      <c r="Z237" s="457">
        <v>0</v>
      </c>
      <c r="AA237" s="20">
        <f t="shared" si="195"/>
        <v>0</v>
      </c>
      <c r="AB237" s="21">
        <f>MARZO!AD237</f>
        <v>0</v>
      </c>
      <c r="AC237" s="457">
        <v>0</v>
      </c>
      <c r="AD237" s="20">
        <f t="shared" si="196"/>
        <v>0</v>
      </c>
      <c r="AE237" s="21">
        <f>MARZO!AG237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x14ac:dyDescent="0.2">
      <c r="A238" s="623"/>
      <c r="B238" s="554"/>
      <c r="N238" s="10"/>
      <c r="P238" s="10"/>
      <c r="Q238" s="10"/>
      <c r="R238" s="10"/>
      <c r="S238" s="156" t="str">
        <f>+IF(MARZO!S238=0,"",MARZO!S238)</f>
        <v>8001000-3</v>
      </c>
      <c r="T238" s="55" t="str">
        <f>+IF(MARZO!T238=0,"",MARZO!T238)</f>
        <v>Subprogr.Construc. Remodelac. Adecuación y Apliac.3</v>
      </c>
      <c r="U238" s="29">
        <f>+ENERO!U238</f>
        <v>0</v>
      </c>
      <c r="V238" s="17">
        <f>MARZO!V238+ABRIL!AL238</f>
        <v>0</v>
      </c>
      <c r="W238" s="17">
        <f>MARZO!W238+ABRIL!AM238</f>
        <v>0</v>
      </c>
      <c r="X238" s="20">
        <f t="shared" si="194"/>
        <v>0</v>
      </c>
      <c r="Y238" s="21">
        <f>MARZO!AA238</f>
        <v>0</v>
      </c>
      <c r="Z238" s="457">
        <v>0</v>
      </c>
      <c r="AA238" s="20">
        <f t="shared" si="195"/>
        <v>0</v>
      </c>
      <c r="AB238" s="21">
        <f>MARZO!AD238</f>
        <v>0</v>
      </c>
      <c r="AC238" s="457">
        <v>0</v>
      </c>
      <c r="AD238" s="20">
        <f t="shared" si="196"/>
        <v>0</v>
      </c>
      <c r="AE238" s="21">
        <f>MARZO!AG238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x14ac:dyDescent="0.2">
      <c r="A239" s="623"/>
      <c r="B239" s="554"/>
      <c r="N239" s="10"/>
      <c r="P239" s="10"/>
      <c r="Q239" s="10"/>
      <c r="S239" s="156" t="str">
        <f>+IF(MARZO!S239=0,"",MARZO!S239)</f>
        <v>8001000-4</v>
      </c>
      <c r="T239" s="55" t="str">
        <f>+IF(MARZO!T239=0,"",MARZO!T239)</f>
        <v>Subprogr.Construc. Remodelac. Adecuación y Apliac.4</v>
      </c>
      <c r="U239" s="29">
        <f>+ENERO!U239</f>
        <v>0</v>
      </c>
      <c r="V239" s="17">
        <f>MARZO!V239+ABRIL!AL239</f>
        <v>0</v>
      </c>
      <c r="W239" s="17">
        <f>MARZO!W239+ABRIL!AM239</f>
        <v>0</v>
      </c>
      <c r="X239" s="20">
        <f t="shared" si="194"/>
        <v>0</v>
      </c>
      <c r="Y239" s="21">
        <f>MARZO!AA239</f>
        <v>0</v>
      </c>
      <c r="Z239" s="457">
        <v>0</v>
      </c>
      <c r="AA239" s="20">
        <f t="shared" si="195"/>
        <v>0</v>
      </c>
      <c r="AB239" s="21">
        <f>MARZO!AD239</f>
        <v>0</v>
      </c>
      <c r="AC239" s="457">
        <v>0</v>
      </c>
      <c r="AD239" s="20">
        <f t="shared" si="196"/>
        <v>0</v>
      </c>
      <c r="AE239" s="21">
        <f>MARZO!AG239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x14ac:dyDescent="0.2">
      <c r="A240" s="623"/>
      <c r="B240" s="554"/>
      <c r="N240" s="10"/>
      <c r="P240" s="10"/>
      <c r="Q240" s="10"/>
      <c r="S240" s="156" t="str">
        <f>+IF(MARZO!S240=0,"",MARZO!S240)</f>
        <v>8001000-7</v>
      </c>
      <c r="T240" s="55" t="str">
        <f>+IF(MARZO!T240=0,"",MARZO!T240)</f>
        <v>Subprogr.Construc. Remodelac. Adecuación y Apliac.5</v>
      </c>
      <c r="U240" s="29">
        <f>+ENERO!U240</f>
        <v>0</v>
      </c>
      <c r="V240" s="17">
        <f>MARZO!V240+ABRIL!AL240</f>
        <v>0</v>
      </c>
      <c r="W240" s="17">
        <f>MARZO!W240+ABRIL!AM240</f>
        <v>0</v>
      </c>
      <c r="X240" s="20">
        <f t="shared" si="194"/>
        <v>0</v>
      </c>
      <c r="Y240" s="21">
        <f>MARZO!AA240</f>
        <v>0</v>
      </c>
      <c r="Z240" s="457">
        <v>0</v>
      </c>
      <c r="AA240" s="20">
        <f t="shared" si="195"/>
        <v>0</v>
      </c>
      <c r="AB240" s="21">
        <f>MARZO!AD240</f>
        <v>0</v>
      </c>
      <c r="AC240" s="457">
        <v>0</v>
      </c>
      <c r="AD240" s="20">
        <f t="shared" si="196"/>
        <v>0</v>
      </c>
      <c r="AE240" s="21">
        <f>MARZO!AG240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+IF(MARZO!S241=0,"",MARZO!S241)</f>
        <v>8001999</v>
      </c>
      <c r="T241" s="55" t="str">
        <f>+IF(MARZO!T241=0,"",MARZO!T241)</f>
        <v>Vigencias Anteriores</v>
      </c>
      <c r="U241" s="29">
        <f>+ENERO!U241</f>
        <v>0</v>
      </c>
      <c r="V241" s="17">
        <f>MARZO!V241+ABRIL!AL241</f>
        <v>0</v>
      </c>
      <c r="W241" s="17">
        <f>MARZO!W241+ABRIL!AM241</f>
        <v>0</v>
      </c>
      <c r="X241" s="20">
        <f t="shared" si="194"/>
        <v>0</v>
      </c>
      <c r="Y241" s="21">
        <f>MARZO!AA241</f>
        <v>0</v>
      </c>
      <c r="Z241" s="457">
        <v>0</v>
      </c>
      <c r="AA241" s="20">
        <f t="shared" si="195"/>
        <v>0</v>
      </c>
      <c r="AB241" s="21">
        <f>MARZO!AD241</f>
        <v>0</v>
      </c>
      <c r="AC241" s="457">
        <v>0</v>
      </c>
      <c r="AD241" s="20">
        <f t="shared" si="196"/>
        <v>0</v>
      </c>
      <c r="AE241" s="21">
        <f>MARZO!AG241</f>
        <v>0</v>
      </c>
      <c r="AF241" s="457">
        <v>0</v>
      </c>
      <c r="AG241" s="20">
        <f t="shared" si="197"/>
        <v>0</v>
      </c>
      <c r="AH241" s="21">
        <f t="shared" si="198"/>
        <v>0</v>
      </c>
      <c r="AI241" s="17">
        <f t="shared" si="199"/>
        <v>0</v>
      </c>
      <c r="AJ241" s="18">
        <f t="shared" si="200"/>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+IF(MARZO!S242=0,"",MARZO!S242)</f>
        <v/>
      </c>
      <c r="T242" s="649" t="str">
        <f>+IF(MARZO!T242=0,"",MARZO!T242)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+IF(MARZO!S243=0,"",MARZO!S243)</f>
        <v>8002001</v>
      </c>
      <c r="T243" s="159" t="str">
        <f>+IF(MARZO!T243=0,"",MARZO!T243)</f>
        <v>Gastos Operativos de Inversion   (Programas Especiales)</v>
      </c>
      <c r="U243" s="29">
        <f t="shared" ref="U243:AJ243" si="201">SUM(U244:U256)</f>
        <v>121563100</v>
      </c>
      <c r="V243" s="17">
        <f t="shared" si="201"/>
        <v>-1563100</v>
      </c>
      <c r="W243" s="17">
        <f t="shared" si="201"/>
        <v>0</v>
      </c>
      <c r="X243" s="20">
        <f t="shared" si="201"/>
        <v>120000000</v>
      </c>
      <c r="Y243" s="21">
        <f t="shared" si="201"/>
        <v>38144984</v>
      </c>
      <c r="Z243" s="169">
        <f t="shared" si="201"/>
        <v>17309492</v>
      </c>
      <c r="AA243" s="20">
        <f t="shared" si="201"/>
        <v>55454476</v>
      </c>
      <c r="AB243" s="21">
        <f t="shared" si="201"/>
        <v>38144984</v>
      </c>
      <c r="AC243" s="169">
        <f t="shared" si="201"/>
        <v>17309492</v>
      </c>
      <c r="AD243" s="20">
        <f t="shared" si="201"/>
        <v>55454476</v>
      </c>
      <c r="AE243" s="21">
        <f t="shared" si="201"/>
        <v>19019492</v>
      </c>
      <c r="AF243" s="169">
        <f t="shared" si="201"/>
        <v>17309492</v>
      </c>
      <c r="AG243" s="20">
        <f t="shared" si="201"/>
        <v>36328984</v>
      </c>
      <c r="AH243" s="21">
        <f t="shared" si="201"/>
        <v>64545524</v>
      </c>
      <c r="AI243" s="17">
        <f t="shared" si="201"/>
        <v>64545524</v>
      </c>
      <c r="AJ243" s="18">
        <f t="shared" si="201"/>
        <v>83671016</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+IF(MARZO!S244=0,"",MARZO!S244)</f>
        <v>8002100-1</v>
      </c>
      <c r="T244" s="55" t="str">
        <f>+IF(MARZO!T244=0,"",MARZO!T244)</f>
        <v>Salud Pública</v>
      </c>
      <c r="U244" s="29">
        <f>+ENERO!U244</f>
        <v>120000000</v>
      </c>
      <c r="V244" s="17">
        <f>MARZO!V244+ABRIL!AL244</f>
        <v>0</v>
      </c>
      <c r="W244" s="17">
        <f>MARZO!W244+ABRIL!AM244</f>
        <v>0</v>
      </c>
      <c r="X244" s="20">
        <f t="shared" ref="X244:X256" si="202">SUM(U244:W244)</f>
        <v>120000000</v>
      </c>
      <c r="Y244" s="21">
        <f>MARZO!AA244</f>
        <v>38144984</v>
      </c>
      <c r="Z244" s="457">
        <v>17309492</v>
      </c>
      <c r="AA244" s="20">
        <f t="shared" ref="AA244:AA256" si="203">SUM(Y244:Z244)</f>
        <v>55454476</v>
      </c>
      <c r="AB244" s="21">
        <f>MARZO!AD244</f>
        <v>38144984</v>
      </c>
      <c r="AC244" s="457">
        <v>17309492</v>
      </c>
      <c r="AD244" s="20">
        <f t="shared" ref="AD244:AD256" si="204">SUM(AB244:AC244)</f>
        <v>55454476</v>
      </c>
      <c r="AE244" s="21">
        <f>MARZO!AG244</f>
        <v>19019492</v>
      </c>
      <c r="AF244" s="457">
        <v>17309492</v>
      </c>
      <c r="AG244" s="20">
        <f t="shared" ref="AG244:AG256" si="205">SUM(AE244:AF244)</f>
        <v>36328984</v>
      </c>
      <c r="AH244" s="21">
        <f t="shared" ref="AH244:AH256" si="206">X244-AA244</f>
        <v>64545524</v>
      </c>
      <c r="AI244" s="17">
        <f t="shared" ref="AI244:AI256" si="207">X244-AD244</f>
        <v>64545524</v>
      </c>
      <c r="AJ244" s="18">
        <f t="shared" ref="AJ244:AJ256" si="208">X244-AG244</f>
        <v>83671016</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+IF(MARZO!S245=0,"",MARZO!S245)</f>
        <v>8002100-2</v>
      </c>
      <c r="T245" s="55" t="str">
        <f>+IF(MARZO!T245=0,"",MARZO!T245)</f>
        <v>Programas Especial 01</v>
      </c>
      <c r="U245" s="29">
        <f>+ENERO!U245</f>
        <v>0</v>
      </c>
      <c r="V245" s="17">
        <f>MARZO!V245+ABRIL!AL245</f>
        <v>0</v>
      </c>
      <c r="W245" s="17">
        <f>MARZO!W245+ABRIL!AM245</f>
        <v>0</v>
      </c>
      <c r="X245" s="20">
        <f t="shared" si="202"/>
        <v>0</v>
      </c>
      <c r="Y245" s="21">
        <f>MARZO!AA245</f>
        <v>0</v>
      </c>
      <c r="Z245" s="457">
        <v>0</v>
      </c>
      <c r="AA245" s="20">
        <f t="shared" si="203"/>
        <v>0</v>
      </c>
      <c r="AB245" s="21">
        <f>MARZO!AD245</f>
        <v>0</v>
      </c>
      <c r="AC245" s="457">
        <v>0</v>
      </c>
      <c r="AD245" s="20">
        <f t="shared" si="204"/>
        <v>0</v>
      </c>
      <c r="AE245" s="21">
        <f>MARZO!AG245</f>
        <v>0</v>
      </c>
      <c r="AF245" s="457">
        <v>0</v>
      </c>
      <c r="AG245" s="20">
        <f t="shared" si="205"/>
        <v>0</v>
      </c>
      <c r="AH245" s="21">
        <f t="shared" si="206"/>
        <v>0</v>
      </c>
      <c r="AI245" s="17">
        <f t="shared" si="207"/>
        <v>0</v>
      </c>
      <c r="AJ245" s="18">
        <f t="shared" si="208"/>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+IF(MARZO!S246=0,"",MARZO!S246)</f>
        <v>8002100-3</v>
      </c>
      <c r="T246" s="55" t="str">
        <f>+IF(MARZO!T246=0,"",MARZO!T246)</f>
        <v>Programas Especial 02</v>
      </c>
      <c r="U246" s="29">
        <f>+ENERO!U246</f>
        <v>0</v>
      </c>
      <c r="V246" s="17">
        <f>MARZO!V246+ABRIL!AL246</f>
        <v>0</v>
      </c>
      <c r="W246" s="17">
        <f>MARZO!W246+ABRIL!AM246</f>
        <v>0</v>
      </c>
      <c r="X246" s="20">
        <f t="shared" si="202"/>
        <v>0</v>
      </c>
      <c r="Y246" s="21">
        <f>MARZO!AA246</f>
        <v>0</v>
      </c>
      <c r="Z246" s="457">
        <v>0</v>
      </c>
      <c r="AA246" s="20">
        <f t="shared" si="203"/>
        <v>0</v>
      </c>
      <c r="AB246" s="21">
        <f>MARZO!AD246</f>
        <v>0</v>
      </c>
      <c r="AC246" s="457">
        <v>0</v>
      </c>
      <c r="AD246" s="20">
        <f t="shared" si="204"/>
        <v>0</v>
      </c>
      <c r="AE246" s="21">
        <f>MARZO!AG246</f>
        <v>0</v>
      </c>
      <c r="AF246" s="457">
        <v>0</v>
      </c>
      <c r="AG246" s="20">
        <f t="shared" si="205"/>
        <v>0</v>
      </c>
      <c r="AH246" s="21">
        <f t="shared" si="206"/>
        <v>0</v>
      </c>
      <c r="AI246" s="17">
        <f t="shared" si="207"/>
        <v>0</v>
      </c>
      <c r="AJ246" s="18">
        <f t="shared" si="208"/>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+IF(MARZO!S247=0,"",MARZO!S247)</f>
        <v>8002100-4</v>
      </c>
      <c r="T247" s="55" t="str">
        <f>+IF(MARZO!T247=0,"",MARZO!T247)</f>
        <v>Programas Especial 03</v>
      </c>
      <c r="U247" s="29">
        <f>+ENERO!U247</f>
        <v>0</v>
      </c>
      <c r="V247" s="17">
        <f>MARZO!V247+ABRIL!AL247</f>
        <v>0</v>
      </c>
      <c r="W247" s="17">
        <f>MARZO!W247+ABRIL!AM247</f>
        <v>0</v>
      </c>
      <c r="X247" s="20">
        <f t="shared" si="202"/>
        <v>0</v>
      </c>
      <c r="Y247" s="21">
        <f>MARZO!AA247</f>
        <v>0</v>
      </c>
      <c r="Z247" s="457">
        <v>0</v>
      </c>
      <c r="AA247" s="20">
        <f t="shared" si="203"/>
        <v>0</v>
      </c>
      <c r="AB247" s="21">
        <f>MARZO!AD247</f>
        <v>0</v>
      </c>
      <c r="AC247" s="457">
        <v>0</v>
      </c>
      <c r="AD247" s="20">
        <f t="shared" si="204"/>
        <v>0</v>
      </c>
      <c r="AE247" s="21">
        <f>MARZO!AG247</f>
        <v>0</v>
      </c>
      <c r="AF247" s="457">
        <v>0</v>
      </c>
      <c r="AG247" s="20">
        <f t="shared" si="205"/>
        <v>0</v>
      </c>
      <c r="AH247" s="21">
        <f t="shared" si="206"/>
        <v>0</v>
      </c>
      <c r="AI247" s="17">
        <f t="shared" si="207"/>
        <v>0</v>
      </c>
      <c r="AJ247" s="18">
        <f t="shared" si="208"/>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+IF(MARZO!S248=0,"",MARZO!S248)</f>
        <v>8002100-5</v>
      </c>
      <c r="T248" s="55" t="str">
        <f>+IF(MARZO!T248=0,"",MARZO!T248)</f>
        <v>Programas Especial 04</v>
      </c>
      <c r="U248" s="29">
        <f>+ENERO!U248</f>
        <v>0</v>
      </c>
      <c r="V248" s="17">
        <f>MARZO!V248+ABRIL!AL248</f>
        <v>0</v>
      </c>
      <c r="W248" s="17">
        <f>MARZO!W248+ABRIL!AM248</f>
        <v>0</v>
      </c>
      <c r="X248" s="20">
        <f t="shared" si="202"/>
        <v>0</v>
      </c>
      <c r="Y248" s="21">
        <f>MARZO!AA248</f>
        <v>0</v>
      </c>
      <c r="Z248" s="457">
        <v>0</v>
      </c>
      <c r="AA248" s="20">
        <f t="shared" si="203"/>
        <v>0</v>
      </c>
      <c r="AB248" s="21">
        <f>MARZO!AD248</f>
        <v>0</v>
      </c>
      <c r="AC248" s="457">
        <v>0</v>
      </c>
      <c r="AD248" s="20">
        <f t="shared" si="204"/>
        <v>0</v>
      </c>
      <c r="AE248" s="21">
        <f>MARZO!AG248</f>
        <v>0</v>
      </c>
      <c r="AF248" s="457">
        <v>0</v>
      </c>
      <c r="AG248" s="20">
        <f t="shared" si="205"/>
        <v>0</v>
      </c>
      <c r="AH248" s="21">
        <f t="shared" si="206"/>
        <v>0</v>
      </c>
      <c r="AI248" s="17">
        <f t="shared" si="207"/>
        <v>0</v>
      </c>
      <c r="AJ248" s="18">
        <f t="shared" si="208"/>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+IF(MARZO!S249=0,"",MARZO!S249)</f>
        <v>8002100-6</v>
      </c>
      <c r="T249" s="55" t="str">
        <f>+IF(MARZO!T249=0,"",MARZO!T249)</f>
        <v>Programas Especial 05</v>
      </c>
      <c r="U249" s="29">
        <f>+ENERO!U249</f>
        <v>0</v>
      </c>
      <c r="V249" s="17">
        <f>MARZO!V249+ABRIL!AL249</f>
        <v>0</v>
      </c>
      <c r="W249" s="17">
        <f>MARZO!W249+ABRIL!AM249</f>
        <v>0</v>
      </c>
      <c r="X249" s="20">
        <f t="shared" si="202"/>
        <v>0</v>
      </c>
      <c r="Y249" s="21">
        <f>MARZO!AA249</f>
        <v>0</v>
      </c>
      <c r="Z249" s="457">
        <v>0</v>
      </c>
      <c r="AA249" s="20">
        <f t="shared" si="203"/>
        <v>0</v>
      </c>
      <c r="AB249" s="21">
        <f>MARZO!AD249</f>
        <v>0</v>
      </c>
      <c r="AC249" s="457">
        <v>0</v>
      </c>
      <c r="AD249" s="20">
        <f t="shared" si="204"/>
        <v>0</v>
      </c>
      <c r="AE249" s="21">
        <f>MARZO!AG249</f>
        <v>0</v>
      </c>
      <c r="AF249" s="457">
        <v>0</v>
      </c>
      <c r="AG249" s="20">
        <f t="shared" si="205"/>
        <v>0</v>
      </c>
      <c r="AH249" s="21">
        <f t="shared" si="206"/>
        <v>0</v>
      </c>
      <c r="AI249" s="17">
        <f t="shared" si="207"/>
        <v>0</v>
      </c>
      <c r="AJ249" s="18">
        <f t="shared" si="208"/>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+IF(MARZO!S250=0,"",MARZO!S250)</f>
        <v>8002100-7</v>
      </c>
      <c r="T250" s="55" t="str">
        <f>+IF(MARZO!T250=0,"",MARZO!T250)</f>
        <v>Programas Especial 06</v>
      </c>
      <c r="U250" s="29">
        <f>+ENERO!U250</f>
        <v>0</v>
      </c>
      <c r="V250" s="17">
        <f>MARZO!V250+ABRIL!AL250</f>
        <v>0</v>
      </c>
      <c r="W250" s="17">
        <f>MARZO!W250+ABRIL!AM250</f>
        <v>0</v>
      </c>
      <c r="X250" s="20">
        <f>SUM(U250:W250)</f>
        <v>0</v>
      </c>
      <c r="Y250" s="21">
        <f>MARZO!AA250</f>
        <v>0</v>
      </c>
      <c r="Z250" s="457">
        <v>0</v>
      </c>
      <c r="AA250" s="20">
        <f>SUM(Y250:Z250)</f>
        <v>0</v>
      </c>
      <c r="AB250" s="21">
        <f>MARZO!AD250</f>
        <v>0</v>
      </c>
      <c r="AC250" s="457">
        <v>0</v>
      </c>
      <c r="AD250" s="20">
        <f>SUM(AB250:AC250)</f>
        <v>0</v>
      </c>
      <c r="AE250" s="21">
        <f>MARZO!AG250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+IF(MARZO!S251=0,"",MARZO!S251)</f>
        <v>8002100-8</v>
      </c>
      <c r="T251" s="55" t="str">
        <f>+IF(MARZO!T251=0,"",MARZO!T251)</f>
        <v>Programas Especial 07</v>
      </c>
      <c r="U251" s="29">
        <f>+ENERO!U251</f>
        <v>0</v>
      </c>
      <c r="V251" s="17">
        <f>MARZO!V251+ABRIL!AL251</f>
        <v>0</v>
      </c>
      <c r="W251" s="17">
        <f>MARZO!W251+ABRIL!AM251</f>
        <v>0</v>
      </c>
      <c r="X251" s="20">
        <f>SUM(U251:W251)</f>
        <v>0</v>
      </c>
      <c r="Y251" s="21">
        <f>MARZO!AA251</f>
        <v>0</v>
      </c>
      <c r="Z251" s="457">
        <v>0</v>
      </c>
      <c r="AA251" s="20">
        <f>SUM(Y251:Z251)</f>
        <v>0</v>
      </c>
      <c r="AB251" s="21">
        <f>MARZO!AD251</f>
        <v>0</v>
      </c>
      <c r="AC251" s="457">
        <v>0</v>
      </c>
      <c r="AD251" s="20">
        <f>SUM(AB251:AC251)</f>
        <v>0</v>
      </c>
      <c r="AE251" s="21">
        <f>MARZO!AG251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+IF(MARZO!S252=0,"",MARZO!S252)</f>
        <v>8002100-9</v>
      </c>
      <c r="T252" s="55" t="str">
        <f>+IF(MARZO!T252=0,"",MARZO!T252)</f>
        <v>Programas Especial 08</v>
      </c>
      <c r="U252" s="29">
        <f>+ENERO!U252</f>
        <v>0</v>
      </c>
      <c r="V252" s="17">
        <f>MARZO!V252+ABRIL!AL252</f>
        <v>0</v>
      </c>
      <c r="W252" s="17">
        <f>MARZO!W252+ABRIL!AM252</f>
        <v>0</v>
      </c>
      <c r="X252" s="20">
        <f>SUM(U252:W252)</f>
        <v>0</v>
      </c>
      <c r="Y252" s="21">
        <f>MARZO!AA252</f>
        <v>0</v>
      </c>
      <c r="Z252" s="457">
        <v>0</v>
      </c>
      <c r="AA252" s="20">
        <f>SUM(Y252:Z252)</f>
        <v>0</v>
      </c>
      <c r="AB252" s="21">
        <f>MARZO!AD252</f>
        <v>0</v>
      </c>
      <c r="AC252" s="457">
        <v>0</v>
      </c>
      <c r="AD252" s="20">
        <f>SUM(AB252:AC252)</f>
        <v>0</v>
      </c>
      <c r="AE252" s="21">
        <f>MARZO!AG252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+IF(MARZO!S253=0,"",MARZO!S253)</f>
        <v>8002100-10</v>
      </c>
      <c r="T253" s="55" t="str">
        <f>+IF(MARZO!T253=0,"",MARZO!T253)</f>
        <v>Programas Especial 09</v>
      </c>
      <c r="U253" s="29">
        <f>+ENERO!U253</f>
        <v>0</v>
      </c>
      <c r="V253" s="17">
        <f>MARZO!V253+ABRIL!AL253</f>
        <v>0</v>
      </c>
      <c r="W253" s="17">
        <f>MARZO!W253+ABRIL!AM253</f>
        <v>0</v>
      </c>
      <c r="X253" s="20">
        <f>SUM(U253:W253)</f>
        <v>0</v>
      </c>
      <c r="Y253" s="21">
        <f>MARZO!AA253</f>
        <v>0</v>
      </c>
      <c r="Z253" s="457">
        <v>0</v>
      </c>
      <c r="AA253" s="20">
        <f>SUM(Y253:Z253)</f>
        <v>0</v>
      </c>
      <c r="AB253" s="21">
        <f>MARZO!AD253</f>
        <v>0</v>
      </c>
      <c r="AC253" s="457">
        <v>0</v>
      </c>
      <c r="AD253" s="20">
        <f>SUM(AB253:AC253)</f>
        <v>0</v>
      </c>
      <c r="AE253" s="21">
        <f>MARZO!AG253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+IF(MARZO!S254=0,"",MARZO!S254)</f>
        <v>8002100-11</v>
      </c>
      <c r="T254" s="55" t="str">
        <f>+IF(MARZO!T254=0,"",MARZO!T254)</f>
        <v>Programas Especial 10</v>
      </c>
      <c r="U254" s="29">
        <f>+ENERO!U254</f>
        <v>0</v>
      </c>
      <c r="V254" s="17">
        <f>MARZO!V254+ABRIL!AL254</f>
        <v>0</v>
      </c>
      <c r="W254" s="17">
        <f>MARZO!W254+ABRIL!AM254</f>
        <v>0</v>
      </c>
      <c r="X254" s="20">
        <f>SUM(U254:W254)</f>
        <v>0</v>
      </c>
      <c r="Y254" s="21">
        <f>MARZO!AA254</f>
        <v>0</v>
      </c>
      <c r="Z254" s="457">
        <v>0</v>
      </c>
      <c r="AA254" s="20">
        <f>SUM(Y254:Z254)</f>
        <v>0</v>
      </c>
      <c r="AB254" s="21">
        <f>MARZO!AD254</f>
        <v>0</v>
      </c>
      <c r="AC254" s="457">
        <v>0</v>
      </c>
      <c r="AD254" s="20">
        <f>SUM(AB254:AC254)</f>
        <v>0</v>
      </c>
      <c r="AE254" s="21">
        <f>MARZO!AG254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+IF(MARZO!S255=0,"",MARZO!S255)</f>
        <v>8002100-12</v>
      </c>
      <c r="T255" s="55" t="str">
        <f>+IF(MARZO!T255=0,"",MARZO!T255)</f>
        <v>Programas Especial 11</v>
      </c>
      <c r="U255" s="29">
        <f>+ENERO!U255</f>
        <v>0</v>
      </c>
      <c r="V255" s="17">
        <f>MARZO!V255+ABRIL!AL255</f>
        <v>0</v>
      </c>
      <c r="W255" s="17">
        <f>MARZO!W255+ABRIL!AM255</f>
        <v>0</v>
      </c>
      <c r="X255" s="20">
        <f t="shared" si="202"/>
        <v>0</v>
      </c>
      <c r="Y255" s="21">
        <f>MARZO!AA255</f>
        <v>0</v>
      </c>
      <c r="Z255" s="457">
        <v>0</v>
      </c>
      <c r="AA255" s="20">
        <f t="shared" si="203"/>
        <v>0</v>
      </c>
      <c r="AB255" s="21">
        <f>MARZO!AD255</f>
        <v>0</v>
      </c>
      <c r="AC255" s="457">
        <v>0</v>
      </c>
      <c r="AD255" s="20">
        <f t="shared" si="204"/>
        <v>0</v>
      </c>
      <c r="AE255" s="21">
        <f>MARZO!AG255</f>
        <v>0</v>
      </c>
      <c r="AF255" s="457">
        <v>0</v>
      </c>
      <c r="AG255" s="20">
        <f t="shared" si="205"/>
        <v>0</v>
      </c>
      <c r="AH255" s="21">
        <f t="shared" si="206"/>
        <v>0</v>
      </c>
      <c r="AI255" s="17">
        <f t="shared" si="207"/>
        <v>0</v>
      </c>
      <c r="AJ255" s="18">
        <f t="shared" si="208"/>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+IF(MARZO!S256=0,"",MARZO!S256)</f>
        <v>8002999</v>
      </c>
      <c r="T256" s="658" t="str">
        <f>+IF(MARZO!T256=0,"",MARZO!T256)</f>
        <v>Vigencias Anteriores</v>
      </c>
      <c r="U256" s="160">
        <f>+ENERO!U256</f>
        <v>1563100</v>
      </c>
      <c r="V256" s="143">
        <f>MARZO!V256+ABRIL!AL256</f>
        <v>-1563100</v>
      </c>
      <c r="W256" s="143">
        <f>MARZO!W256+ABRIL!AM256</f>
        <v>0</v>
      </c>
      <c r="X256" s="149">
        <f t="shared" si="202"/>
        <v>0</v>
      </c>
      <c r="Y256" s="147">
        <f>MARZO!AA256</f>
        <v>0</v>
      </c>
      <c r="Z256" s="475">
        <v>0</v>
      </c>
      <c r="AA256" s="149">
        <f t="shared" si="203"/>
        <v>0</v>
      </c>
      <c r="AB256" s="147">
        <f>MARZO!AD256</f>
        <v>0</v>
      </c>
      <c r="AC256" s="475">
        <v>0</v>
      </c>
      <c r="AD256" s="149">
        <f t="shared" si="204"/>
        <v>0</v>
      </c>
      <c r="AE256" s="147">
        <f>MARZO!AG256</f>
        <v>0</v>
      </c>
      <c r="AF256" s="475">
        <v>0</v>
      </c>
      <c r="AG256" s="149">
        <f t="shared" si="205"/>
        <v>0</v>
      </c>
      <c r="AH256" s="147">
        <f t="shared" si="206"/>
        <v>0</v>
      </c>
      <c r="AI256" s="143">
        <f t="shared" si="207"/>
        <v>0</v>
      </c>
      <c r="AJ256" s="148">
        <f t="shared" si="208"/>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+IF(MARZO!S257=0,"",MARZO!S257)</f>
        <v/>
      </c>
      <c r="T257" s="357" t="str">
        <f>+IF(MARZO!T257=0,"",MARZO!T257)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+IF(MARZO!S258=0,"",MARZO!S258)</f>
        <v>E</v>
      </c>
      <c r="T258" s="664" t="str">
        <f>+IF(MARZO!T258=0,"",MARZO!T258)</f>
        <v>DISPONIBILIDAD FINAL</v>
      </c>
      <c r="U258" s="415">
        <f>+(C10+C17+C108)-(U10+U207+U220+U232)</f>
        <v>0</v>
      </c>
      <c r="V258" s="415">
        <f t="shared" ref="V258:AJ258" si="209">+(D10+D17+D108)-(V10+V207+V220+V232)</f>
        <v>0</v>
      </c>
      <c r="W258" s="415">
        <f t="shared" si="209"/>
        <v>0</v>
      </c>
      <c r="X258" s="415">
        <f t="shared" si="209"/>
        <v>0</v>
      </c>
      <c r="Y258" s="415">
        <f t="shared" si="209"/>
        <v>225913849</v>
      </c>
      <c r="Z258" s="415">
        <f t="shared" si="209"/>
        <v>81296843</v>
      </c>
      <c r="AA258" s="415">
        <f t="shared" si="209"/>
        <v>307210692</v>
      </c>
      <c r="AB258" s="415">
        <f t="shared" si="209"/>
        <v>47843226</v>
      </c>
      <c r="AC258" s="415">
        <f t="shared" si="209"/>
        <v>7973072</v>
      </c>
      <c r="AD258" s="415">
        <f t="shared" si="209"/>
        <v>55816298</v>
      </c>
      <c r="AE258" s="415">
        <f t="shared" si="209"/>
        <v>1417579276</v>
      </c>
      <c r="AF258" s="415">
        <f t="shared" si="209"/>
        <v>2189691178</v>
      </c>
      <c r="AG258" s="415">
        <f t="shared" si="209"/>
        <v>-996481202</v>
      </c>
      <c r="AH258" s="415">
        <f t="shared" si="209"/>
        <v>-2483375022</v>
      </c>
      <c r="AI258" s="415">
        <f t="shared" si="209"/>
        <v>-2483403624</v>
      </c>
      <c r="AJ258" s="415">
        <f t="shared" si="209"/>
        <v>-2693542993</v>
      </c>
      <c r="AK258" s="10"/>
      <c r="AL258" s="415">
        <v>0</v>
      </c>
      <c r="AM258" s="416">
        <v>0</v>
      </c>
    </row>
    <row r="259" spans="1:39" ht="17.25" thickBot="1" x14ac:dyDescent="0.25">
      <c r="S259" s="982" t="str">
        <f>+IF(MARZO!S259=0,"",MARZO!S259)</f>
        <v>TOTAL VIGENCIAS ANTERIORES</v>
      </c>
      <c r="T259" s="983"/>
      <c r="U259" s="145">
        <f t="shared" ref="U259:AJ259" si="210">+SUMIF($T$8:$T$256,$T$33,U8:U256)</f>
        <v>91581965</v>
      </c>
      <c r="V259" s="133">
        <f t="shared" si="210"/>
        <v>20797411</v>
      </c>
      <c r="W259" s="133">
        <f t="shared" si="210"/>
        <v>33540115</v>
      </c>
      <c r="X259" s="146">
        <f t="shared" si="210"/>
        <v>145919491</v>
      </c>
      <c r="Y259" s="145">
        <f t="shared" si="210"/>
        <v>145453491</v>
      </c>
      <c r="Z259" s="133">
        <f t="shared" si="210"/>
        <v>0</v>
      </c>
      <c r="AA259" s="146">
        <f t="shared" si="210"/>
        <v>145453491</v>
      </c>
      <c r="AB259" s="145">
        <f t="shared" si="210"/>
        <v>145453491</v>
      </c>
      <c r="AC259" s="133">
        <f t="shared" si="210"/>
        <v>0</v>
      </c>
      <c r="AD259" s="146">
        <f t="shared" si="210"/>
        <v>145453491</v>
      </c>
      <c r="AE259" s="145">
        <f t="shared" si="210"/>
        <v>128974970</v>
      </c>
      <c r="AF259" s="133">
        <f t="shared" si="210"/>
        <v>6085380</v>
      </c>
      <c r="AG259" s="146">
        <f t="shared" si="210"/>
        <v>135060350</v>
      </c>
      <c r="AH259" s="145">
        <f t="shared" si="210"/>
        <v>466000</v>
      </c>
      <c r="AI259" s="133">
        <f t="shared" si="210"/>
        <v>466000</v>
      </c>
      <c r="AJ259" s="134">
        <f t="shared" si="210"/>
        <v>10859141</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78740157480314965" right="0.59055118110236227" top="0.43307086614173229" bottom="0.39370078740157483" header="0.23622047244094491" footer="0.23622047244094491"/>
  <pageSetup paperSize="5"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0"/>
  <sheetViews>
    <sheetView showGridLines="0" topLeftCell="Z1" zoomScale="85" zoomScaleNormal="85"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28515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3.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5</v>
      </c>
      <c r="AP2" s="349" t="s">
        <v>8</v>
      </c>
      <c r="AQ2" s="350"/>
      <c r="AR2" s="4"/>
      <c r="AS2" s="4"/>
      <c r="AT2" s="4"/>
      <c r="AU2" s="4"/>
      <c r="AV2" s="4"/>
      <c r="AW2" s="4"/>
      <c r="AX2" s="4"/>
      <c r="AY2" s="4"/>
      <c r="AZ2" s="5"/>
      <c r="BB2" s="952" t="s">
        <v>423</v>
      </c>
      <c r="BC2" s="969"/>
      <c r="BD2" s="69" t="s">
        <v>409</v>
      </c>
      <c r="BE2" s="347" t="str">
        <f>+L3</f>
        <v>MAYO</v>
      </c>
      <c r="BF2" s="340"/>
      <c r="BG2" s="952" t="s">
        <v>424</v>
      </c>
      <c r="BH2" s="969"/>
      <c r="BI2" s="969"/>
      <c r="BJ2" s="69" t="s">
        <v>409</v>
      </c>
      <c r="BK2" s="347" t="str">
        <f>+BE2</f>
        <v>MAYO</v>
      </c>
      <c r="BM2" s="952" t="s">
        <v>424</v>
      </c>
      <c r="BN2" s="969"/>
      <c r="BO2" s="969"/>
      <c r="BP2" s="69" t="s">
        <v>409</v>
      </c>
      <c r="BQ2" s="347" t="str">
        <f>+BK2</f>
        <v>MAYO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389</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MAYO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370" t="s">
        <v>579</v>
      </c>
      <c r="Z5" s="368"/>
      <c r="AA5" s="36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77" t="str">
        <f>+CONCATENATE("ACUMULADO ",N3)</f>
        <v>ACUMULADO 2014</v>
      </c>
      <c r="BI5" s="978"/>
      <c r="BJ5" s="978"/>
      <c r="BK5" s="979"/>
      <c r="BM5" s="975" t="s">
        <v>34</v>
      </c>
      <c r="BN5" s="379" t="str">
        <f>+CONCATENATE("ACUMULADO ",BQ3)</f>
        <v>ACUMULADO 2014</v>
      </c>
      <c r="BO5" s="380"/>
      <c r="BP5" s="381"/>
      <c r="BQ5" s="382"/>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MAYO</v>
      </c>
      <c r="AS6" s="387" t="str">
        <f>AR6</f>
        <v>MAYO</v>
      </c>
      <c r="AT6" s="387" t="str">
        <f>AR6</f>
        <v>MAYO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151776817</v>
      </c>
      <c r="AS7" s="401">
        <f>L22</f>
        <v>35769864</v>
      </c>
      <c r="AT7" s="15"/>
      <c r="AU7" s="402">
        <f t="shared" ref="AU7:AU17" si="0">IF(AQ7=0," ",AR7/AQ7)</f>
        <v>0.64465650313667344</v>
      </c>
      <c r="AV7" s="402">
        <f t="shared" ref="AV7:AV17" si="1">IF(AQ7=0," ",AS7/AQ7)</f>
        <v>0.15192883801163379</v>
      </c>
      <c r="AW7" s="401">
        <f>I23/AO$2*12+I24</f>
        <v>319524224.79999995</v>
      </c>
      <c r="AX7" s="401">
        <f>L23/AO$2*12+L24</f>
        <v>41107537.600000001</v>
      </c>
      <c r="AY7" s="401">
        <f t="shared" ref="AY7:AY16" si="2">AW7-AQ7</f>
        <v>84085946.799999952</v>
      </c>
      <c r="AZ7" s="403">
        <f t="shared" ref="AZ7:AZ16" si="3">AX7-AQ7</f>
        <v>-194330740.40000001</v>
      </c>
      <c r="BB7" s="404" t="s">
        <v>55</v>
      </c>
      <c r="BC7" s="72">
        <f>F10</f>
        <v>133074115</v>
      </c>
      <c r="BD7" s="73">
        <f>I10</f>
        <v>133074115</v>
      </c>
      <c r="BE7" s="74">
        <f>K10</f>
        <v>0</v>
      </c>
      <c r="BF7" s="75"/>
      <c r="BG7" s="109" t="s">
        <v>56</v>
      </c>
      <c r="BH7" s="135">
        <f>+SUM(BH8:BH11)</f>
        <v>3095428778</v>
      </c>
      <c r="BI7" s="135">
        <f>+SUM(BI8:BI11)</f>
        <v>1168545171</v>
      </c>
      <c r="BJ7" s="135">
        <f>+SUM(BJ8:BJ11)</f>
        <v>1168543570</v>
      </c>
      <c r="BK7" s="135">
        <f>+SUM(BK8:BK11)</f>
        <v>255720862</v>
      </c>
      <c r="BM7" s="79" t="s">
        <v>56</v>
      </c>
      <c r="BN7" s="80">
        <f>BN8+BN15+BN22</f>
        <v>3095428778</v>
      </c>
      <c r="BO7" s="81">
        <f>BO8+BO15+BO22</f>
        <v>1168545171</v>
      </c>
      <c r="BP7" s="81">
        <f>BP8+BP15+BP22</f>
        <v>1168543570</v>
      </c>
      <c r="BQ7" s="82">
        <f>BQ8+BQ15+BQ22</f>
        <v>255720862</v>
      </c>
    </row>
    <row r="8" spans="1:69" s="10" customFormat="1" ht="24" thickBot="1" x14ac:dyDescent="0.3">
      <c r="A8" s="405">
        <f>+IF(ABRIL!A8=0,"",ABRIL!A8)</f>
        <v>1</v>
      </c>
      <c r="B8" s="670" t="str">
        <f>+IF(ABRIL!B8=0,"",ABRIL!B8)</f>
        <v>INGRESOS</v>
      </c>
      <c r="C8" s="407">
        <f>C10+C17+C108</f>
        <v>3631501012</v>
      </c>
      <c r="D8" s="407">
        <f t="shared" ref="D8:N8" si="4">D10+D17+D108</f>
        <v>0</v>
      </c>
      <c r="E8" s="407">
        <f t="shared" si="4"/>
        <v>58523183</v>
      </c>
      <c r="F8" s="407">
        <f t="shared" si="4"/>
        <v>3690024195</v>
      </c>
      <c r="G8" s="407">
        <f t="shared" si="4"/>
        <v>1513859865</v>
      </c>
      <c r="H8" s="407">
        <f t="shared" si="4"/>
        <v>326724502</v>
      </c>
      <c r="I8" s="407">
        <f t="shared" si="4"/>
        <v>1840584367</v>
      </c>
      <c r="J8" s="407">
        <f t="shared" si="4"/>
        <v>1262436869</v>
      </c>
      <c r="K8" s="407">
        <f t="shared" si="4"/>
        <v>269930957</v>
      </c>
      <c r="L8" s="407">
        <f t="shared" si="4"/>
        <v>1532367826</v>
      </c>
      <c r="M8" s="407">
        <f t="shared" si="4"/>
        <v>1849439828</v>
      </c>
      <c r="N8" s="408">
        <f t="shared" si="4"/>
        <v>2157656369</v>
      </c>
      <c r="O8" s="409"/>
      <c r="P8" s="410">
        <f>P10+P17+P108</f>
        <v>0</v>
      </c>
      <c r="Q8" s="408">
        <f>Q10+Q17+Q108</f>
        <v>0</v>
      </c>
      <c r="S8" s="206" t="str">
        <f>+IF(ABRIL!S8=0,"",ABRIL!S8)</f>
        <v/>
      </c>
      <c r="T8" s="411" t="str">
        <f>+IF(ABRIL!T8=0,"",ABRIL!T8)</f>
        <v>GASTOS</v>
      </c>
      <c r="U8" s="412">
        <f t="shared" ref="U8:AM8" si="5">U10+U207+U220+U232</f>
        <v>3631501012</v>
      </c>
      <c r="V8" s="413">
        <f t="shared" si="5"/>
        <v>0</v>
      </c>
      <c r="W8" s="413">
        <f t="shared" si="5"/>
        <v>58523183</v>
      </c>
      <c r="X8" s="414">
        <f t="shared" si="5"/>
        <v>3690024195</v>
      </c>
      <c r="Y8" s="415">
        <f t="shared" si="5"/>
        <v>1206649173</v>
      </c>
      <c r="Z8" s="413">
        <f t="shared" si="5"/>
        <v>289412189</v>
      </c>
      <c r="AA8" s="414">
        <f t="shared" si="5"/>
        <v>1496061362</v>
      </c>
      <c r="AB8" s="415">
        <f t="shared" si="5"/>
        <v>1206620571</v>
      </c>
      <c r="AC8" s="413">
        <f t="shared" si="5"/>
        <v>289412180</v>
      </c>
      <c r="AD8" s="414">
        <f t="shared" si="5"/>
        <v>1496032751</v>
      </c>
      <c r="AE8" s="415">
        <f t="shared" si="5"/>
        <v>996481202</v>
      </c>
      <c r="AF8" s="413">
        <f t="shared" si="5"/>
        <v>297771846</v>
      </c>
      <c r="AG8" s="414">
        <f t="shared" si="5"/>
        <v>1294253048</v>
      </c>
      <c r="AH8" s="415">
        <f t="shared" si="5"/>
        <v>2193962833</v>
      </c>
      <c r="AI8" s="413">
        <f t="shared" si="5"/>
        <v>2193991444</v>
      </c>
      <c r="AJ8" s="416">
        <f t="shared" si="5"/>
        <v>2395771147</v>
      </c>
      <c r="AL8" s="417">
        <f t="shared" si="5"/>
        <v>0</v>
      </c>
      <c r="AM8" s="418">
        <f t="shared" si="5"/>
        <v>0</v>
      </c>
      <c r="AO8" s="23"/>
      <c r="AP8" s="13" t="s">
        <v>58</v>
      </c>
      <c r="AQ8" s="14">
        <f>F25</f>
        <v>2553198704</v>
      </c>
      <c r="AR8" s="14">
        <f>I25</f>
        <v>1206891757</v>
      </c>
      <c r="AS8" s="14">
        <f>L25</f>
        <v>1040168737</v>
      </c>
      <c r="AT8" s="15"/>
      <c r="AU8" s="419">
        <f t="shared" si="0"/>
        <v>0.47269793577335295</v>
      </c>
      <c r="AV8" s="419">
        <f t="shared" si="1"/>
        <v>0.40739827079279295</v>
      </c>
      <c r="AW8" s="14">
        <f>I26/AO$2*12+I27</f>
        <v>2636252985.3999996</v>
      </c>
      <c r="AX8" s="14">
        <f>L26/AO$2*12+L27</f>
        <v>2236117737.3999996</v>
      </c>
      <c r="AY8" s="14">
        <f t="shared" si="2"/>
        <v>83054281.399999619</v>
      </c>
      <c r="AZ8" s="420">
        <f t="shared" si="3"/>
        <v>-317080966.60000038</v>
      </c>
      <c r="BB8" s="167" t="s">
        <v>59</v>
      </c>
      <c r="BC8" s="83">
        <f>BC9+BC19</f>
        <v>3390927588</v>
      </c>
      <c r="BD8" s="84">
        <f>BD9+BD19</f>
        <v>1435471843</v>
      </c>
      <c r="BE8" s="85">
        <f>BE9+BE19</f>
        <v>228580312</v>
      </c>
      <c r="BF8" s="75"/>
      <c r="BG8" s="86" t="s">
        <v>60</v>
      </c>
      <c r="BH8" s="87">
        <f>BN9+BN13</f>
        <v>2162482035</v>
      </c>
      <c r="BI8" s="87">
        <f>BO9+BO13</f>
        <v>830245576</v>
      </c>
      <c r="BJ8" s="87">
        <f>BP9+BP13</f>
        <v>830245576</v>
      </c>
      <c r="BK8" s="87">
        <f>BQ9+BQ13</f>
        <v>145877444</v>
      </c>
      <c r="BM8" s="89" t="s">
        <v>61</v>
      </c>
      <c r="BN8" s="90">
        <f>BN9+BN14+BN13</f>
        <v>2338916990</v>
      </c>
      <c r="BO8" s="87">
        <f>BO9+BO14+BO13</f>
        <v>873159699</v>
      </c>
      <c r="BP8" s="87">
        <f>BP9+BP14+BP13</f>
        <v>873158099</v>
      </c>
      <c r="BQ8" s="88">
        <f>BQ9+BQ14+BQ13</f>
        <v>156722309</v>
      </c>
    </row>
    <row r="9" spans="1:69" s="10" customFormat="1" ht="20.25" thickBot="1" x14ac:dyDescent="0.25">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32860005</v>
      </c>
      <c r="AS9" s="14">
        <f>L28+L75</f>
        <v>32860005</v>
      </c>
      <c r="AT9" s="15"/>
      <c r="AU9" s="429">
        <f t="shared" si="0"/>
        <v>29.872731818181819</v>
      </c>
      <c r="AV9" s="429">
        <f t="shared" si="1"/>
        <v>29.872731818181819</v>
      </c>
      <c r="AW9" s="430">
        <f>(I30+I33+I36+I76)/AO$2*12+I31+I34+I37+I38+I39+I40+I77</f>
        <v>78864012</v>
      </c>
      <c r="AX9" s="430">
        <f>(L30+L33+L36+L76)/AO$2*12+L31+L34+L37+L38+L39+L40+L77</f>
        <v>78864012</v>
      </c>
      <c r="AY9" s="430">
        <f t="shared" si="2"/>
        <v>77764012</v>
      </c>
      <c r="AZ9" s="431">
        <f t="shared" si="3"/>
        <v>77764012</v>
      </c>
      <c r="BB9" s="432" t="s">
        <v>456</v>
      </c>
      <c r="BC9" s="91">
        <f>BC10+BC18</f>
        <v>3275748559</v>
      </c>
      <c r="BD9" s="92">
        <f>BD10+BD18</f>
        <v>1360035707</v>
      </c>
      <c r="BE9" s="93">
        <f>BE10+BE18</f>
        <v>225043792</v>
      </c>
      <c r="BF9" s="94"/>
      <c r="BG9" s="95" t="s">
        <v>64</v>
      </c>
      <c r="BH9" s="96">
        <f t="shared" ref="BH9:BK10" si="6">BN14</f>
        <v>176434955</v>
      </c>
      <c r="BI9" s="96">
        <f t="shared" si="6"/>
        <v>42914123</v>
      </c>
      <c r="BJ9" s="96">
        <f t="shared" si="6"/>
        <v>42912523</v>
      </c>
      <c r="BK9" s="96">
        <f t="shared" si="6"/>
        <v>10844865</v>
      </c>
      <c r="BM9" s="164" t="s">
        <v>65</v>
      </c>
      <c r="BN9" s="98">
        <f>SUM(BN10:BN12)</f>
        <v>1595742067</v>
      </c>
      <c r="BO9" s="96">
        <f>SUM(BO10:BO12)</f>
        <v>583106237</v>
      </c>
      <c r="BP9" s="96">
        <f>SUM(BP10:BP12)</f>
        <v>583106237</v>
      </c>
      <c r="BQ9" s="97">
        <f>SUM(BQ10:BQ12)</f>
        <v>113139034</v>
      </c>
    </row>
    <row r="10" spans="1:69" s="10" customFormat="1" ht="19.5" x14ac:dyDescent="0.2">
      <c r="A10" s="433">
        <f>+IF(ABRIL!A10=0,"",ABRIL!A10)</f>
        <v>10</v>
      </c>
      <c r="B10" s="434" t="str">
        <f>+IF(ABRIL!B10=0,"",ABRIL!B10)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+IF(ABRIL!S10=0,"",ABRIL!S10)</f>
        <v>A</v>
      </c>
      <c r="T10" s="439" t="str">
        <f>+IF(ABRIL!T10=0,"",ABRIL!T10)</f>
        <v>GASTOS DE FUNCIONAMIENTO</v>
      </c>
      <c r="U10" s="440">
        <f t="shared" ref="U10:AJ10" si="8">U12+U110+U170+U193</f>
        <v>3509937912</v>
      </c>
      <c r="V10" s="441">
        <f t="shared" si="8"/>
        <v>1563100</v>
      </c>
      <c r="W10" s="441">
        <f t="shared" si="8"/>
        <v>58523183</v>
      </c>
      <c r="X10" s="444">
        <f t="shared" si="8"/>
        <v>3570024195</v>
      </c>
      <c r="Y10" s="443">
        <f t="shared" si="8"/>
        <v>1151194697</v>
      </c>
      <c r="Z10" s="441">
        <f t="shared" si="8"/>
        <v>270460697</v>
      </c>
      <c r="AA10" s="444">
        <f t="shared" si="8"/>
        <v>1421655394</v>
      </c>
      <c r="AB10" s="443">
        <f t="shared" si="8"/>
        <v>1151166095</v>
      </c>
      <c r="AC10" s="441">
        <f t="shared" si="8"/>
        <v>270460688</v>
      </c>
      <c r="AD10" s="444">
        <f t="shared" si="8"/>
        <v>1421626783</v>
      </c>
      <c r="AE10" s="443">
        <f t="shared" si="8"/>
        <v>960152218</v>
      </c>
      <c r="AF10" s="441">
        <f t="shared" si="8"/>
        <v>278820354</v>
      </c>
      <c r="AG10" s="444">
        <f t="shared" si="8"/>
        <v>1238972572</v>
      </c>
      <c r="AH10" s="443">
        <f t="shared" si="8"/>
        <v>2148368801</v>
      </c>
      <c r="AI10" s="441">
        <f t="shared" si="8"/>
        <v>2148397412</v>
      </c>
      <c r="AJ10" s="442">
        <f t="shared" si="8"/>
        <v>2331051623</v>
      </c>
      <c r="AL10" s="445">
        <f>AL12+AL110+AL170+AL193</f>
        <v>0</v>
      </c>
      <c r="AM10" s="446">
        <f>AM12+AM110+AM170+AM193</f>
        <v>0</v>
      </c>
      <c r="AO10" s="428"/>
      <c r="AP10" s="13" t="s">
        <v>67</v>
      </c>
      <c r="AQ10" s="14">
        <f>F42</f>
        <v>125397398</v>
      </c>
      <c r="AR10" s="14">
        <f>I42</f>
        <v>30052581</v>
      </c>
      <c r="AS10" s="14">
        <f>L42</f>
        <v>31868581</v>
      </c>
      <c r="AT10" s="15"/>
      <c r="AU10" s="429">
        <f t="shared" si="0"/>
        <v>0.23965872880392622</v>
      </c>
      <c r="AV10" s="429">
        <f t="shared" si="1"/>
        <v>0.25414068799099004</v>
      </c>
      <c r="AW10" s="430">
        <f>I43/AO$2*12+I44</f>
        <v>72126194.400000006</v>
      </c>
      <c r="AX10" s="430">
        <f>L43/AO$2*12+L44</f>
        <v>76484594.400000006</v>
      </c>
      <c r="AY10" s="430">
        <f t="shared" si="2"/>
        <v>-53271203.599999994</v>
      </c>
      <c r="AZ10" s="431">
        <f t="shared" si="3"/>
        <v>-48912803.599999994</v>
      </c>
      <c r="BB10" s="447" t="s">
        <v>457</v>
      </c>
      <c r="BC10" s="91">
        <f>BC11+BC12+BC13+BC14+BC16+BC17+BC15</f>
        <v>3023223118</v>
      </c>
      <c r="BD10" s="92">
        <f>BD11+BD12+BD13+BD14+BD16+BD17+BD15</f>
        <v>1254816773</v>
      </c>
      <c r="BE10" s="93">
        <f>BE11+BE12+BE13+BE14+BE16+BE17+BE15</f>
        <v>204000005</v>
      </c>
      <c r="BF10" s="94"/>
      <c r="BG10" s="86" t="s">
        <v>68</v>
      </c>
      <c r="BH10" s="99">
        <f t="shared" si="6"/>
        <v>558744299</v>
      </c>
      <c r="BI10" s="99">
        <f t="shared" si="6"/>
        <v>238358881</v>
      </c>
      <c r="BJ10" s="99">
        <f t="shared" si="6"/>
        <v>238358880</v>
      </c>
      <c r="BK10" s="99">
        <f t="shared" si="6"/>
        <v>79032448</v>
      </c>
      <c r="BM10" s="161" t="s">
        <v>470</v>
      </c>
      <c r="BN10" s="101">
        <f>X17+X66</f>
        <v>1269481968</v>
      </c>
      <c r="BO10" s="99">
        <f>AA17+AA66</f>
        <v>522826680</v>
      </c>
      <c r="BP10" s="99">
        <f>AD17+AD66</f>
        <v>522826680</v>
      </c>
      <c r="BQ10" s="100">
        <f>AF17+AF66</f>
        <v>102513668</v>
      </c>
    </row>
    <row r="11" spans="1:69" s="10" customFormat="1" ht="19.5" x14ac:dyDescent="0.2">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13" t="s">
        <v>592</v>
      </c>
      <c r="AQ11" s="14">
        <f>F88</f>
        <v>0</v>
      </c>
      <c r="AR11" s="14">
        <f>I88</f>
        <v>0</v>
      </c>
      <c r="AS11" s="14">
        <f>L88</f>
        <v>0</v>
      </c>
      <c r="AT11" s="454">
        <f>AO2/12</f>
        <v>0.41666666666666669</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1020972306</v>
      </c>
      <c r="BE11" s="93">
        <f>K26</f>
        <v>169122144</v>
      </c>
      <c r="BF11" s="94"/>
      <c r="BG11" s="86" t="s">
        <v>69</v>
      </c>
      <c r="BH11" s="102">
        <f>BN22</f>
        <v>197767489</v>
      </c>
      <c r="BI11" s="102">
        <f>BO22</f>
        <v>57026591</v>
      </c>
      <c r="BJ11" s="102">
        <f>BP22</f>
        <v>57026591</v>
      </c>
      <c r="BK11" s="102">
        <f>BQ22</f>
        <v>19966105</v>
      </c>
      <c r="BM11" s="162" t="s">
        <v>471</v>
      </c>
      <c r="BN11" s="104">
        <f>X18+X67</f>
        <v>136976782</v>
      </c>
      <c r="BO11" s="102">
        <f>AA18+AA67</f>
        <v>41503087</v>
      </c>
      <c r="BP11" s="102">
        <f>AD18+AD67</f>
        <v>41503087</v>
      </c>
      <c r="BQ11" s="103">
        <f>AF18+AF67</f>
        <v>8072857</v>
      </c>
    </row>
    <row r="12" spans="1:69" s="10" customFormat="1" ht="25.5" x14ac:dyDescent="0.2">
      <c r="A12" s="203">
        <f>+IF(ABRIL!A12=0,"",ABRIL!A12)</f>
        <v>1001</v>
      </c>
      <c r="B12" s="251" t="str">
        <f>+IF(ABRIL!B12=0,"",ABRIL!B12)</f>
        <v>Bienestar Social (Caja, Bancos, Inversiones Tempor.) a Dic-31-2013</v>
      </c>
      <c r="C12" s="283">
        <f>+ENERO!C12</f>
        <v>0</v>
      </c>
      <c r="D12" s="456">
        <f>ABRIL!D12+MAYO!P12</f>
        <v>0</v>
      </c>
      <c r="E12" s="456">
        <f>ABRIL!E12+MAYO!Q12</f>
        <v>0</v>
      </c>
      <c r="F12" s="170">
        <f>SUM(C12:E12)</f>
        <v>0</v>
      </c>
      <c r="G12" s="283">
        <f>ABRIL!I12</f>
        <v>0</v>
      </c>
      <c r="H12" s="154">
        <v>0</v>
      </c>
      <c r="I12" s="170">
        <f>SUM(G12:H12)</f>
        <v>0</v>
      </c>
      <c r="J12" s="283">
        <f>ABRIL!L12</f>
        <v>0</v>
      </c>
      <c r="K12" s="154">
        <v>0</v>
      </c>
      <c r="L12" s="170">
        <f>SUM(J12:K12)</f>
        <v>0</v>
      </c>
      <c r="M12" s="283">
        <f>F12-I12</f>
        <v>0</v>
      </c>
      <c r="N12" s="170">
        <f>F12-L12</f>
        <v>0</v>
      </c>
      <c r="O12" s="365"/>
      <c r="P12" s="455">
        <v>0</v>
      </c>
      <c r="Q12" s="458">
        <v>0</v>
      </c>
      <c r="S12" s="459">
        <f>+IF(ABRIL!S12=0,"",ABRIL!S12)</f>
        <v>1000000</v>
      </c>
      <c r="T12" s="460" t="str">
        <f>+IF(ABRIL!T12=0,"",ABRIL!T12)</f>
        <v>GASTOS DE PERSONAL</v>
      </c>
      <c r="U12" s="461">
        <f t="shared" ref="U12:AJ12" si="9">U14+U63</f>
        <v>2360005696</v>
      </c>
      <c r="V12" s="462">
        <f t="shared" si="9"/>
        <v>0</v>
      </c>
      <c r="W12" s="462">
        <f t="shared" si="9"/>
        <v>19989110</v>
      </c>
      <c r="X12" s="463">
        <f t="shared" si="9"/>
        <v>2379994806</v>
      </c>
      <c r="Y12" s="445">
        <f t="shared" si="9"/>
        <v>758805258</v>
      </c>
      <c r="Z12" s="462">
        <f t="shared" si="9"/>
        <v>154967257</v>
      </c>
      <c r="AA12" s="463">
        <f t="shared" si="9"/>
        <v>913772515</v>
      </c>
      <c r="AB12" s="445">
        <f t="shared" si="9"/>
        <v>758803658</v>
      </c>
      <c r="AC12" s="462">
        <f t="shared" si="9"/>
        <v>154967257</v>
      </c>
      <c r="AD12" s="463">
        <f t="shared" si="9"/>
        <v>913770915</v>
      </c>
      <c r="AE12" s="445">
        <f t="shared" si="9"/>
        <v>702803857</v>
      </c>
      <c r="AF12" s="462">
        <f t="shared" si="9"/>
        <v>156722309</v>
      </c>
      <c r="AG12" s="463">
        <f t="shared" si="9"/>
        <v>859526166</v>
      </c>
      <c r="AH12" s="445">
        <f t="shared" si="9"/>
        <v>1466222291</v>
      </c>
      <c r="AI12" s="462">
        <f t="shared" si="9"/>
        <v>1466223891</v>
      </c>
      <c r="AJ12" s="446">
        <f t="shared" si="9"/>
        <v>1520468640</v>
      </c>
      <c r="AK12" s="12"/>
      <c r="AL12" s="464">
        <f>AL14+AL63</f>
        <v>0</v>
      </c>
      <c r="AM12" s="465">
        <f>AM14+AM63</f>
        <v>0</v>
      </c>
      <c r="AO12" s="453"/>
      <c r="AP12" s="16"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119819577</v>
      </c>
      <c r="BE12" s="93">
        <f>K23</f>
        <v>1088335</v>
      </c>
      <c r="BF12" s="94"/>
      <c r="BG12" s="466" t="s">
        <v>412</v>
      </c>
      <c r="BH12" s="102">
        <f>BN25</f>
        <v>328675926</v>
      </c>
      <c r="BI12" s="17">
        <f>BO25</f>
        <v>107656732</v>
      </c>
      <c r="BJ12" s="102">
        <f>BP25</f>
        <v>107629722</v>
      </c>
      <c r="BK12" s="102">
        <f>BQ25</f>
        <v>18755287</v>
      </c>
      <c r="BM12" s="163" t="s">
        <v>472</v>
      </c>
      <c r="BN12" s="104">
        <f>X16+X65-X81-X33-BN10-BN11</f>
        <v>189283317</v>
      </c>
      <c r="BO12" s="102">
        <f>AA16+AA65-AA81-AA33-BO10-BO11</f>
        <v>18776470</v>
      </c>
      <c r="BP12" s="102">
        <f>AD16+AD65-AD81-AD33-BP10-BP11</f>
        <v>18776470</v>
      </c>
      <c r="BQ12" s="103">
        <f>AF16+AF65-AF81-AF33-BQ10-BQ11</f>
        <v>2552509</v>
      </c>
    </row>
    <row r="13" spans="1:69" s="10" customFormat="1" ht="25.5" x14ac:dyDescent="0.25">
      <c r="A13" s="203">
        <f>+IF(ABRIL!A13=0,"",ABRIL!A13)</f>
        <v>1002</v>
      </c>
      <c r="B13" s="251" t="str">
        <f>+IF(ABRIL!B13=0,"",ABRIL!B13)</f>
        <v>Fondo Vivienda (Caja, Bancos, Inversiones Tempor.) a Dic-31-2013</v>
      </c>
      <c r="C13" s="283">
        <f>+ENERO!C13</f>
        <v>0</v>
      </c>
      <c r="D13" s="456">
        <f>ABRIL!D13+MAYO!P13</f>
        <v>0</v>
      </c>
      <c r="E13" s="456">
        <f>ABRIL!E13+MAYO!Q13</f>
        <v>0</v>
      </c>
      <c r="F13" s="170">
        <f>SUM(C13:E13)</f>
        <v>0</v>
      </c>
      <c r="G13" s="283">
        <f>ABRIL!I13</f>
        <v>0</v>
      </c>
      <c r="H13" s="154">
        <v>0</v>
      </c>
      <c r="I13" s="170">
        <f>SUM(G13:H13)</f>
        <v>0</v>
      </c>
      <c r="J13" s="283">
        <f>ABRIL!L13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16"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120000000</v>
      </c>
      <c r="BI13" s="102">
        <f t="shared" si="10"/>
        <v>74405968</v>
      </c>
      <c r="BJ13" s="102">
        <f t="shared" si="10"/>
        <v>74405968</v>
      </c>
      <c r="BK13" s="102">
        <f t="shared" si="10"/>
        <v>18951492</v>
      </c>
      <c r="BM13" s="166" t="s">
        <v>473</v>
      </c>
      <c r="BN13" s="101">
        <f>X43-X55+X57-X61+X90-X102+X104-X108</f>
        <v>566739968</v>
      </c>
      <c r="BO13" s="99">
        <f>AA43-AA55+AA57-AA61+AA90-AA102+AA104-AA108</f>
        <v>247139339</v>
      </c>
      <c r="BP13" s="99">
        <f>AD43-AD55+AD57-AD61+AD90-AD102+AD104-AD108</f>
        <v>247139339</v>
      </c>
      <c r="BQ13" s="100">
        <f>AF43-AF55+AF57-AF61+AF90-AF102+AF104-AF108</f>
        <v>32738410</v>
      </c>
    </row>
    <row r="14" spans="1:69" s="10" customFormat="1" ht="15.75" x14ac:dyDescent="0.25">
      <c r="A14" s="203">
        <f>+IF(ABRIL!A14=0,"",ABRIL!A14)</f>
        <v>1003</v>
      </c>
      <c r="B14" s="251" t="str">
        <f>+IF(ABRIL!B14=0,"",ABRIL!B14)</f>
        <v>Fondos Comunes y Especiales (Caja, Bancos, Invers. Tempor.) a Dic-31-2013</v>
      </c>
      <c r="C14" s="283">
        <f>+ENERO!C14</f>
        <v>80000000</v>
      </c>
      <c r="D14" s="456">
        <f>ABRIL!D14+MAYO!P14</f>
        <v>0</v>
      </c>
      <c r="E14" s="456">
        <f>ABRIL!E14+MAYO!Q14</f>
        <v>33074115</v>
      </c>
      <c r="F14" s="170">
        <f>SUM(C14:E14)</f>
        <v>113074115</v>
      </c>
      <c r="G14" s="283">
        <f>ABRIL!I14</f>
        <v>113074115</v>
      </c>
      <c r="H14" s="154">
        <v>0</v>
      </c>
      <c r="I14" s="170">
        <f>SUM(G14:H14)</f>
        <v>113074115</v>
      </c>
      <c r="J14" s="283">
        <f>ABRIL!L14</f>
        <v>113074115</v>
      </c>
      <c r="K14" s="154">
        <v>0</v>
      </c>
      <c r="L14" s="170">
        <f>SUM(J14:K14)</f>
        <v>113074115</v>
      </c>
      <c r="M14" s="283">
        <f>F14-I14</f>
        <v>0</v>
      </c>
      <c r="N14" s="170">
        <f>F14-L14</f>
        <v>0</v>
      </c>
      <c r="O14" s="467"/>
      <c r="P14" s="455">
        <v>0</v>
      </c>
      <c r="Q14" s="458">
        <v>0</v>
      </c>
      <c r="S14" s="469">
        <f>+IF(ABRIL!S14=0,"",ABRIL!S14)</f>
        <v>1010000</v>
      </c>
      <c r="T14" s="470" t="str">
        <f>+IF(ABRIL!T14=0,"",ABRIL!T14)</f>
        <v>Gastos de Administración</v>
      </c>
      <c r="U14" s="157">
        <f t="shared" ref="U14:AJ14" si="11">U16+U35+U43+U57</f>
        <v>703883287</v>
      </c>
      <c r="V14" s="144">
        <f t="shared" si="11"/>
        <v>-5657703</v>
      </c>
      <c r="W14" s="144">
        <f t="shared" si="11"/>
        <v>1200000</v>
      </c>
      <c r="X14" s="152">
        <f t="shared" si="11"/>
        <v>699425584</v>
      </c>
      <c r="Y14" s="151">
        <f t="shared" si="11"/>
        <v>211365945</v>
      </c>
      <c r="Z14" s="144">
        <f t="shared" si="11"/>
        <v>47306293</v>
      </c>
      <c r="AA14" s="152">
        <f t="shared" si="11"/>
        <v>258672238</v>
      </c>
      <c r="AB14" s="151">
        <f t="shared" si="11"/>
        <v>211365145</v>
      </c>
      <c r="AC14" s="144">
        <f t="shared" si="11"/>
        <v>47306293</v>
      </c>
      <c r="AD14" s="152">
        <f t="shared" si="11"/>
        <v>258671438</v>
      </c>
      <c r="AE14" s="151">
        <f t="shared" si="11"/>
        <v>195737556</v>
      </c>
      <c r="AF14" s="144">
        <f t="shared" si="11"/>
        <v>50038689</v>
      </c>
      <c r="AG14" s="152">
        <f t="shared" si="11"/>
        <v>245776245</v>
      </c>
      <c r="AH14" s="151">
        <f t="shared" si="11"/>
        <v>440753346</v>
      </c>
      <c r="AI14" s="144">
        <f t="shared" si="11"/>
        <v>440754146</v>
      </c>
      <c r="AJ14" s="153">
        <f t="shared" si="11"/>
        <v>453649339</v>
      </c>
      <c r="AK14" s="12"/>
      <c r="AL14" s="151">
        <f>AL16+AL35+AL43+AL57</f>
        <v>0</v>
      </c>
      <c r="AM14" s="153">
        <f>AM16+AM35+AM43+AM57</f>
        <v>0</v>
      </c>
      <c r="AO14" s="23"/>
      <c r="AP14" s="13" t="s">
        <v>75</v>
      </c>
      <c r="AQ14" s="14">
        <f>F19-AQ7-AQ8-AQ9-AQ10-AQ11-AQ12-AQ13</f>
        <v>387837872</v>
      </c>
      <c r="AR14" s="14">
        <f>I19-AR7-AR8-AR9-AR10-AR11-AR12-AR13</f>
        <v>179179281</v>
      </c>
      <c r="AS14" s="14">
        <f>L19-AS7-AS8-AS9-AS10-AS11-AS12-AS13</f>
        <v>151876713</v>
      </c>
      <c r="AT14" s="467"/>
      <c r="AU14" s="429">
        <f t="shared" si="0"/>
        <v>0.46199531798173643</v>
      </c>
      <c r="AV14" s="429">
        <f t="shared" si="1"/>
        <v>0.39159845895606604</v>
      </c>
      <c r="AW14" s="430">
        <f>(I41+I46+I49+I52+I55+I58+I61+I64+I67+I70+I73+I78+I81+I82+I83+I86+I87+I93)/AO$2*12+I47+I50+I53+I56+I59+I62+I65+I68+I71+I74</f>
        <v>356347097</v>
      </c>
      <c r="AX14" s="430">
        <f>(L41+L46+L49+L52+L55+L58+L61+L64+L67+L70+L73+L78+L81+L82+L83+L86+L87+L93)/AO$2*12+L47+L50+L53+L56+L59+L62+L65+L68+L71+L74</f>
        <v>290820933.79999995</v>
      </c>
      <c r="AY14" s="430">
        <f t="shared" si="2"/>
        <v>-31490775</v>
      </c>
      <c r="AZ14" s="431">
        <f t="shared" si="3"/>
        <v>-97016938.200000048</v>
      </c>
      <c r="BB14" s="468" t="s">
        <v>461</v>
      </c>
      <c r="BC14" s="110">
        <f>+F64</f>
        <v>40103182</v>
      </c>
      <c r="BD14" s="111">
        <f>+I64</f>
        <v>14326224</v>
      </c>
      <c r="BE14" s="112">
        <f>K64</f>
        <v>2782778</v>
      </c>
      <c r="BF14" s="113"/>
      <c r="BG14" s="109" t="s">
        <v>76</v>
      </c>
      <c r="BH14" s="99">
        <f t="shared" si="10"/>
        <v>0</v>
      </c>
      <c r="BI14" s="99">
        <f t="shared" si="10"/>
        <v>0</v>
      </c>
      <c r="BJ14" s="99">
        <f t="shared" si="10"/>
        <v>0</v>
      </c>
      <c r="BK14" s="99">
        <f t="shared" si="10"/>
        <v>0</v>
      </c>
      <c r="BM14" s="165" t="s">
        <v>469</v>
      </c>
      <c r="BN14" s="104">
        <f>X35-X41+X83-X88</f>
        <v>176434955</v>
      </c>
      <c r="BO14" s="102">
        <f>AA35-AA41+AA83-AA88</f>
        <v>42914123</v>
      </c>
      <c r="BP14" s="102">
        <f>AD35-AD41+AD83-AD88</f>
        <v>42912523</v>
      </c>
      <c r="BQ14" s="103">
        <f>AF35-AF41+AF83-AF88</f>
        <v>10844865</v>
      </c>
    </row>
    <row r="15" spans="1:69" s="10" customFormat="1" ht="16.5" thickBot="1" x14ac:dyDescent="0.3">
      <c r="A15" s="204">
        <f>+IF(ABRIL!A15=0,"",ABRIL!A15)</f>
        <v>1004</v>
      </c>
      <c r="B15" s="677" t="str">
        <f>+IF(ABRIL!B15=0,"",ABRIL!B15)</f>
        <v>Cesantias Ley 50/1990 a Dic-31-2013</v>
      </c>
      <c r="C15" s="474">
        <f>+ENERO!C15</f>
        <v>20000000</v>
      </c>
      <c r="D15" s="472">
        <f>ABRIL!D15+MAYO!P15</f>
        <v>0</v>
      </c>
      <c r="E15" s="472">
        <f>ABRIL!E15+MAYO!Q15</f>
        <v>0</v>
      </c>
      <c r="F15" s="473">
        <f>SUM(C15:E15)</f>
        <v>20000000</v>
      </c>
      <c r="G15" s="474">
        <f>ABRIL!I15</f>
        <v>20000000</v>
      </c>
      <c r="H15" s="197">
        <v>0</v>
      </c>
      <c r="I15" s="473">
        <f>SUM(G15:H15)</f>
        <v>20000000</v>
      </c>
      <c r="J15" s="474">
        <f>ABRIL!L15</f>
        <v>20000000</v>
      </c>
      <c r="K15" s="197">
        <v>0</v>
      </c>
      <c r="L15" s="473">
        <f>SUM(J15:K15)</f>
        <v>20000000</v>
      </c>
      <c r="M15" s="474">
        <f>F15-I15</f>
        <v>0</v>
      </c>
      <c r="N15" s="473">
        <f>F15-L15</f>
        <v>0</v>
      </c>
      <c r="O15" s="467"/>
      <c r="P15" s="471">
        <v>0</v>
      </c>
      <c r="Q15" s="476">
        <v>0</v>
      </c>
      <c r="S15" s="448" t="str">
        <f>+IF(ABRIL!S15=0,"",ABRIL!S15)</f>
        <v/>
      </c>
      <c r="T15" s="649" t="str">
        <f>+IF(ABRIL!T15=0,"",ABRIL!T15)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1452387</v>
      </c>
      <c r="AR15" s="14">
        <f>I108</f>
        <v>1530877</v>
      </c>
      <c r="AS15" s="14">
        <f>L108</f>
        <v>1530877</v>
      </c>
      <c r="AT15" s="15"/>
      <c r="AU15" s="429">
        <f t="shared" si="0"/>
        <v>1.0540420700543311</v>
      </c>
      <c r="AV15" s="429">
        <f t="shared" si="1"/>
        <v>1.0540420700543311</v>
      </c>
      <c r="AW15" s="14">
        <f>AQ15</f>
        <v>1452387</v>
      </c>
      <c r="AX15" s="14">
        <f>AR15</f>
        <v>1530877</v>
      </c>
      <c r="AY15" s="14">
        <f t="shared" si="2"/>
        <v>0</v>
      </c>
      <c r="AZ15" s="420">
        <f t="shared" si="3"/>
        <v>78490</v>
      </c>
      <c r="BA15" s="467"/>
      <c r="BB15" s="468" t="s">
        <v>79</v>
      </c>
      <c r="BC15" s="110">
        <f>F46+F49</f>
        <v>0</v>
      </c>
      <c r="BD15" s="111">
        <f>I46+I49</f>
        <v>0</v>
      </c>
      <c r="BE15" s="112">
        <f>K46+K49</f>
        <v>0</v>
      </c>
      <c r="BF15" s="113"/>
      <c r="BG15" s="109" t="s">
        <v>80</v>
      </c>
      <c r="BH15" s="99">
        <f t="shared" si="10"/>
        <v>145919491</v>
      </c>
      <c r="BI15" s="99">
        <f t="shared" si="10"/>
        <v>145453491</v>
      </c>
      <c r="BJ15" s="99">
        <f t="shared" si="10"/>
        <v>145453491</v>
      </c>
      <c r="BK15" s="99">
        <f t="shared" si="10"/>
        <v>4344205</v>
      </c>
      <c r="BM15" s="89" t="s">
        <v>68</v>
      </c>
      <c r="BN15" s="101">
        <f>SUM(BN16:BN21)</f>
        <v>558744299</v>
      </c>
      <c r="BO15" s="99">
        <f>SUM(BO16:BO21)</f>
        <v>238358881</v>
      </c>
      <c r="BP15" s="99">
        <f>SUM(BP16:BP21)</f>
        <v>238358880</v>
      </c>
      <c r="BQ15" s="100">
        <f>SUM(BQ16:BQ21)</f>
        <v>79032448</v>
      </c>
    </row>
    <row r="16" spans="1:69" s="10" customFormat="1" ht="15.75" thickBot="1" x14ac:dyDescent="0.3">
      <c r="A16" s="198" t="str">
        <f>+IF(ABRIL!A16=0,"",ABRIL!A16)</f>
        <v/>
      </c>
      <c r="B16" s="477" t="str">
        <f>+IF(ABRIL!B16=0,"",ABRIL!B16)</f>
        <v/>
      </c>
      <c r="C16" s="478"/>
      <c r="D16" s="478"/>
      <c r="E16" s="478"/>
      <c r="F16" s="478"/>
      <c r="G16" s="478"/>
      <c r="H16" s="478"/>
      <c r="I16" s="478"/>
      <c r="J16" s="478"/>
      <c r="K16" s="478"/>
      <c r="L16" s="478"/>
      <c r="M16" s="478"/>
      <c r="N16" s="479"/>
      <c r="O16" s="467"/>
      <c r="P16" s="480"/>
      <c r="Q16" s="481"/>
      <c r="S16" s="34">
        <f>+IF(ABRIL!S16=0,"",ABRIL!S16)</f>
        <v>1010100</v>
      </c>
      <c r="T16" s="158" t="str">
        <f>+IF(ABRIL!T16=0,"",ABRIL!T16)</f>
        <v>Servicios Personales Asociados a Nómina</v>
      </c>
      <c r="U16" s="157">
        <f t="shared" ref="U16:AJ16" si="12">SUM(U17:U20)+U33</f>
        <v>451022301</v>
      </c>
      <c r="V16" s="144">
        <f t="shared" si="12"/>
        <v>-3476851</v>
      </c>
      <c r="W16" s="144">
        <f t="shared" si="12"/>
        <v>0</v>
      </c>
      <c r="X16" s="152">
        <f t="shared" si="12"/>
        <v>447545450</v>
      </c>
      <c r="Y16" s="151">
        <f t="shared" si="12"/>
        <v>127367716</v>
      </c>
      <c r="Z16" s="144">
        <f t="shared" si="12"/>
        <v>31315524</v>
      </c>
      <c r="AA16" s="152">
        <f t="shared" si="12"/>
        <v>158683240</v>
      </c>
      <c r="AB16" s="151">
        <f t="shared" si="12"/>
        <v>127367716</v>
      </c>
      <c r="AC16" s="144">
        <f t="shared" si="12"/>
        <v>31315524</v>
      </c>
      <c r="AD16" s="152">
        <f t="shared" si="12"/>
        <v>158683240</v>
      </c>
      <c r="AE16" s="151">
        <f t="shared" si="12"/>
        <v>122418544</v>
      </c>
      <c r="AF16" s="144">
        <f t="shared" si="12"/>
        <v>31289124</v>
      </c>
      <c r="AG16" s="152">
        <f t="shared" si="12"/>
        <v>153707668</v>
      </c>
      <c r="AH16" s="151">
        <f t="shared" si="12"/>
        <v>288862210</v>
      </c>
      <c r="AI16" s="144">
        <f t="shared" si="12"/>
        <v>288862210</v>
      </c>
      <c r="AJ16" s="153">
        <f t="shared" si="12"/>
        <v>293837782</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30052581</v>
      </c>
      <c r="BE16" s="93">
        <f>K43</f>
        <v>21851054</v>
      </c>
      <c r="BF16" s="94"/>
      <c r="BG16" s="109" t="s">
        <v>84</v>
      </c>
      <c r="BH16" s="114">
        <f>BH7+BH12+BH13+BH14+BH15</f>
        <v>3690024195</v>
      </c>
      <c r="BI16" s="114">
        <f>BI7+BI12+BI13+BI14+BI15</f>
        <v>1496061362</v>
      </c>
      <c r="BJ16" s="114">
        <f>BJ7+BJ12+BJ13+BJ14+BJ15</f>
        <v>1496032751</v>
      </c>
      <c r="BK16" s="114">
        <f>BK7+BK12+BK13+BK14+BK15</f>
        <v>297771846</v>
      </c>
      <c r="BM16" s="164" t="s">
        <v>85</v>
      </c>
      <c r="BN16" s="101">
        <f>X114-X121+X147-X148-X153</f>
        <v>154192049</v>
      </c>
      <c r="BO16" s="99">
        <f>AA114-AA121+AA147-AA148-AA153</f>
        <v>96098888</v>
      </c>
      <c r="BP16" s="99">
        <f>AD114-AD121+AD147-AD148-AD153</f>
        <v>96098887</v>
      </c>
      <c r="BQ16" s="100">
        <f>AF114-AF121+AF147-AF148-AF153</f>
        <v>43721688</v>
      </c>
    </row>
    <row r="17" spans="1:70" s="467" customFormat="1" ht="17.25" thickBot="1" x14ac:dyDescent="0.3">
      <c r="A17" s="433">
        <f>+IF(ABRIL!A17=0,"",ABRIL!A17)</f>
        <v>11</v>
      </c>
      <c r="B17" s="439" t="str">
        <f>+IF(ABRIL!B17=0,"",ABRIL!B17)</f>
        <v>INGRESOS  CORRIENTES</v>
      </c>
      <c r="C17" s="435">
        <f>C19+C99</f>
        <v>3530048625</v>
      </c>
      <c r="D17" s="435">
        <f t="shared" ref="D17:N17" si="13">D19+D99</f>
        <v>0</v>
      </c>
      <c r="E17" s="435">
        <f t="shared" si="13"/>
        <v>25449068</v>
      </c>
      <c r="F17" s="435">
        <f t="shared" si="13"/>
        <v>3555497693</v>
      </c>
      <c r="G17" s="435">
        <f t="shared" si="13"/>
        <v>1379460151</v>
      </c>
      <c r="H17" s="435">
        <f t="shared" si="13"/>
        <v>326519224</v>
      </c>
      <c r="I17" s="435">
        <f t="shared" si="13"/>
        <v>1705979375</v>
      </c>
      <c r="J17" s="435">
        <f t="shared" si="13"/>
        <v>1128037155</v>
      </c>
      <c r="K17" s="435">
        <f t="shared" si="13"/>
        <v>269725679</v>
      </c>
      <c r="L17" s="435">
        <f t="shared" si="13"/>
        <v>1397762834</v>
      </c>
      <c r="M17" s="435">
        <f t="shared" si="13"/>
        <v>1849518318</v>
      </c>
      <c r="N17" s="216">
        <f t="shared" si="13"/>
        <v>2157734859</v>
      </c>
      <c r="P17" s="215">
        <f>P19+P99</f>
        <v>0</v>
      </c>
      <c r="Q17" s="216">
        <f>Q19+Q99</f>
        <v>0</v>
      </c>
      <c r="R17" s="10"/>
      <c r="S17" s="155">
        <f>+IF(ABRIL!S17=0,"",ABRIL!S17)</f>
        <v>1010101</v>
      </c>
      <c r="T17" s="159" t="str">
        <f>+IF(ABRIL!T17=0,"",ABRIL!T17)</f>
        <v>Sueldos del Personal de nómina</v>
      </c>
      <c r="U17" s="29">
        <f>+ENERO!U17</f>
        <v>368370792</v>
      </c>
      <c r="V17" s="17">
        <f>ABRIL!V17+MAYO!AL17</f>
        <v>0</v>
      </c>
      <c r="W17" s="17">
        <f>ABRIL!W17+MAYO!AM17</f>
        <v>0</v>
      </c>
      <c r="X17" s="20">
        <f>SUM(U17:W17)</f>
        <v>368370792</v>
      </c>
      <c r="Y17" s="21">
        <f>ABRIL!AA17</f>
        <v>115822046</v>
      </c>
      <c r="Z17" s="457">
        <v>28948959</v>
      </c>
      <c r="AA17" s="20">
        <f>SUM(Y17:Z17)</f>
        <v>144771005</v>
      </c>
      <c r="AB17" s="21">
        <f>ABRIL!AD17</f>
        <v>115822046</v>
      </c>
      <c r="AC17" s="457">
        <v>28948959</v>
      </c>
      <c r="AD17" s="20">
        <f>SUM(AB17:AC17)</f>
        <v>144771005</v>
      </c>
      <c r="AE17" s="21">
        <f>ABRIL!AG17</f>
        <v>110872874</v>
      </c>
      <c r="AF17" s="457">
        <v>28922559</v>
      </c>
      <c r="AG17" s="20">
        <f>SUM(AE17:AF17)</f>
        <v>139795433</v>
      </c>
      <c r="AH17" s="21">
        <f>X17-AA17</f>
        <v>223599787</v>
      </c>
      <c r="AI17" s="17">
        <f>X17-AD17</f>
        <v>223599787</v>
      </c>
      <c r="AJ17" s="18">
        <f>X17-AG17</f>
        <v>228575359</v>
      </c>
      <c r="AK17" s="10"/>
      <c r="AL17" s="455">
        <v>0</v>
      </c>
      <c r="AM17" s="458">
        <v>0</v>
      </c>
      <c r="AN17" s="10"/>
      <c r="AO17" s="428"/>
      <c r="AP17" s="488" t="s">
        <v>87</v>
      </c>
      <c r="AQ17" s="489">
        <f>SUM(AQ7:AQ16)</f>
        <v>3437498754</v>
      </c>
      <c r="AR17" s="490">
        <f>SUM(AR7:AR16)</f>
        <v>1735365433</v>
      </c>
      <c r="AS17" s="491">
        <f>SUM(AS7:AS16)</f>
        <v>1427148892</v>
      </c>
      <c r="AT17" s="492"/>
      <c r="AU17" s="490">
        <f t="shared" si="0"/>
        <v>0.50483376349756204</v>
      </c>
      <c r="AV17" s="490">
        <f t="shared" si="1"/>
        <v>0.41517073725170578</v>
      </c>
      <c r="AW17" s="493">
        <f>SUM(AX7:AX16)</f>
        <v>2857999807.1999998</v>
      </c>
      <c r="AX17" s="493">
        <f>SUM(AX7:AX16)</f>
        <v>2857999807.1999998</v>
      </c>
      <c r="AY17" s="493">
        <f>SUM(AY7:AY16)</f>
        <v>160142261.59999958</v>
      </c>
      <c r="AZ17" s="494">
        <f>SUM(AZ7:AZ16)</f>
        <v>-579498946.80000043</v>
      </c>
      <c r="BA17" s="10"/>
      <c r="BB17" s="468" t="s">
        <v>463</v>
      </c>
      <c r="BC17" s="91">
        <f>F41+F52+F55+F58+F61+F67+F70+F73+F76+F79+F82+F88+F89+F90+F91</f>
        <v>177489895</v>
      </c>
      <c r="BD17" s="92">
        <f>I41+I52+I55+I58+I61+I67+I70+I73+I76+I79+I82+I88+I89+I90+I91</f>
        <v>69646085</v>
      </c>
      <c r="BE17" s="93">
        <f>K41+K52+K55+K58+K61+K67+K70+K73+K76+K79+K82+K88+K89+K90+K91</f>
        <v>9155694</v>
      </c>
      <c r="BF17" s="94"/>
      <c r="BG17" s="116" t="s">
        <v>88</v>
      </c>
      <c r="BH17" s="117">
        <f>BC23-BH16</f>
        <v>0</v>
      </c>
      <c r="BI17" s="117"/>
      <c r="BJ17" s="117"/>
      <c r="BK17" s="117"/>
      <c r="BM17" s="164" t="s">
        <v>479</v>
      </c>
      <c r="BN17" s="101">
        <f>X123-X126-X139+X155-X156-X167-X168</f>
        <v>191636548</v>
      </c>
      <c r="BO17" s="99">
        <f>AA123-AA126-AA139+AA155-AA156-AA167-AA168</f>
        <v>69251056</v>
      </c>
      <c r="BP17" s="99">
        <f>AD123-AD126-AD139+AD155-AD156-AD167-AD168</f>
        <v>69251056</v>
      </c>
      <c r="BQ17" s="100">
        <f>AF123-AF126-AF139+AF155-AF156-AF167-AF168</f>
        <v>15159073</v>
      </c>
      <c r="BR17" s="10"/>
    </row>
    <row r="18" spans="1:70" s="10" customFormat="1" ht="15" thickBot="1" x14ac:dyDescent="0.25">
      <c r="A18" s="202" t="str">
        <f>+IF(ABRIL!A18=0,"",ABRIL!A18)</f>
        <v/>
      </c>
      <c r="B18" s="201" t="str">
        <f>+IF(ABRIL!B18=0,"",ABRIL!B18)</f>
        <v/>
      </c>
      <c r="C18" s="495"/>
      <c r="D18" s="495"/>
      <c r="E18" s="495"/>
      <c r="F18" s="495"/>
      <c r="G18" s="495"/>
      <c r="H18" s="495"/>
      <c r="I18" s="495"/>
      <c r="J18" s="495"/>
      <c r="K18" s="495"/>
      <c r="L18" s="495"/>
      <c r="M18" s="495"/>
      <c r="N18" s="496"/>
      <c r="P18" s="497"/>
      <c r="Q18" s="496"/>
      <c r="S18" s="155">
        <f>+IF(ABRIL!S18=0,"",ABRIL!S18)</f>
        <v>1010102</v>
      </c>
      <c r="T18" s="159" t="str">
        <f>+IF(ABRIL!T18=0,"",ABRIL!T18)</f>
        <v>Horas Extras,Dominic.,Festivos y Rec. Nocturnos</v>
      </c>
      <c r="U18" s="29">
        <f>+ENERO!U18</f>
        <v>20119405</v>
      </c>
      <c r="V18" s="17">
        <f>ABRIL!V18+MAYO!AL18</f>
        <v>0</v>
      </c>
      <c r="W18" s="17">
        <f>ABRIL!W18+MAYO!AM18</f>
        <v>0</v>
      </c>
      <c r="X18" s="20">
        <f>SUM(U18:W18)</f>
        <v>20119405</v>
      </c>
      <c r="Y18" s="21">
        <f>ABRIL!AA18</f>
        <v>3573772</v>
      </c>
      <c r="Z18" s="457">
        <v>1006114</v>
      </c>
      <c r="AA18" s="20">
        <f>SUM(Y18:Z18)</f>
        <v>4579886</v>
      </c>
      <c r="AB18" s="21">
        <f>ABRIL!AD18</f>
        <v>3573772</v>
      </c>
      <c r="AC18" s="457">
        <v>1006114</v>
      </c>
      <c r="AD18" s="20">
        <f>SUM(AB18:AC18)</f>
        <v>4579886</v>
      </c>
      <c r="AE18" s="21">
        <f>ABRIL!AG18</f>
        <v>3573772</v>
      </c>
      <c r="AF18" s="457">
        <v>1006114</v>
      </c>
      <c r="AG18" s="20">
        <f>SUM(AE18:AF18)</f>
        <v>4579886</v>
      </c>
      <c r="AH18" s="21">
        <f>X18-AA18</f>
        <v>15539519</v>
      </c>
      <c r="AI18" s="17">
        <f>X18-AD18</f>
        <v>15539519</v>
      </c>
      <c r="AJ18" s="18">
        <f>X18-AG18</f>
        <v>15539519</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105218934</v>
      </c>
      <c r="BE18" s="93">
        <f>K100+K101+K102+K105</f>
        <v>21043787</v>
      </c>
      <c r="BF18" s="113"/>
      <c r="BM18" s="164" t="s">
        <v>89</v>
      </c>
      <c r="BN18" s="101">
        <f>X148+X156</f>
        <v>162635242</v>
      </c>
      <c r="BO18" s="99">
        <f>AA148+AA156</f>
        <v>50792095</v>
      </c>
      <c r="BP18" s="99">
        <f>AD148+AD156</f>
        <v>50792095</v>
      </c>
      <c r="BQ18" s="100">
        <f>AF148+AF156</f>
        <v>14169572</v>
      </c>
      <c r="BR18" s="467"/>
    </row>
    <row r="19" spans="1:70" s="10" customFormat="1" ht="15.75" x14ac:dyDescent="0.25">
      <c r="A19" s="498">
        <f>+IF(ABRIL!A19=0,"",ABRIL!A19)</f>
        <v>113</v>
      </c>
      <c r="B19" s="499" t="str">
        <f>+IF(ABRIL!B19=0,"",ABRIL!B19)</f>
        <v>VENTA DE SERVICIOS</v>
      </c>
      <c r="C19" s="53">
        <f t="shared" ref="C19:N19" si="14">C21+C85</f>
        <v>3530048625</v>
      </c>
      <c r="D19" s="53">
        <f t="shared" si="14"/>
        <v>-227076373</v>
      </c>
      <c r="E19" s="53">
        <f t="shared" si="14"/>
        <v>0</v>
      </c>
      <c r="F19" s="54">
        <f t="shared" si="14"/>
        <v>3302972252</v>
      </c>
      <c r="G19" s="52">
        <f t="shared" si="14"/>
        <v>1295285004</v>
      </c>
      <c r="H19" s="53">
        <f t="shared" si="14"/>
        <v>305475437</v>
      </c>
      <c r="I19" s="54">
        <f t="shared" si="14"/>
        <v>1600760441</v>
      </c>
      <c r="J19" s="52">
        <f t="shared" si="14"/>
        <v>1043862008</v>
      </c>
      <c r="K19" s="53">
        <f t="shared" si="14"/>
        <v>248681892</v>
      </c>
      <c r="L19" s="54">
        <f t="shared" si="14"/>
        <v>1292543900</v>
      </c>
      <c r="M19" s="52">
        <f t="shared" si="14"/>
        <v>1702211811</v>
      </c>
      <c r="N19" s="54">
        <f t="shared" si="14"/>
        <v>2010428352</v>
      </c>
      <c r="O19" s="467"/>
      <c r="P19" s="52">
        <f>P21+P85</f>
        <v>0</v>
      </c>
      <c r="Q19" s="54">
        <f>Q21+Q85</f>
        <v>0</v>
      </c>
      <c r="S19" s="155">
        <f>+IF(ABRIL!S19=0,"",ABRIL!S19)</f>
        <v>1010103</v>
      </c>
      <c r="T19" s="159" t="str">
        <f>+IF(ABRIL!T19=0,"",ABRIL!T19)</f>
        <v>Prima Técnica</v>
      </c>
      <c r="U19" s="29">
        <f>+ENERO!U19</f>
        <v>0</v>
      </c>
      <c r="V19" s="17">
        <f>ABRIL!V19+MAYO!AL19</f>
        <v>0</v>
      </c>
      <c r="W19" s="17">
        <f>ABRIL!W19+MAYO!AM19</f>
        <v>0</v>
      </c>
      <c r="X19" s="20">
        <f>SUM(U19:W19)</f>
        <v>0</v>
      </c>
      <c r="Y19" s="21">
        <f>ABRIL!AA19</f>
        <v>0</v>
      </c>
      <c r="Z19" s="457">
        <v>0</v>
      </c>
      <c r="AA19" s="20">
        <f>SUM(Y19:Z19)</f>
        <v>0</v>
      </c>
      <c r="AB19" s="21">
        <f>ABRIL!AD19</f>
        <v>0</v>
      </c>
      <c r="AC19" s="457">
        <v>0</v>
      </c>
      <c r="AD19" s="20">
        <f>SUM(AB19:AC19)</f>
        <v>0</v>
      </c>
      <c r="AE19" s="21">
        <f>ABRIL!AG19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75436136</v>
      </c>
      <c r="BE19" s="112">
        <f>K86+K87+K93+K103+K104</f>
        <v>3536520</v>
      </c>
      <c r="BF19" s="75"/>
      <c r="BG19" s="467"/>
      <c r="BH19" s="467">
        <f>BN33</f>
        <v>0</v>
      </c>
      <c r="BI19" s="467"/>
      <c r="BJ19" s="467"/>
      <c r="BK19" s="467"/>
      <c r="BM19" s="164" t="s">
        <v>96</v>
      </c>
      <c r="BN19" s="101">
        <f>X126+X167</f>
        <v>49280460</v>
      </c>
      <c r="BO19" s="99">
        <f>AA126+AA167</f>
        <v>22216842</v>
      </c>
      <c r="BP19" s="99">
        <f>AD126+AD167</f>
        <v>22216842</v>
      </c>
      <c r="BQ19" s="100">
        <f>AF126+AF167</f>
        <v>5982115</v>
      </c>
    </row>
    <row r="20" spans="1:70" s="514" customFormat="1" ht="15" x14ac:dyDescent="0.25">
      <c r="A20" s="202" t="str">
        <f>+IF(ABRIL!A20=0,"",ABRIL!A20)</f>
        <v/>
      </c>
      <c r="B20" s="201" t="str">
        <f>+IF(ABRIL!B20=0,"",ABRIL!B20)</f>
        <v/>
      </c>
      <c r="C20" s="495"/>
      <c r="D20" s="495"/>
      <c r="E20" s="495"/>
      <c r="F20" s="495"/>
      <c r="G20" s="495"/>
      <c r="H20" s="495"/>
      <c r="I20" s="495"/>
      <c r="J20" s="495"/>
      <c r="K20" s="495"/>
      <c r="L20" s="495"/>
      <c r="M20" s="495"/>
      <c r="N20" s="496"/>
      <c r="O20" s="10"/>
      <c r="P20" s="497"/>
      <c r="Q20" s="496"/>
      <c r="R20" s="10"/>
      <c r="S20" s="155">
        <f>+IF(ABRIL!S20=0,"",ABRIL!S20)</f>
        <v>1010104</v>
      </c>
      <c r="T20" s="159" t="str">
        <f>+IF(ABRIL!T20=0,"",ABRIL!T20)</f>
        <v>Otros</v>
      </c>
      <c r="U20" s="29">
        <f t="shared" ref="U20:AJ20" si="15">SUM(U21:U32)</f>
        <v>58502253</v>
      </c>
      <c r="V20" s="17">
        <f t="shared" si="15"/>
        <v>0</v>
      </c>
      <c r="W20" s="17">
        <f t="shared" si="15"/>
        <v>0</v>
      </c>
      <c r="X20" s="20">
        <f t="shared" si="15"/>
        <v>58502253</v>
      </c>
      <c r="Y20" s="21">
        <f t="shared" si="15"/>
        <v>7418898</v>
      </c>
      <c r="Z20" s="169">
        <f t="shared" si="15"/>
        <v>1360451</v>
      </c>
      <c r="AA20" s="20">
        <f t="shared" si="15"/>
        <v>8779349</v>
      </c>
      <c r="AB20" s="21">
        <f t="shared" si="15"/>
        <v>7418898</v>
      </c>
      <c r="AC20" s="169">
        <f t="shared" si="15"/>
        <v>1360451</v>
      </c>
      <c r="AD20" s="20">
        <f t="shared" si="15"/>
        <v>8779349</v>
      </c>
      <c r="AE20" s="21">
        <f t="shared" si="15"/>
        <v>7418898</v>
      </c>
      <c r="AF20" s="169">
        <f t="shared" si="15"/>
        <v>1360451</v>
      </c>
      <c r="AG20" s="20">
        <f t="shared" si="15"/>
        <v>8779349</v>
      </c>
      <c r="AH20" s="21">
        <f t="shared" si="15"/>
        <v>49722904</v>
      </c>
      <c r="AI20" s="17">
        <f t="shared" si="15"/>
        <v>49722904</v>
      </c>
      <c r="AJ20" s="18">
        <f t="shared" si="15"/>
        <v>49722904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202609</v>
      </c>
      <c r="BE20" s="85">
        <f>+K109+K111+K113+K114+K115</f>
        <v>30878</v>
      </c>
      <c r="BF20" s="75"/>
      <c r="BG20" s="467"/>
      <c r="BH20" s="467">
        <f>BH19-BH16</f>
        <v>-3690024195</v>
      </c>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+IF(ABRIL!A21=0,"",ABRIL!A21)</f>
        <v>11301</v>
      </c>
      <c r="B21" s="516" t="str">
        <f>+IF(ABRIL!B21=0,"",ABRIL!B21)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1223385388</v>
      </c>
      <c r="H21" s="518">
        <f t="shared" si="16"/>
        <v>301938917</v>
      </c>
      <c r="I21" s="519">
        <f t="shared" si="16"/>
        <v>1525324305</v>
      </c>
      <c r="J21" s="517">
        <f t="shared" si="16"/>
        <v>971962392</v>
      </c>
      <c r="K21" s="518">
        <f t="shared" si="16"/>
        <v>245145372</v>
      </c>
      <c r="L21" s="519">
        <f t="shared" si="16"/>
        <v>1217107764</v>
      </c>
      <c r="M21" s="517">
        <f t="shared" si="16"/>
        <v>1662468918</v>
      </c>
      <c r="N21" s="519">
        <f t="shared" si="16"/>
        <v>1970685459</v>
      </c>
      <c r="O21" s="467"/>
      <c r="P21" s="52">
        <f>P22+P25+P28+P41+P42+P45+P48+P51+P54+P57+P60+P63+P66+P69+P72+P75+P78+P81</f>
        <v>0</v>
      </c>
      <c r="Q21" s="54">
        <f>Q22+Q25+Q28+Q41+Q42+Q45+Q48+Q51+Q54+Q57+Q60+Q63+Q66+Q69+Q72+Q75+Q78+Q81</f>
        <v>0</v>
      </c>
      <c r="R21" s="10"/>
      <c r="S21" s="156" t="str">
        <f>+IF(ABRIL!S21=0,"",ABRIL!S21)</f>
        <v>1010104-1</v>
      </c>
      <c r="T21" s="55" t="str">
        <f>+IF(ABRIL!T21=0,"",ABRIL!T21)</f>
        <v xml:space="preserve">Prima de Navidad </v>
      </c>
      <c r="U21" s="29">
        <f>+ENERO!U21</f>
        <v>31976631</v>
      </c>
      <c r="V21" s="17">
        <f>ABRIL!V21+MAYO!AL21</f>
        <v>0</v>
      </c>
      <c r="W21" s="17">
        <f>ABRIL!W21+MAYO!AM21</f>
        <v>0</v>
      </c>
      <c r="X21" s="20">
        <f t="shared" ref="X21:X33" si="17">SUM(U21:W21)</f>
        <v>31976631</v>
      </c>
      <c r="Y21" s="21">
        <f>ABRIL!AA21</f>
        <v>0</v>
      </c>
      <c r="Z21" s="457">
        <v>0</v>
      </c>
      <c r="AA21" s="20">
        <f t="shared" ref="AA21:AA33" si="18">SUM(Y21:Z21)</f>
        <v>0</v>
      </c>
      <c r="AB21" s="21">
        <f>ABRIL!AD21</f>
        <v>0</v>
      </c>
      <c r="AC21" s="457">
        <v>0</v>
      </c>
      <c r="AD21" s="20">
        <f t="shared" ref="AD21:AD33" si="19">SUM(AB21:AC21)</f>
        <v>0</v>
      </c>
      <c r="AE21" s="21">
        <f>ABRIL!AG21</f>
        <v>0</v>
      </c>
      <c r="AF21" s="457">
        <v>0</v>
      </c>
      <c r="AG21" s="20">
        <f t="shared" ref="AG21:AG33" si="20">SUM(AE21:AF21)</f>
        <v>0</v>
      </c>
      <c r="AH21" s="21">
        <f t="shared" ref="AH21:AH33" si="21">X21-AA21</f>
        <v>31976631</v>
      </c>
      <c r="AI21" s="17">
        <f t="shared" ref="AI21:AI33" si="22">X21-AD21</f>
        <v>31976631</v>
      </c>
      <c r="AJ21" s="18">
        <f t="shared" ref="AJ21:AJ33" si="23">X21-AG21</f>
        <v>31976631</v>
      </c>
      <c r="AK21" s="10"/>
      <c r="AL21" s="455">
        <v>0</v>
      </c>
      <c r="AM21" s="458">
        <v>0</v>
      </c>
      <c r="AN21" s="10"/>
      <c r="AO21" s="428"/>
      <c r="AP21" s="520"/>
      <c r="AQ21" s="521"/>
      <c r="AR21" s="522" t="str">
        <f>AR6</f>
        <v>MAYO</v>
      </c>
      <c r="AS21" s="523" t="str">
        <f>AR6</f>
        <v>MAYO</v>
      </c>
      <c r="AT21" s="522" t="str">
        <f>AR6</f>
        <v>MAYO</v>
      </c>
      <c r="AU21" s="522" t="s">
        <v>46</v>
      </c>
      <c r="AV21" s="522" t="s">
        <v>24</v>
      </c>
      <c r="AW21" s="524"/>
      <c r="AX21" s="524"/>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x14ac:dyDescent="0.25">
      <c r="A22" s="57">
        <f>+IF(ABRIL!A22=0,"",ABRIL!A22)</f>
        <v>1130101</v>
      </c>
      <c r="B22" s="45" t="str">
        <f>+IF(ABRIL!B22=0,"",ABRIL!B22)</f>
        <v>EPS - REGIMEN CONTRIBUTIVO</v>
      </c>
      <c r="C22" s="53">
        <f t="shared" ref="C22:N22" si="24">SUM(C23:C24)</f>
        <v>235438278</v>
      </c>
      <c r="D22" s="53">
        <f t="shared" si="24"/>
        <v>0</v>
      </c>
      <c r="E22" s="53">
        <f t="shared" si="24"/>
        <v>0</v>
      </c>
      <c r="F22" s="54">
        <f t="shared" si="24"/>
        <v>235438278</v>
      </c>
      <c r="G22" s="52">
        <f t="shared" si="24"/>
        <v>120306170</v>
      </c>
      <c r="H22" s="53">
        <f t="shared" si="24"/>
        <v>31470647</v>
      </c>
      <c r="I22" s="54">
        <f t="shared" si="24"/>
        <v>151776817</v>
      </c>
      <c r="J22" s="52">
        <f t="shared" si="24"/>
        <v>32043384</v>
      </c>
      <c r="K22" s="53">
        <f t="shared" si="24"/>
        <v>3726480</v>
      </c>
      <c r="L22" s="54">
        <f t="shared" si="24"/>
        <v>35769864</v>
      </c>
      <c r="M22" s="52">
        <f t="shared" si="24"/>
        <v>83661461</v>
      </c>
      <c r="N22" s="54">
        <f t="shared" si="24"/>
        <v>199668414</v>
      </c>
      <c r="P22" s="52">
        <f>SUM(P23:P24)</f>
        <v>0</v>
      </c>
      <c r="Q22" s="54">
        <f>SUM(Q23:Q24)</f>
        <v>0</v>
      </c>
      <c r="S22" s="156" t="str">
        <f>+IF(ABRIL!S22=0,"",ABRIL!S22)</f>
        <v>1010104-2</v>
      </c>
      <c r="T22" s="55" t="str">
        <f>+IF(ABRIL!T22=0,"",ABRIL!T22)</f>
        <v>Prima Vida Cara</v>
      </c>
      <c r="U22" s="29">
        <f>+ENERO!U22</f>
        <v>0</v>
      </c>
      <c r="V22" s="17">
        <f>ABRIL!V22+MAYO!AL22</f>
        <v>0</v>
      </c>
      <c r="W22" s="17">
        <f>ABRIL!W22+MAYO!AM22</f>
        <v>0</v>
      </c>
      <c r="X22" s="20">
        <f t="shared" si="17"/>
        <v>0</v>
      </c>
      <c r="Y22" s="21">
        <f>ABRIL!AA22</f>
        <v>0</v>
      </c>
      <c r="Z22" s="457">
        <v>0</v>
      </c>
      <c r="AA22" s="20">
        <f t="shared" si="18"/>
        <v>0</v>
      </c>
      <c r="AB22" s="21">
        <f>ABRIL!AD22</f>
        <v>0</v>
      </c>
      <c r="AC22" s="457">
        <v>0</v>
      </c>
      <c r="AD22" s="20">
        <f t="shared" si="19"/>
        <v>0</v>
      </c>
      <c r="AE22" s="21">
        <f>ABRIL!AG22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522826680</v>
      </c>
      <c r="AS22" s="527">
        <f>AG17+AG66</f>
        <v>500276372</v>
      </c>
      <c r="AT22" s="528"/>
      <c r="AU22" s="529">
        <f t="shared" ref="AU22:AU32" si="25">IF(AQ22=0," ",AR22/AQ22)</f>
        <v>0.41184254142946597</v>
      </c>
      <c r="AV22" s="529">
        <f t="shared" ref="AV22:AV32" si="26">IF(AQ22=0," ",AS22/AQ22)</f>
        <v>0.39407914772366426</v>
      </c>
      <c r="AW22" s="530">
        <f>AR22/$AO$2*12</f>
        <v>1254784032</v>
      </c>
      <c r="AX22" s="530">
        <f>AS22/$AO$2*12</f>
        <v>1200663292.8000002</v>
      </c>
      <c r="AY22" s="530">
        <f t="shared" ref="AY22:AY31" si="27">AQ22-AW22</f>
        <v>14697936</v>
      </c>
      <c r="AZ22" s="531">
        <f t="shared" ref="AZ22:AZ31" si="28">AQ22-AX22</f>
        <v>68818675.199999809</v>
      </c>
      <c r="BA22" s="467"/>
      <c r="BB22" s="119" t="s">
        <v>467</v>
      </c>
      <c r="BC22" s="83">
        <f>SUMIF($B8:B117,$B24,F8:F117)+F116</f>
        <v>165717175</v>
      </c>
      <c r="BD22" s="84">
        <f>SUMIF($B8:B117,$B24,I8:I117)+I116</f>
        <v>271835800</v>
      </c>
      <c r="BE22" s="85">
        <f>SUMIF($B8:B117,$B24,K8:K117)+K116</f>
        <v>41319767</v>
      </c>
      <c r="BF22" s="75"/>
      <c r="BG22" s="467"/>
      <c r="BH22" s="467"/>
      <c r="BI22" s="467"/>
      <c r="BJ22" s="467"/>
      <c r="BK22" s="467"/>
      <c r="BM22" s="89" t="s">
        <v>69</v>
      </c>
      <c r="BN22" s="101">
        <f>BN23+BN24</f>
        <v>197767489</v>
      </c>
      <c r="BO22" s="99">
        <f>BO23+BO24</f>
        <v>57026591</v>
      </c>
      <c r="BP22" s="99">
        <f>BP23+BP24</f>
        <v>57026591</v>
      </c>
      <c r="BQ22" s="100">
        <f>BQ23+BQ24</f>
        <v>19966105</v>
      </c>
      <c r="BR22" s="467"/>
    </row>
    <row r="23" spans="1:70" s="514" customFormat="1" ht="15.75" thickBot="1" x14ac:dyDescent="0.25">
      <c r="A23" s="188" t="str">
        <f>+IF(ABRIL!A23=0,"",ABRIL!A23)</f>
        <v>1130101-1</v>
      </c>
      <c r="B23" s="189" t="str">
        <f>+CONCATENATE("Vigencia ",INSTRUCCIONES!$F$3)</f>
        <v>Vigencia 2014</v>
      </c>
      <c r="C23" s="456">
        <f>+ENERO!C23</f>
        <v>190033939</v>
      </c>
      <c r="D23" s="456">
        <f>ABRIL!D23+MAYO!P23</f>
        <v>0</v>
      </c>
      <c r="E23" s="456">
        <f>ABRIL!E23+MAYO!Q23</f>
        <v>0</v>
      </c>
      <c r="F23" s="170">
        <f>SUM(C23:E23)</f>
        <v>190033939</v>
      </c>
      <c r="G23" s="283">
        <f>ABRIL!I23</f>
        <v>90987075</v>
      </c>
      <c r="H23" s="457">
        <v>28832502</v>
      </c>
      <c r="I23" s="170">
        <f>SUM(G23:H23)</f>
        <v>119819577</v>
      </c>
      <c r="J23" s="283">
        <f>ABRIL!L23</f>
        <v>2724289</v>
      </c>
      <c r="K23" s="457">
        <v>1088335</v>
      </c>
      <c r="L23" s="170">
        <f>SUM(J23:K23)</f>
        <v>3812624</v>
      </c>
      <c r="M23" s="283">
        <f>F23-I23</f>
        <v>70214362</v>
      </c>
      <c r="N23" s="170">
        <f>F23-L23</f>
        <v>186221315</v>
      </c>
      <c r="O23" s="10"/>
      <c r="P23" s="455">
        <v>0</v>
      </c>
      <c r="Q23" s="458">
        <v>0</v>
      </c>
      <c r="R23" s="10"/>
      <c r="S23" s="156" t="str">
        <f>+IF(ABRIL!S23=0,"",ABRIL!S23)</f>
        <v>1010104-3</v>
      </c>
      <c r="T23" s="55" t="str">
        <f>+IF(ABRIL!T23=0,"",ABRIL!T23)</f>
        <v>Prima de Vacaciones</v>
      </c>
      <c r="U23" s="29">
        <f>+ENERO!U23</f>
        <v>15348783</v>
      </c>
      <c r="V23" s="17">
        <f>ABRIL!V23+MAYO!AL23</f>
        <v>0</v>
      </c>
      <c r="W23" s="17">
        <f>ABRIL!W23+MAYO!AM23</f>
        <v>0</v>
      </c>
      <c r="X23" s="20">
        <f t="shared" si="17"/>
        <v>15348783</v>
      </c>
      <c r="Y23" s="21">
        <f>ABRIL!AA23</f>
        <v>3807223</v>
      </c>
      <c r="Z23" s="457">
        <v>518388</v>
      </c>
      <c r="AA23" s="20">
        <f t="shared" si="18"/>
        <v>4325611</v>
      </c>
      <c r="AB23" s="21">
        <f>ABRIL!AD23</f>
        <v>3807223</v>
      </c>
      <c r="AC23" s="457">
        <v>518388</v>
      </c>
      <c r="AD23" s="20">
        <f t="shared" si="19"/>
        <v>4325611</v>
      </c>
      <c r="AE23" s="21">
        <f>ABRIL!AG23</f>
        <v>3807223</v>
      </c>
      <c r="AF23" s="457">
        <v>518388</v>
      </c>
      <c r="AG23" s="20">
        <f t="shared" si="20"/>
        <v>4325611</v>
      </c>
      <c r="AH23" s="21">
        <f t="shared" si="21"/>
        <v>11023172</v>
      </c>
      <c r="AI23" s="17">
        <f t="shared" si="22"/>
        <v>11023172</v>
      </c>
      <c r="AJ23" s="18">
        <f t="shared" si="23"/>
        <v>11023172</v>
      </c>
      <c r="AK23" s="10"/>
      <c r="AL23" s="455">
        <v>0</v>
      </c>
      <c r="AM23" s="458">
        <v>0</v>
      </c>
      <c r="AN23" s="10"/>
      <c r="AO23" s="453"/>
      <c r="AP23" s="532" t="s">
        <v>110</v>
      </c>
      <c r="AQ23" s="533">
        <f>X16+X65-AQ22</f>
        <v>349958128</v>
      </c>
      <c r="AR23" s="533">
        <f>AD16+AD65-AR22</f>
        <v>83512586</v>
      </c>
      <c r="AS23" s="533">
        <f>AG16+AG65-AS22</f>
        <v>81206856</v>
      </c>
      <c r="AT23" s="401"/>
      <c r="AU23" s="419">
        <f t="shared" si="25"/>
        <v>0.23863593761137047</v>
      </c>
      <c r="AV23" s="419">
        <f t="shared" si="26"/>
        <v>0.23204734939032479</v>
      </c>
      <c r="AW23" s="533">
        <f>(AR23-AD21-AD22-AD23-AD25-AD30-AD33-AD70-AD71-AD72-AD74-AD78-AD81)/$AO$2*12+AX22/12*2.5+AD30+AD33+AD78+AD81</f>
        <v>389424316.60000008</v>
      </c>
      <c r="AX23" s="533">
        <f>(AS23-AG21-AG22-AG23-AG25-AG30-AG33-AG70-AG71-AG72-AG74-AG78-AG81)/$AO$2*12+AX22/12*2.5+AG30+AG33+AG78+AG81</f>
        <v>388709219.80000007</v>
      </c>
      <c r="AY23" s="533">
        <f t="shared" si="27"/>
        <v>-39466188.600000083</v>
      </c>
      <c r="AZ23" s="62">
        <f t="shared" si="28"/>
        <v>-38751091.800000072</v>
      </c>
      <c r="BA23" s="467"/>
      <c r="BB23" s="678" t="s">
        <v>111</v>
      </c>
      <c r="BC23" s="679">
        <f>BC7+BC8+BC20+BC21+BC22</f>
        <v>3690024195</v>
      </c>
      <c r="BD23" s="138">
        <f>BD7+BD8+BD20+BD21+BD22+BD92</f>
        <v>1840584367</v>
      </c>
      <c r="BE23" s="139">
        <f>BE7+BE8+BE20+BE21+BE22+BE92</f>
        <v>269930957</v>
      </c>
      <c r="BF23" s="467"/>
      <c r="BG23" s="467"/>
      <c r="BH23" s="467"/>
      <c r="BI23" s="467"/>
      <c r="BJ23" s="467"/>
      <c r="BK23" s="467"/>
      <c r="BL23" s="467"/>
      <c r="BM23" s="164" t="s">
        <v>107</v>
      </c>
      <c r="BN23" s="101">
        <f>X177</f>
        <v>104106866</v>
      </c>
      <c r="BO23" s="99">
        <f>AA177</f>
        <v>36856351</v>
      </c>
      <c r="BP23" s="99">
        <f>AD177</f>
        <v>36856351</v>
      </c>
      <c r="BQ23" s="100">
        <f>AF177</f>
        <v>7458862</v>
      </c>
      <c r="BR23" s="10"/>
    </row>
    <row r="24" spans="1:70" s="514" customFormat="1" ht="15" x14ac:dyDescent="0.2">
      <c r="A24" s="188" t="str">
        <f>+IF(ABRIL!A24=0,"",ABRIL!A24)</f>
        <v>1130101-2</v>
      </c>
      <c r="B24" s="189" t="str">
        <f>+IF(ABRIL!B24=0,"",ABRIL!B24)</f>
        <v>Vigencias Anteriores</v>
      </c>
      <c r="C24" s="456">
        <f>+ENERO!C24</f>
        <v>45404339</v>
      </c>
      <c r="D24" s="456">
        <f>ABRIL!D24+MAYO!P24</f>
        <v>0</v>
      </c>
      <c r="E24" s="456">
        <f>ABRIL!E24+MAYO!Q24</f>
        <v>0</v>
      </c>
      <c r="F24" s="170">
        <f>SUM(C24:E24)</f>
        <v>45404339</v>
      </c>
      <c r="G24" s="283">
        <f>ABRIL!I24</f>
        <v>29319095</v>
      </c>
      <c r="H24" s="457">
        <v>2638145</v>
      </c>
      <c r="I24" s="170">
        <f>SUM(G24:H24)</f>
        <v>31957240</v>
      </c>
      <c r="J24" s="283">
        <f>ABRIL!L24</f>
        <v>29319095</v>
      </c>
      <c r="K24" s="457">
        <v>2638145</v>
      </c>
      <c r="L24" s="170">
        <f>SUM(J24:K24)</f>
        <v>31957240</v>
      </c>
      <c r="M24" s="283">
        <f>F24-I24</f>
        <v>13447099</v>
      </c>
      <c r="N24" s="170">
        <f>F24-L24</f>
        <v>13447099</v>
      </c>
      <c r="O24" s="467"/>
      <c r="P24" s="455">
        <v>0</v>
      </c>
      <c r="Q24" s="458">
        <v>0</v>
      </c>
      <c r="R24" s="10"/>
      <c r="S24" s="156" t="str">
        <f>+IF(ABRIL!S24=0,"",ABRIL!S24)</f>
        <v>1010104-4</v>
      </c>
      <c r="T24" s="55" t="str">
        <f>+IF(ABRIL!T24=0,"",ABRIL!T24)</f>
        <v>Prima Clima</v>
      </c>
      <c r="U24" s="29">
        <f>+ENERO!U24</f>
        <v>0</v>
      </c>
      <c r="V24" s="17">
        <f>ABRIL!V24+MAYO!AL24</f>
        <v>0</v>
      </c>
      <c r="W24" s="17">
        <f>ABRIL!W24+MAYO!AM24</f>
        <v>0</v>
      </c>
      <c r="X24" s="20">
        <f t="shared" si="17"/>
        <v>0</v>
      </c>
      <c r="Y24" s="21">
        <f>ABRIL!AA24</f>
        <v>0</v>
      </c>
      <c r="Z24" s="457">
        <v>0</v>
      </c>
      <c r="AA24" s="20">
        <f t="shared" si="18"/>
        <v>0</v>
      </c>
      <c r="AB24" s="21">
        <f>ABRIL!AD24</f>
        <v>0</v>
      </c>
      <c r="AC24" s="457">
        <v>0</v>
      </c>
      <c r="AD24" s="20">
        <f t="shared" si="19"/>
        <v>0</v>
      </c>
      <c r="AE24" s="21">
        <f>ABRIL!AG24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54452575</v>
      </c>
      <c r="AS24" s="528">
        <f>AG35+AG83</f>
        <v>44959183</v>
      </c>
      <c r="AT24" s="528"/>
      <c r="AU24" s="456">
        <f t="shared" si="25"/>
        <v>0.28967986685591662</v>
      </c>
      <c r="AV24" s="456">
        <f t="shared" si="26"/>
        <v>0.23917638689062531</v>
      </c>
      <c r="AW24" s="456">
        <f>(AR24-AD41-AD88)/$AO$2*12+AD41+AD88</f>
        <v>114530107.19999999</v>
      </c>
      <c r="AX24" s="456">
        <f>(AS24-AG41-AG88)/$AO$2*12+AG41+AG88</f>
        <v>91812186.400000006</v>
      </c>
      <c r="AY24" s="456">
        <f t="shared" si="27"/>
        <v>73444899.800000012</v>
      </c>
      <c r="AZ24" s="170">
        <f t="shared" si="28"/>
        <v>96162820.599999994</v>
      </c>
      <c r="BA24" s="10"/>
      <c r="BB24" s="534"/>
      <c r="BC24" s="467"/>
      <c r="BD24" s="467"/>
      <c r="BE24" s="467"/>
      <c r="BF24" s="467"/>
      <c r="BG24" s="467"/>
      <c r="BH24" s="467"/>
      <c r="BI24" s="467"/>
      <c r="BJ24" s="467"/>
      <c r="BK24" s="467"/>
      <c r="BL24" s="467"/>
      <c r="BM24" s="164" t="s">
        <v>112</v>
      </c>
      <c r="BN24" s="101">
        <f>X170-X177-X174-X183-X191</f>
        <v>93660623</v>
      </c>
      <c r="BO24" s="99">
        <f>AA170-AA177-AA174-AA183-AA191</f>
        <v>20170240</v>
      </c>
      <c r="BP24" s="99">
        <f>AD170-AD177-AD174-AD183-AD191</f>
        <v>20170240</v>
      </c>
      <c r="BQ24" s="100">
        <f>AF170-AF177-AF174-AF183-AF191</f>
        <v>12507243</v>
      </c>
      <c r="BR24" s="467"/>
    </row>
    <row r="25" spans="1:70" s="467" customFormat="1" ht="15" x14ac:dyDescent="0.25">
      <c r="A25" s="57">
        <f>+IF(ABRIL!A25=0,"",ABRIL!A25)</f>
        <v>1130102</v>
      </c>
      <c r="B25" s="45" t="str">
        <f>+IF(ABRIL!B25=0,"",ABRIL!B25)</f>
        <v>ARS - REGIMEN SUBSIDIADO</v>
      </c>
      <c r="C25" s="53">
        <f t="shared" ref="C25:N25" si="29">SUM(C26:C27)</f>
        <v>2553198704</v>
      </c>
      <c r="D25" s="53">
        <f t="shared" si="29"/>
        <v>0</v>
      </c>
      <c r="E25" s="53">
        <f t="shared" si="29"/>
        <v>0</v>
      </c>
      <c r="F25" s="54">
        <f t="shared" si="29"/>
        <v>2553198704</v>
      </c>
      <c r="G25" s="52">
        <f t="shared" si="29"/>
        <v>980676358</v>
      </c>
      <c r="H25" s="53">
        <f t="shared" si="29"/>
        <v>226215399</v>
      </c>
      <c r="I25" s="54">
        <f t="shared" si="29"/>
        <v>1206891757</v>
      </c>
      <c r="J25" s="52">
        <f t="shared" si="29"/>
        <v>851156260</v>
      </c>
      <c r="K25" s="53">
        <f t="shared" si="29"/>
        <v>189012477</v>
      </c>
      <c r="L25" s="54">
        <f t="shared" si="29"/>
        <v>1040168737</v>
      </c>
      <c r="M25" s="52">
        <f t="shared" si="29"/>
        <v>1346306947</v>
      </c>
      <c r="N25" s="54">
        <f t="shared" si="29"/>
        <v>1513029967</v>
      </c>
      <c r="P25" s="52">
        <f>SUM(P26:P27)</f>
        <v>0</v>
      </c>
      <c r="Q25" s="54">
        <f>SUM(Q26:Q27)</f>
        <v>0</v>
      </c>
      <c r="R25" s="10"/>
      <c r="S25" s="156" t="str">
        <f>+IF(ABRIL!S25=0,"",ABRIL!S25)</f>
        <v>1010104-5</v>
      </c>
      <c r="T25" s="55" t="str">
        <f>+IF(ABRIL!T25=0,"",ABRIL!T25)</f>
        <v>Prima de Servicios</v>
      </c>
      <c r="U25" s="29">
        <f>+ENERO!U25</f>
        <v>0</v>
      </c>
      <c r="V25" s="17">
        <f>ABRIL!V25+MAYO!AL25</f>
        <v>0</v>
      </c>
      <c r="W25" s="17">
        <f>ABRIL!W25+MAYO!AM25</f>
        <v>0</v>
      </c>
      <c r="X25" s="20">
        <f t="shared" si="17"/>
        <v>0</v>
      </c>
      <c r="Y25" s="21">
        <f>ABRIL!AA25</f>
        <v>0</v>
      </c>
      <c r="Z25" s="457">
        <v>0</v>
      </c>
      <c r="AA25" s="20">
        <f t="shared" si="18"/>
        <v>0</v>
      </c>
      <c r="AB25" s="21">
        <f>ABRIL!AD25</f>
        <v>0</v>
      </c>
      <c r="AC25" s="457">
        <v>0</v>
      </c>
      <c r="AD25" s="20">
        <f t="shared" si="19"/>
        <v>0</v>
      </c>
      <c r="AE25" s="21">
        <f>ABRIL!AG25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252979074</v>
      </c>
      <c r="AS25" s="456">
        <f>AG43+AG57+AG90+AG104</f>
        <v>233083755</v>
      </c>
      <c r="AT25" s="528"/>
      <c r="AU25" s="456">
        <f t="shared" si="25"/>
        <v>0.44182333511741684</v>
      </c>
      <c r="AV25" s="456">
        <f t="shared" si="26"/>
        <v>0.40707652363290286</v>
      </c>
      <c r="AW25" s="456">
        <f>(AR25-AD55-AD61-AD102-AD108)/$AO$2*12+AD55+AD61+AD102+AD108</f>
        <v>598974148.5999999</v>
      </c>
      <c r="AX25" s="456">
        <f>(AS25-AG55-AG61-AG102-AG108)/$AO$2*12+AG55+AG61+AG102+AG108</f>
        <v>551907390.20000005</v>
      </c>
      <c r="AY25" s="456">
        <f t="shared" si="27"/>
        <v>-26394445.599999905</v>
      </c>
      <c r="AZ25" s="170">
        <f t="shared" si="28"/>
        <v>20672312.799999952</v>
      </c>
      <c r="BM25" s="167" t="s">
        <v>475</v>
      </c>
      <c r="BN25" s="124">
        <f>+SUM(BN26:BN28)</f>
        <v>328675926</v>
      </c>
      <c r="BO25" s="125">
        <f>+SUM(BO26:BO28)</f>
        <v>107656732</v>
      </c>
      <c r="BP25" s="125">
        <f>+SUM(BP26:BP28)</f>
        <v>107629722</v>
      </c>
      <c r="BQ25" s="126">
        <f>+SUM(BQ26:BQ28)</f>
        <v>18755287</v>
      </c>
    </row>
    <row r="26" spans="1:70" s="10" customFormat="1" ht="15" x14ac:dyDescent="0.2">
      <c r="A26" s="188" t="str">
        <f>+IF(ABRIL!A26=0,"",ABRIL!A26)</f>
        <v>1130102-1</v>
      </c>
      <c r="B26" s="189" t="str">
        <f>+CONCATENATE("Vigencia ",INSTRUCCIONES!$F$3)</f>
        <v>Vigencia 2014</v>
      </c>
      <c r="C26" s="456">
        <f>+ENERO!C26</f>
        <v>2490198704</v>
      </c>
      <c r="D26" s="456">
        <f>ABRIL!D26+MAYO!P26</f>
        <v>0</v>
      </c>
      <c r="E26" s="456">
        <f>ABRIL!E26+MAYO!Q26</f>
        <v>0</v>
      </c>
      <c r="F26" s="170">
        <f>SUM(C26:E26)</f>
        <v>2490198704</v>
      </c>
      <c r="G26" s="283">
        <f>ABRIL!I26</f>
        <v>814647240</v>
      </c>
      <c r="H26" s="457">
        <v>206325066</v>
      </c>
      <c r="I26" s="170">
        <f>SUM(G26:H26)</f>
        <v>1020972306</v>
      </c>
      <c r="J26" s="283">
        <f>ABRIL!L26</f>
        <v>685127142</v>
      </c>
      <c r="K26" s="457">
        <v>169122144</v>
      </c>
      <c r="L26" s="170">
        <f>SUM(J26:K26)</f>
        <v>854249286</v>
      </c>
      <c r="M26" s="283">
        <f>F26-I26</f>
        <v>1469226398</v>
      </c>
      <c r="N26" s="170">
        <f>F26-L26</f>
        <v>1635949418</v>
      </c>
      <c r="P26" s="455">
        <v>0</v>
      </c>
      <c r="Q26" s="458">
        <v>0</v>
      </c>
      <c r="S26" s="156" t="str">
        <f>+IF(ABRIL!S26=0,"",ABRIL!S26)</f>
        <v>1010104-8</v>
      </c>
      <c r="T26" s="55" t="str">
        <f>+IF(ABRIL!T26=0,"",ABRIL!T26)</f>
        <v>Bonific. por Servicios Prestados (Convencional)</v>
      </c>
      <c r="U26" s="29">
        <f>+ENERO!U26</f>
        <v>0</v>
      </c>
      <c r="V26" s="17">
        <f>ABRIL!V26+MAYO!AL26</f>
        <v>0</v>
      </c>
      <c r="W26" s="17">
        <f>ABRIL!W26+MAYO!AM26</f>
        <v>0</v>
      </c>
      <c r="X26" s="20">
        <f t="shared" si="17"/>
        <v>0</v>
      </c>
      <c r="Y26" s="21">
        <f>ABRIL!AA26</f>
        <v>0</v>
      </c>
      <c r="Z26" s="457">
        <v>0</v>
      </c>
      <c r="AA26" s="20">
        <f t="shared" si="18"/>
        <v>0</v>
      </c>
      <c r="AB26" s="21">
        <f>ABRIL!AD26</f>
        <v>0</v>
      </c>
      <c r="AC26" s="457">
        <v>0</v>
      </c>
      <c r="AD26" s="20">
        <f t="shared" si="19"/>
        <v>0</v>
      </c>
      <c r="AE26" s="21">
        <f>ABRIL!AG26</f>
        <v>0</v>
      </c>
      <c r="AF26" s="457">
        <v>0</v>
      </c>
      <c r="AG26" s="20">
        <f t="shared" si="20"/>
        <v>0</v>
      </c>
      <c r="AH26" s="21">
        <f t="shared" si="21"/>
        <v>0</v>
      </c>
      <c r="AI26" s="17">
        <f t="shared" si="22"/>
        <v>0</v>
      </c>
      <c r="AJ26" s="18">
        <f t="shared" si="23"/>
        <v>0</v>
      </c>
      <c r="AL26" s="455">
        <v>0</v>
      </c>
      <c r="AM26" s="458">
        <v>0</v>
      </c>
      <c r="AO26" s="23"/>
      <c r="AP26" s="536" t="s">
        <v>122</v>
      </c>
      <c r="AQ26" s="401">
        <f>X110</f>
        <v>596554629</v>
      </c>
      <c r="AR26" s="401">
        <f>AD110</f>
        <v>276168210</v>
      </c>
      <c r="AS26" s="401">
        <f>AG110</f>
        <v>219042105</v>
      </c>
      <c r="AT26" s="454">
        <f>AO2/12</f>
        <v>0.41666666666666669</v>
      </c>
      <c r="AU26" s="419">
        <f t="shared" si="25"/>
        <v>0.46293867581404685</v>
      </c>
      <c r="AV26" s="419">
        <f t="shared" si="26"/>
        <v>0.3671786192777996</v>
      </c>
      <c r="AW26" s="533">
        <f>(AR26-AD121-AD139-AD143-AD153-AD168)/$AO$2*12+AD121+AD139+AD143+AD153+AD168</f>
        <v>609870642</v>
      </c>
      <c r="AX26" s="533">
        <f>(AS26-AG121-AG139-AG143-AG153-AG168)/$AO$2*12+AG121+AG139+AG143+AG153+AG168</f>
        <v>476736091.20000005</v>
      </c>
      <c r="AY26" s="533">
        <f t="shared" si="27"/>
        <v>-13316013</v>
      </c>
      <c r="AZ26" s="62">
        <f t="shared" si="28"/>
        <v>119818537.79999995</v>
      </c>
      <c r="BA26" s="467"/>
      <c r="BB26" s="467"/>
      <c r="BC26" s="467"/>
      <c r="BD26" s="467"/>
      <c r="BE26" s="467"/>
      <c r="BF26" s="467"/>
      <c r="BG26" s="467"/>
      <c r="BH26" s="467"/>
      <c r="BI26" s="467"/>
      <c r="BJ26" s="467"/>
      <c r="BK26" s="467"/>
      <c r="BM26" s="127" t="s">
        <v>476</v>
      </c>
      <c r="BN26" s="104">
        <f>+X196+X212</f>
        <v>203038050</v>
      </c>
      <c r="BO26" s="102">
        <f>+AA196+AA212</f>
        <v>64500045</v>
      </c>
      <c r="BP26" s="102">
        <f>+AD196+AD212</f>
        <v>64473036</v>
      </c>
      <c r="BQ26" s="103">
        <f>+AF196+AF212</f>
        <v>12983720</v>
      </c>
      <c r="BR26" s="467"/>
    </row>
    <row r="27" spans="1:70" s="514" customFormat="1" ht="15" x14ac:dyDescent="0.2">
      <c r="A27" s="188" t="str">
        <f>+IF(ABRIL!A27=0,"",ABRIL!A27)</f>
        <v>1130102-2</v>
      </c>
      <c r="B27" s="189" t="str">
        <f>+IF(ABRIL!B27=0,"",ABRIL!B27)</f>
        <v>Vigencias Anteriores</v>
      </c>
      <c r="C27" s="456">
        <f>+ENERO!C27</f>
        <v>63000000</v>
      </c>
      <c r="D27" s="456">
        <f>ABRIL!D27+MAYO!P27</f>
        <v>0</v>
      </c>
      <c r="E27" s="456">
        <f>ABRIL!E27+MAYO!Q27</f>
        <v>0</v>
      </c>
      <c r="F27" s="170">
        <f>SUM(C27:E27)</f>
        <v>63000000</v>
      </c>
      <c r="G27" s="283">
        <f>ABRIL!I27</f>
        <v>166029118</v>
      </c>
      <c r="H27" s="457">
        <v>19890333</v>
      </c>
      <c r="I27" s="170">
        <f>SUM(G27:H27)</f>
        <v>185919451</v>
      </c>
      <c r="J27" s="283">
        <f>ABRIL!L27</f>
        <v>166029118</v>
      </c>
      <c r="K27" s="457">
        <v>19890333</v>
      </c>
      <c r="L27" s="170">
        <f>SUM(J27:K27)</f>
        <v>185919451</v>
      </c>
      <c r="M27" s="283">
        <f>F27-I27</f>
        <v>-122919451</v>
      </c>
      <c r="N27" s="170">
        <f>F27-L27</f>
        <v>-122919451</v>
      </c>
      <c r="O27" s="467"/>
      <c r="P27" s="455">
        <v>0</v>
      </c>
      <c r="Q27" s="458">
        <v>0</v>
      </c>
      <c r="R27" s="10"/>
      <c r="S27" s="156" t="str">
        <f>+IF(ABRIL!S27=0,"",ABRIL!S27)</f>
        <v>1010104-9</v>
      </c>
      <c r="T27" s="55" t="str">
        <f>+IF(ABRIL!T27=0,"",ABRIL!T27)</f>
        <v>Auxilio de Transporte</v>
      </c>
      <c r="U27" s="29">
        <f>+ENERO!U27</f>
        <v>0</v>
      </c>
      <c r="V27" s="17">
        <f>ABRIL!V27+MAYO!AL27</f>
        <v>0</v>
      </c>
      <c r="W27" s="17">
        <f>ABRIL!W27+MAYO!AM27</f>
        <v>0</v>
      </c>
      <c r="X27" s="20">
        <f t="shared" si="17"/>
        <v>0</v>
      </c>
      <c r="Y27" s="21">
        <f>ABRIL!AA27</f>
        <v>0</v>
      </c>
      <c r="Z27" s="457">
        <v>0</v>
      </c>
      <c r="AA27" s="20">
        <f t="shared" si="18"/>
        <v>0</v>
      </c>
      <c r="AB27" s="21">
        <f>ABRIL!AD27</f>
        <v>0</v>
      </c>
      <c r="AC27" s="457">
        <v>0</v>
      </c>
      <c r="AD27" s="20">
        <f t="shared" si="19"/>
        <v>0</v>
      </c>
      <c r="AE27" s="21">
        <f>ABRIL!AG27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63840645</v>
      </c>
      <c r="AS27" s="456">
        <f>AG170</f>
        <v>59101186</v>
      </c>
      <c r="AT27" s="528"/>
      <c r="AU27" s="456">
        <f t="shared" si="25"/>
        <v>0.31205476341529009</v>
      </c>
      <c r="AV27" s="456">
        <f t="shared" si="26"/>
        <v>0.28888816231090797</v>
      </c>
      <c r="AW27" s="456">
        <f>(AR27-AD174-AD183-AD191)/$AO$2*12+AD174+AD183+AD191</f>
        <v>143677872.39999998</v>
      </c>
      <c r="AX27" s="456">
        <f>(AS27-AG174-AG183-AG191)/$AO$2*12+AG174+AG183+AG191</f>
        <v>133626268.80000001</v>
      </c>
      <c r="AY27" s="456">
        <f t="shared" si="27"/>
        <v>60903670.600000024</v>
      </c>
      <c r="AZ27" s="170">
        <f t="shared" si="28"/>
        <v>70955274.199999988</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+IF(ABRIL!A28=0,"",ABRIL!A28)</f>
        <v>1130103</v>
      </c>
      <c r="B28" s="60" t="str">
        <f>+IF(ABRIL!B28=0,"",ABRIL!B28)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+IF(ABRIL!S28=0,"",ABRIL!S28)</f>
        <v>1010104-10</v>
      </c>
      <c r="T28" s="55" t="str">
        <f>+IF(ABRIL!T28=0,"",ABRIL!T28)</f>
        <v>Subsidio de Alimentación</v>
      </c>
      <c r="U28" s="29">
        <f>+ENERO!U28</f>
        <v>9130335</v>
      </c>
      <c r="V28" s="17">
        <f>ABRIL!V28+MAYO!AL28</f>
        <v>0</v>
      </c>
      <c r="W28" s="17">
        <f>ABRIL!W28+MAYO!AM28</f>
        <v>0</v>
      </c>
      <c r="X28" s="20">
        <f t="shared" si="17"/>
        <v>9130335</v>
      </c>
      <c r="Y28" s="21">
        <f>ABRIL!AA28</f>
        <v>3105641</v>
      </c>
      <c r="Z28" s="457">
        <v>772945</v>
      </c>
      <c r="AA28" s="20">
        <f t="shared" si="18"/>
        <v>3878586</v>
      </c>
      <c r="AB28" s="21">
        <f>ABRIL!AD28</f>
        <v>3105641</v>
      </c>
      <c r="AC28" s="457">
        <v>772945</v>
      </c>
      <c r="AD28" s="20">
        <f t="shared" si="19"/>
        <v>3878586</v>
      </c>
      <c r="AE28" s="21">
        <f>ABRIL!AG28</f>
        <v>3105641</v>
      </c>
      <c r="AF28" s="457">
        <v>772945</v>
      </c>
      <c r="AG28" s="20">
        <f t="shared" si="20"/>
        <v>3878586</v>
      </c>
      <c r="AH28" s="21">
        <f t="shared" si="21"/>
        <v>5251749</v>
      </c>
      <c r="AI28" s="17">
        <f t="shared" si="22"/>
        <v>5251749</v>
      </c>
      <c r="AJ28" s="18">
        <f t="shared" si="23"/>
        <v>5251749</v>
      </c>
      <c r="AK28" s="10"/>
      <c r="AL28" s="455">
        <v>0</v>
      </c>
      <c r="AM28" s="458">
        <v>0</v>
      </c>
      <c r="AN28" s="10"/>
      <c r="AO28" s="428"/>
      <c r="AP28" s="535" t="s">
        <v>129</v>
      </c>
      <c r="AQ28" s="528">
        <f>X193</f>
        <v>388893217</v>
      </c>
      <c r="AR28" s="528">
        <f>AD193</f>
        <v>167847013</v>
      </c>
      <c r="AS28" s="528">
        <f>AG193</f>
        <v>101303115</v>
      </c>
      <c r="AT28" s="528"/>
      <c r="AU28" s="456">
        <f t="shared" si="25"/>
        <v>0.43160180137572313</v>
      </c>
      <c r="AV28" s="456">
        <f t="shared" si="26"/>
        <v>0.26049082517168204</v>
      </c>
      <c r="AW28" s="456">
        <f>(AR28-AD205)/$AO$2*12+AD205</f>
        <v>318528623.79999995</v>
      </c>
      <c r="AX28" s="456">
        <f>(AS28-AG205)/$AO$2*12+AG205</f>
        <v>161252352.60000002</v>
      </c>
      <c r="AY28" s="456">
        <f t="shared" si="27"/>
        <v>70364593.200000048</v>
      </c>
      <c r="AZ28" s="170">
        <f t="shared" si="28"/>
        <v>227640864.39999998</v>
      </c>
      <c r="BA28" s="467"/>
      <c r="BB28" s="467"/>
      <c r="BC28" s="467"/>
      <c r="BD28" s="467"/>
      <c r="BE28" s="467"/>
      <c r="BF28" s="467"/>
      <c r="BG28" s="467"/>
      <c r="BH28" s="467"/>
      <c r="BI28" s="467"/>
      <c r="BJ28" s="467"/>
      <c r="BK28" s="467"/>
      <c r="BL28" s="467"/>
      <c r="BM28" s="89" t="s">
        <v>478</v>
      </c>
      <c r="BN28" s="101">
        <f>+X194-X196-X205</f>
        <v>125637876</v>
      </c>
      <c r="BO28" s="99">
        <f>+AA194-AA196-AA205</f>
        <v>43156687</v>
      </c>
      <c r="BP28" s="99">
        <f>+AD194-AD196-AD205</f>
        <v>43156686</v>
      </c>
      <c r="BQ28" s="100">
        <f>+AF194-AF196-AF205</f>
        <v>5771567</v>
      </c>
      <c r="BR28" s="10"/>
    </row>
    <row r="29" spans="1:70" s="10" customFormat="1" ht="15" x14ac:dyDescent="0.25">
      <c r="A29" s="61" t="str">
        <f>+IF(ABRIL!A29=0,"",ABRIL!A29)</f>
        <v>1130103-1</v>
      </c>
      <c r="B29" s="62" t="str">
        <f>+IF(ABRIL!B29=0,"",ABRIL!B29)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+IF(ABRIL!S29=0,"",ABRIL!S29)</f>
        <v>1010104-11</v>
      </c>
      <c r="T29" s="55" t="str">
        <f>+IF(ABRIL!T29=0,"",ABRIL!T29)</f>
        <v>Gastos de Representación</v>
      </c>
      <c r="U29" s="29">
        <f>+ENERO!U29</f>
        <v>0</v>
      </c>
      <c r="V29" s="17">
        <f>ABRIL!V29+MAYO!AL29</f>
        <v>0</v>
      </c>
      <c r="W29" s="17">
        <f>ABRIL!W29+MAYO!AM29</f>
        <v>0</v>
      </c>
      <c r="X29" s="20">
        <f t="shared" si="17"/>
        <v>0</v>
      </c>
      <c r="Y29" s="21">
        <f>ABRIL!AA29</f>
        <v>0</v>
      </c>
      <c r="Z29" s="457">
        <v>0</v>
      </c>
      <c r="AA29" s="20">
        <f t="shared" si="18"/>
        <v>0</v>
      </c>
      <c r="AB29" s="21">
        <f>ABRIL!AD29</f>
        <v>0</v>
      </c>
      <c r="AC29" s="457">
        <v>0</v>
      </c>
      <c r="AD29" s="20">
        <f t="shared" si="19"/>
        <v>0</v>
      </c>
      <c r="AE29" s="21">
        <f>ABRIL!AG29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120000000</v>
      </c>
      <c r="BO29" s="125">
        <f>AA232-AA256-AA241</f>
        <v>74405968</v>
      </c>
      <c r="BP29" s="125">
        <f>AD232-AD256-AD241</f>
        <v>74405968</v>
      </c>
      <c r="BQ29" s="126">
        <f>AF232-AF256-AF241</f>
        <v>18951492</v>
      </c>
      <c r="BR29" s="467"/>
    </row>
    <row r="30" spans="1:70" s="514" customFormat="1" ht="15" x14ac:dyDescent="0.25">
      <c r="A30" s="188" t="str">
        <f>+IF(ABRIL!A30=0,"",ABRIL!A30)</f>
        <v>1130103-1-1</v>
      </c>
      <c r="B30" s="189" t="str">
        <f>+CONCATENATE("Vigencia ",INSTRUCCIONES!$F$3)</f>
        <v>Vigencia 2014</v>
      </c>
      <c r="C30" s="456">
        <f>+ENERO!C30</f>
        <v>227076373</v>
      </c>
      <c r="D30" s="456">
        <f>ABRIL!D30+MAYO!P30</f>
        <v>-227076373</v>
      </c>
      <c r="E30" s="456">
        <f>ABRIL!E30+MAYO!Q30</f>
        <v>0</v>
      </c>
      <c r="F30" s="170">
        <f>SUM(C30:E30)</f>
        <v>0</v>
      </c>
      <c r="G30" s="283">
        <f>ABRIL!I30</f>
        <v>0</v>
      </c>
      <c r="H30" s="457">
        <v>0</v>
      </c>
      <c r="I30" s="170">
        <f>SUM(G30:H30)</f>
        <v>0</v>
      </c>
      <c r="J30" s="283">
        <f>ABRIL!L30</f>
        <v>0</v>
      </c>
      <c r="K30" s="457">
        <v>0</v>
      </c>
      <c r="L30" s="170">
        <f>SUM(J30:K30)</f>
        <v>0</v>
      </c>
      <c r="M30" s="283">
        <f>F30-I30</f>
        <v>0</v>
      </c>
      <c r="N30" s="170">
        <f>F30-L30</f>
        <v>0</v>
      </c>
      <c r="O30" s="10"/>
      <c r="P30" s="455">
        <v>0</v>
      </c>
      <c r="Q30" s="458">
        <v>0</v>
      </c>
      <c r="R30" s="10"/>
      <c r="S30" s="156" t="str">
        <f>+IF(ABRIL!S30=0,"",ABRIL!S30)</f>
        <v>1010104-12</v>
      </c>
      <c r="T30" s="55" t="str">
        <f>+IF(ABRIL!T30=0,"",ABRIL!T30)</f>
        <v xml:space="preserve"> Indemnizaciones por Vacaciones o Supresión de Cargos por Reestructuración</v>
      </c>
      <c r="U30" s="29">
        <f>+ENERO!U30</f>
        <v>0</v>
      </c>
      <c r="V30" s="17">
        <f>ABRIL!V30+MAYO!AL30</f>
        <v>0</v>
      </c>
      <c r="W30" s="17">
        <f>ABRIL!W30+MAYO!AM30</f>
        <v>0</v>
      </c>
      <c r="X30" s="20">
        <f t="shared" si="17"/>
        <v>0</v>
      </c>
      <c r="Y30" s="21">
        <f>ABRIL!AA30</f>
        <v>0</v>
      </c>
      <c r="Z30" s="457">
        <v>0</v>
      </c>
      <c r="AA30" s="20">
        <f t="shared" si="18"/>
        <v>0</v>
      </c>
      <c r="AB30" s="21">
        <f>ABRIL!AD30</f>
        <v>0</v>
      </c>
      <c r="AC30" s="457">
        <v>0</v>
      </c>
      <c r="AD30" s="20">
        <f t="shared" si="19"/>
        <v>0</v>
      </c>
      <c r="AE30" s="21">
        <f>ABRIL!AG30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120000000</v>
      </c>
      <c r="AR30" s="456">
        <f>AD220+AD232</f>
        <v>74405968</v>
      </c>
      <c r="AS30" s="456">
        <f>AG220+AG232</f>
        <v>55280476</v>
      </c>
      <c r="AT30" s="528"/>
      <c r="AU30" s="456">
        <f t="shared" si="25"/>
        <v>0.62004973333333335</v>
      </c>
      <c r="AV30" s="456">
        <f t="shared" si="26"/>
        <v>0.46067063333333336</v>
      </c>
      <c r="AW30" s="456">
        <f>(AR30-AD225-AD230-AD241-AD256)/$AO$2*12+AD225+AD230+AD241+AD256</f>
        <v>178574323.19999999</v>
      </c>
      <c r="AX30" s="456">
        <f>(AS30-AG225-AG230-AG241-AG256)/$AO$2*12+AG225+AG230+AG241+AG256</f>
        <v>132673142.39999999</v>
      </c>
      <c r="AY30" s="456">
        <f t="shared" si="27"/>
        <v>-58574323.199999988</v>
      </c>
      <c r="AZ30" s="170">
        <f t="shared" si="28"/>
        <v>-12673142.399999991</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+IF(ABRIL!A31=0,"",ABRIL!A31)</f>
        <v>1130103-1-2</v>
      </c>
      <c r="B31" s="189" t="str">
        <f>+IF(ABRIL!B31=0,"",ABRIL!B31)</f>
        <v>Vigencias Anteriores</v>
      </c>
      <c r="C31" s="456">
        <f>+ENERO!C31</f>
        <v>0</v>
      </c>
      <c r="D31" s="456">
        <f>ABRIL!D31+MAYO!P31</f>
        <v>0</v>
      </c>
      <c r="E31" s="456">
        <f>ABRIL!E31+MAYO!Q31</f>
        <v>0</v>
      </c>
      <c r="F31" s="170">
        <f>SUM(C31:E31)</f>
        <v>0</v>
      </c>
      <c r="G31" s="283">
        <f>ABRIL!I31</f>
        <v>0</v>
      </c>
      <c r="H31" s="457">
        <v>0</v>
      </c>
      <c r="I31" s="170">
        <f>SUM(G31:H31)</f>
        <v>0</v>
      </c>
      <c r="J31" s="283">
        <f>ABRIL!L31</f>
        <v>0</v>
      </c>
      <c r="K31" s="457">
        <v>0</v>
      </c>
      <c r="L31" s="170">
        <f>SUM(J31:K31)</f>
        <v>0</v>
      </c>
      <c r="M31" s="283">
        <f>F31-I31</f>
        <v>0</v>
      </c>
      <c r="N31" s="170">
        <f>F31-L31</f>
        <v>0</v>
      </c>
      <c r="O31" s="467"/>
      <c r="P31" s="455">
        <v>0</v>
      </c>
      <c r="Q31" s="458">
        <v>0</v>
      </c>
      <c r="R31" s="10"/>
      <c r="S31" s="156" t="str">
        <f>+IF(ABRIL!S31=0,"",ABRIL!S31)</f>
        <v>1010104-13</v>
      </c>
      <c r="T31" s="55" t="str">
        <f>+IF(ABRIL!T31=0,"",ABRIL!T31)</f>
        <v>Bonificación Especial por Recreación</v>
      </c>
      <c r="U31" s="29">
        <f>+ENERO!U31</f>
        <v>2046504</v>
      </c>
      <c r="V31" s="17">
        <f>ABRIL!V31+MAYO!AL31</f>
        <v>0</v>
      </c>
      <c r="W31" s="17">
        <f>ABRIL!W31+MAYO!AM31</f>
        <v>0</v>
      </c>
      <c r="X31" s="20">
        <f t="shared" si="17"/>
        <v>2046504</v>
      </c>
      <c r="Y31" s="21">
        <f>ABRIL!AA31</f>
        <v>506034</v>
      </c>
      <c r="Z31" s="457">
        <v>69118</v>
      </c>
      <c r="AA31" s="20">
        <f t="shared" si="18"/>
        <v>575152</v>
      </c>
      <c r="AB31" s="21">
        <f>ABRIL!AD31</f>
        <v>506034</v>
      </c>
      <c r="AC31" s="457">
        <v>69118</v>
      </c>
      <c r="AD31" s="20">
        <f t="shared" si="19"/>
        <v>575152</v>
      </c>
      <c r="AE31" s="21">
        <f>ABRIL!AG31</f>
        <v>506034</v>
      </c>
      <c r="AF31" s="457">
        <v>69118</v>
      </c>
      <c r="AG31" s="20">
        <f t="shared" si="20"/>
        <v>575152</v>
      </c>
      <c r="AH31" s="21">
        <f t="shared" si="21"/>
        <v>1471352</v>
      </c>
      <c r="AI31" s="17">
        <f t="shared" si="22"/>
        <v>1471352</v>
      </c>
      <c r="AJ31" s="18">
        <f t="shared" si="23"/>
        <v>1471352</v>
      </c>
      <c r="AK31" s="10"/>
      <c r="AL31" s="455">
        <v>0</v>
      </c>
      <c r="AM31" s="458">
        <v>0</v>
      </c>
      <c r="AN31" s="10"/>
      <c r="AO31" s="428"/>
      <c r="AP31" s="507" t="s">
        <v>139</v>
      </c>
      <c r="AQ31" s="528">
        <f>X258</f>
        <v>0</v>
      </c>
      <c r="AR31" s="528">
        <f>AD258</f>
        <v>36335075</v>
      </c>
      <c r="AS31" s="528">
        <f>AG258</f>
        <v>-1294253048</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4344205</v>
      </c>
      <c r="BR31" s="10"/>
    </row>
    <row r="32" spans="1:70" s="10" customFormat="1" ht="15.75" thickBot="1" x14ac:dyDescent="0.3">
      <c r="A32" s="61" t="str">
        <f>+IF(ABRIL!A32=0,"",ABRIL!A32)</f>
        <v>1130103-2</v>
      </c>
      <c r="B32" s="62" t="str">
        <f>+IF(ABRIL!B32=0,"",ABRIL!B32)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+IF(ABRIL!S32=0,"",ABRIL!S32)</f>
        <v>1010104-14</v>
      </c>
      <c r="T32" s="55" t="str">
        <f>+IF(ABRIL!T32=0,"",ABRIL!T32)</f>
        <v/>
      </c>
      <c r="U32" s="29">
        <f>+ENERO!U32</f>
        <v>0</v>
      </c>
      <c r="V32" s="17">
        <f>ABRIL!V32+MAYO!AL32</f>
        <v>0</v>
      </c>
      <c r="W32" s="17">
        <f>ABRIL!W32+MAYO!AM32</f>
        <v>0</v>
      </c>
      <c r="X32" s="20">
        <f t="shared" si="17"/>
        <v>0</v>
      </c>
      <c r="Y32" s="21">
        <f>ABRIL!AA32</f>
        <v>0</v>
      </c>
      <c r="Z32" s="457">
        <v>0</v>
      </c>
      <c r="AA32" s="20">
        <f t="shared" si="18"/>
        <v>0</v>
      </c>
      <c r="AB32" s="21">
        <f>ABRIL!AD32</f>
        <v>0</v>
      </c>
      <c r="AC32" s="457">
        <v>0</v>
      </c>
      <c r="AD32" s="20">
        <f t="shared" si="19"/>
        <v>0</v>
      </c>
      <c r="AE32" s="21">
        <f>ABRIL!AG32</f>
        <v>0</v>
      </c>
      <c r="AF32" s="457">
        <v>0</v>
      </c>
      <c r="AG32" s="20">
        <f t="shared" si="20"/>
        <v>0</v>
      </c>
      <c r="AH32" s="21">
        <f t="shared" si="21"/>
        <v>0</v>
      </c>
      <c r="AI32" s="17">
        <f t="shared" si="22"/>
        <v>0</v>
      </c>
      <c r="AJ32" s="18">
        <f t="shared" si="23"/>
        <v>0</v>
      </c>
      <c r="AL32" s="455">
        <v>0</v>
      </c>
      <c r="AM32" s="458">
        <v>0</v>
      </c>
      <c r="AO32" s="23"/>
      <c r="AP32" s="537" t="s">
        <v>144</v>
      </c>
      <c r="AQ32" s="483">
        <f>SUM(AQ22:AQ31)</f>
        <v>3690024195</v>
      </c>
      <c r="AR32" s="483">
        <f>SUM(AR22:AR31)</f>
        <v>1532367826</v>
      </c>
      <c r="AS32" s="483">
        <f>SUM(AS22:AS31)</f>
        <v>0</v>
      </c>
      <c r="AT32" s="538"/>
      <c r="AU32" s="539">
        <f t="shared" si="25"/>
        <v>0.41527311069568745</v>
      </c>
      <c r="AV32" s="539">
        <f t="shared" si="26"/>
        <v>0</v>
      </c>
      <c r="AW32" s="430">
        <f>SUM(AW22:AW31)</f>
        <v>3608364065.8000002</v>
      </c>
      <c r="AX32" s="430">
        <f>SUM(AX22:AX31)</f>
        <v>3137379944.2000008</v>
      </c>
      <c r="AY32" s="430">
        <f>SUM(AY22:AY31)</f>
        <v>81660129.200000107</v>
      </c>
      <c r="AZ32" s="431">
        <f>SUM(AZ22:AZ31)</f>
        <v>552644250.79999959</v>
      </c>
      <c r="BA32" s="467"/>
      <c r="BB32" s="514"/>
      <c r="BC32" s="514"/>
      <c r="BD32" s="514"/>
      <c r="BE32" s="514"/>
      <c r="BF32" s="514"/>
      <c r="BG32" s="467"/>
      <c r="BH32" s="467"/>
      <c r="BI32" s="467"/>
      <c r="BJ32" s="467"/>
      <c r="BK32" s="467"/>
      <c r="BM32" s="128" t="s">
        <v>140</v>
      </c>
      <c r="BN32" s="124">
        <f>+BN7+BN25+BN29+BN30+BN31</f>
        <v>3690024195</v>
      </c>
      <c r="BO32" s="125">
        <f t="shared" ref="BO32:BQ32" si="33">+BO7+BO25+BO29+BO30+BO31</f>
        <v>1496061362</v>
      </c>
      <c r="BP32" s="125">
        <f t="shared" si="33"/>
        <v>1496032751</v>
      </c>
      <c r="BQ32" s="126">
        <f t="shared" si="33"/>
        <v>297771846</v>
      </c>
      <c r="BR32" s="467"/>
    </row>
    <row r="33" spans="1:70" s="514" customFormat="1" ht="15.75" thickBot="1" x14ac:dyDescent="0.3">
      <c r="A33" s="188" t="str">
        <f>+IF(ABRIL!A33=0,"",ABRIL!A33)</f>
        <v>1130103-2-1</v>
      </c>
      <c r="B33" s="189" t="str">
        <f>+CONCATENATE("Vigencia ",INSTRUCCIONES!$F$3)</f>
        <v>Vigencia 2014</v>
      </c>
      <c r="C33" s="456">
        <f>+ENERO!C33</f>
        <v>0</v>
      </c>
      <c r="D33" s="456">
        <f>ABRIL!D33+MAYO!P33</f>
        <v>0</v>
      </c>
      <c r="E33" s="456">
        <f>ABRIL!E33+MAYO!Q33</f>
        <v>0</v>
      </c>
      <c r="F33" s="170">
        <f>SUM(C33:E33)</f>
        <v>0</v>
      </c>
      <c r="G33" s="283">
        <f>ABRIL!I33</f>
        <v>0</v>
      </c>
      <c r="H33" s="457">
        <v>0</v>
      </c>
      <c r="I33" s="170">
        <f>SUM(G33:H33)</f>
        <v>0</v>
      </c>
      <c r="J33" s="283">
        <f>ABRIL!L33</f>
        <v>0</v>
      </c>
      <c r="K33" s="457">
        <v>0</v>
      </c>
      <c r="L33" s="170">
        <f>SUM(J33:K33)</f>
        <v>0</v>
      </c>
      <c r="M33" s="283">
        <f>F33-I33</f>
        <v>0</v>
      </c>
      <c r="N33" s="170">
        <f>F33-L33</f>
        <v>0</v>
      </c>
      <c r="O33" s="10"/>
      <c r="P33" s="455">
        <v>0</v>
      </c>
      <c r="Q33" s="458">
        <v>0</v>
      </c>
      <c r="R33" s="10"/>
      <c r="S33" s="155">
        <f>+IF(ABRIL!S33=0,"",ABRIL!S33)</f>
        <v>1010199</v>
      </c>
      <c r="T33" s="159" t="str">
        <f>+IF(ABRIL!T33=0,"",ABRIL!T33)</f>
        <v>Vigencias Anteriores</v>
      </c>
      <c r="U33" s="29">
        <f>+ENERO!U33</f>
        <v>4029851</v>
      </c>
      <c r="V33" s="17">
        <f>ABRIL!V33+MAYO!AL33</f>
        <v>-3476851</v>
      </c>
      <c r="W33" s="17">
        <f>ABRIL!W33+MAYO!AM33</f>
        <v>0</v>
      </c>
      <c r="X33" s="20">
        <f t="shared" si="17"/>
        <v>553000</v>
      </c>
      <c r="Y33" s="21">
        <f>ABRIL!AA33</f>
        <v>553000</v>
      </c>
      <c r="Z33" s="457">
        <v>0</v>
      </c>
      <c r="AA33" s="20">
        <f t="shared" si="18"/>
        <v>553000</v>
      </c>
      <c r="AB33" s="21">
        <f>ABRIL!AD33</f>
        <v>553000</v>
      </c>
      <c r="AC33" s="457">
        <v>0</v>
      </c>
      <c r="AD33" s="20">
        <f t="shared" si="19"/>
        <v>553000</v>
      </c>
      <c r="AE33" s="21">
        <f>ABRIL!AG33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344523005</v>
      </c>
      <c r="BP33" s="131">
        <f>AD258</f>
        <v>36335075</v>
      </c>
      <c r="BQ33" s="132">
        <f>AF258</f>
        <v>1859884523</v>
      </c>
      <c r="BR33" s="467"/>
    </row>
    <row r="34" spans="1:70" s="514" customFormat="1" ht="16.5" thickBot="1" x14ac:dyDescent="0.25">
      <c r="A34" s="188" t="str">
        <f>+IF(ABRIL!A34=0,"",ABRIL!A34)</f>
        <v>1130103-2-2</v>
      </c>
      <c r="B34" s="189" t="str">
        <f>+IF(ABRIL!B34=0,"",ABRIL!B34)</f>
        <v>Vigencias Anteriores</v>
      </c>
      <c r="C34" s="456">
        <f>+ENERO!C34</f>
        <v>0</v>
      </c>
      <c r="D34" s="456">
        <f>ABRIL!D34+MAYO!P34</f>
        <v>0</v>
      </c>
      <c r="E34" s="456">
        <f>ABRIL!E34+MAYO!Q34</f>
        <v>0</v>
      </c>
      <c r="F34" s="170">
        <f>SUM(C34:E34)</f>
        <v>0</v>
      </c>
      <c r="G34" s="283">
        <f>ABRIL!I34</f>
        <v>0</v>
      </c>
      <c r="H34" s="457">
        <v>0</v>
      </c>
      <c r="I34" s="170">
        <f>SUM(G34:H34)</f>
        <v>0</v>
      </c>
      <c r="J34" s="283">
        <f>ABRIL!L34</f>
        <v>0</v>
      </c>
      <c r="K34" s="457">
        <v>0</v>
      </c>
      <c r="L34" s="170">
        <f>SUM(J34:K34)</f>
        <v>0</v>
      </c>
      <c r="M34" s="283">
        <f>F34-I34</f>
        <v>0</v>
      </c>
      <c r="N34" s="170">
        <f>F34-L34</f>
        <v>0</v>
      </c>
      <c r="O34" s="467"/>
      <c r="P34" s="455">
        <v>0</v>
      </c>
      <c r="Q34" s="458">
        <v>0</v>
      </c>
      <c r="R34" s="10"/>
      <c r="S34" s="448" t="str">
        <f>+IF(ABRIL!S34=0,"",ABRIL!S34)</f>
        <v/>
      </c>
      <c r="T34" s="649" t="str">
        <f>+IF(ABRIL!T34=0,"",ABRIL!T34)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+IF(ABRIL!A35=0,"",ABRIL!A35)</f>
        <v>1130103-3</v>
      </c>
      <c r="B35" s="62" t="str">
        <f>+IF(ABRIL!B35=0,"",ABRIL!B35)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+IF(ABRIL!S35=0,"",ABRIL!S35)</f>
        <v>1010200</v>
      </c>
      <c r="T35" s="158" t="str">
        <f>+IF(ABRIL!T35=0,"",ABRIL!T35)</f>
        <v>Servicios Personales Indirectos</v>
      </c>
      <c r="U35" s="157">
        <f t="shared" ref="U35:AJ35" si="35">SUM(U36:U41)</f>
        <v>113755696</v>
      </c>
      <c r="V35" s="144">
        <f t="shared" si="35"/>
        <v>-2668000</v>
      </c>
      <c r="W35" s="144">
        <f t="shared" si="35"/>
        <v>1200000</v>
      </c>
      <c r="X35" s="152">
        <f t="shared" si="35"/>
        <v>112287696</v>
      </c>
      <c r="Y35" s="151">
        <f t="shared" si="35"/>
        <v>21280298</v>
      </c>
      <c r="Z35" s="144">
        <f t="shared" si="35"/>
        <v>8999269</v>
      </c>
      <c r="AA35" s="152">
        <f t="shared" si="35"/>
        <v>30279567</v>
      </c>
      <c r="AB35" s="151">
        <f t="shared" si="35"/>
        <v>21279498</v>
      </c>
      <c r="AC35" s="144">
        <f t="shared" si="35"/>
        <v>8999269</v>
      </c>
      <c r="AD35" s="152">
        <f t="shared" si="35"/>
        <v>30278767</v>
      </c>
      <c r="AE35" s="151">
        <f t="shared" si="35"/>
        <v>17303429</v>
      </c>
      <c r="AF35" s="144">
        <f t="shared" si="35"/>
        <v>10423465</v>
      </c>
      <c r="AG35" s="152">
        <f t="shared" si="35"/>
        <v>27726894</v>
      </c>
      <c r="AH35" s="151">
        <f t="shared" si="35"/>
        <v>82008129</v>
      </c>
      <c r="AI35" s="144">
        <f t="shared" si="35"/>
        <v>82008929</v>
      </c>
      <c r="AJ35" s="153">
        <f t="shared" si="35"/>
        <v>84560802</v>
      </c>
      <c r="AK35" s="10"/>
      <c r="AL35" s="151">
        <f>SUM(AL36:AL41)</f>
        <v>0</v>
      </c>
      <c r="AM35" s="153">
        <f>SUM(AM36:AM41)</f>
        <v>0</v>
      </c>
      <c r="AN35" s="10"/>
      <c r="AO35" s="428"/>
      <c r="AP35" s="547"/>
      <c r="AQ35" s="363"/>
      <c r="AR35" s="548"/>
      <c r="AS35" s="548"/>
      <c r="AT35" s="548"/>
      <c r="AU35" s="549">
        <f>AR17-AR32</f>
        <v>202997607</v>
      </c>
      <c r="AV35" s="550">
        <f>AS17-AR32</f>
        <v>-105218934</v>
      </c>
      <c r="AW35" s="550" t="s">
        <v>158</v>
      </c>
      <c r="AX35" s="551"/>
      <c r="AY35" s="550">
        <f>AY17+AY32</f>
        <v>241802390.79999968</v>
      </c>
      <c r="AZ35" s="552">
        <f>AZ17+AY32</f>
        <v>-497838817.60000032</v>
      </c>
      <c r="BB35" s="514"/>
      <c r="BC35" s="514"/>
      <c r="BD35" s="514"/>
      <c r="BE35" s="514"/>
      <c r="BF35" s="514"/>
    </row>
    <row r="36" spans="1:70" s="467" customFormat="1" ht="15.75" thickBot="1" x14ac:dyDescent="0.25">
      <c r="A36" s="188" t="str">
        <f>+IF(ABRIL!A36=0,"",ABRIL!A36)</f>
        <v>1130103-3-1</v>
      </c>
      <c r="B36" s="189" t="str">
        <f>+CONCATENATE("Vigencia ",INSTRUCCIONES!$F$3)</f>
        <v>Vigencia 2014</v>
      </c>
      <c r="C36" s="456">
        <f>+ENERO!C36</f>
        <v>0</v>
      </c>
      <c r="D36" s="456">
        <f>ABRIL!D36+MAYO!P36</f>
        <v>0</v>
      </c>
      <c r="E36" s="456">
        <f>ABRIL!E36+MAYO!Q36</f>
        <v>0</v>
      </c>
      <c r="F36" s="170">
        <f>SUM(C36:E36)</f>
        <v>0</v>
      </c>
      <c r="G36" s="283">
        <f>ABRIL!I36</f>
        <v>0</v>
      </c>
      <c r="H36" s="457">
        <v>0</v>
      </c>
      <c r="I36" s="170">
        <f>SUM(G36:H36)</f>
        <v>0</v>
      </c>
      <c r="J36" s="283">
        <f>ABRIL!L36</f>
        <v>0</v>
      </c>
      <c r="K36" s="457">
        <v>0</v>
      </c>
      <c r="L36" s="170">
        <f>SUM(J36:K36)</f>
        <v>0</v>
      </c>
      <c r="M36" s="283">
        <f>F36-I36</f>
        <v>0</v>
      </c>
      <c r="N36" s="170">
        <f>F36-L36</f>
        <v>0</v>
      </c>
      <c r="O36" s="10"/>
      <c r="P36" s="455">
        <v>0</v>
      </c>
      <c r="Q36" s="458">
        <v>0</v>
      </c>
      <c r="R36" s="10"/>
      <c r="S36" s="155" t="str">
        <f>+IF(ABRIL!S36=0,"",ABRIL!S36)</f>
        <v>1010200-1</v>
      </c>
      <c r="T36" s="159" t="str">
        <f>+IF(ABRIL!T36=0,"",ABRIL!T36)</f>
        <v>Remuneración y Honorarios por Servicios Técnicos y Profesionales</v>
      </c>
      <c r="U36" s="29">
        <f>+ENERO!U36</f>
        <v>16339906</v>
      </c>
      <c r="V36" s="17">
        <f>ABRIL!V36+MAYO!AL36</f>
        <v>0</v>
      </c>
      <c r="W36" s="17">
        <f>ABRIL!W36+MAYO!AM36</f>
        <v>0</v>
      </c>
      <c r="X36" s="20">
        <f t="shared" ref="X36:X41" si="36">SUM(U36:W36)</f>
        <v>16339906</v>
      </c>
      <c r="Y36" s="21">
        <f>ABRIL!AA36</f>
        <v>3605619</v>
      </c>
      <c r="Z36" s="457">
        <v>1201873</v>
      </c>
      <c r="AA36" s="20">
        <f t="shared" ref="AA36:AA41" si="37">SUM(Y36:Z36)</f>
        <v>4807492</v>
      </c>
      <c r="AB36" s="21">
        <f>ABRIL!AD36</f>
        <v>3605619</v>
      </c>
      <c r="AC36" s="457">
        <v>1201873</v>
      </c>
      <c r="AD36" s="20">
        <f t="shared" ref="AD36:AD41" si="38">SUM(AB36:AC36)</f>
        <v>4807492</v>
      </c>
      <c r="AE36" s="21">
        <f>ABRIL!AG36</f>
        <v>2403746</v>
      </c>
      <c r="AF36" s="457">
        <v>1201873</v>
      </c>
      <c r="AG36" s="20">
        <f t="shared" ref="AG36:AG41" si="39">SUM(AE36:AF36)</f>
        <v>3605619</v>
      </c>
      <c r="AH36" s="21">
        <f t="shared" ref="AH36:AH41" si="40">X36-AA36</f>
        <v>11532414</v>
      </c>
      <c r="AI36" s="17">
        <f t="shared" ref="AI36:AI41" si="41">X36-AD36</f>
        <v>11532414</v>
      </c>
      <c r="AJ36" s="18">
        <f t="shared" ref="AJ36:AJ41" si="42">X36-AG36</f>
        <v>12734287</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+IF(ABRIL!A37=0,"",ABRIL!A37)</f>
        <v>1130103-3-2</v>
      </c>
      <c r="B37" s="189" t="str">
        <f>+IF(ABRIL!B37=0,"",ABRIL!B37)</f>
        <v>Vigencias Anteriores</v>
      </c>
      <c r="C37" s="456">
        <f>+ENERO!C37</f>
        <v>0</v>
      </c>
      <c r="D37" s="456">
        <f>ABRIL!D37+MAYO!P37</f>
        <v>0</v>
      </c>
      <c r="E37" s="456">
        <f>ABRIL!E37+MAYO!Q37</f>
        <v>0</v>
      </c>
      <c r="F37" s="170">
        <f>SUM(C37:E37)</f>
        <v>0</v>
      </c>
      <c r="G37" s="283">
        <f>ABRIL!I37</f>
        <v>0</v>
      </c>
      <c r="H37" s="457">
        <v>0</v>
      </c>
      <c r="I37" s="170">
        <f>SUM(G37:H37)</f>
        <v>0</v>
      </c>
      <c r="J37" s="283">
        <f>ABRIL!L37</f>
        <v>0</v>
      </c>
      <c r="K37" s="457">
        <v>0</v>
      </c>
      <c r="L37" s="170">
        <f>SUM(J37:K37)</f>
        <v>0</v>
      </c>
      <c r="M37" s="283">
        <f>F37-I37</f>
        <v>0</v>
      </c>
      <c r="N37" s="170">
        <f>F37-L37</f>
        <v>0</v>
      </c>
      <c r="P37" s="455">
        <v>0</v>
      </c>
      <c r="Q37" s="458">
        <v>0</v>
      </c>
      <c r="R37" s="10"/>
      <c r="S37" s="155" t="str">
        <f>+IF(ABRIL!S37=0,"",ABRIL!S37)</f>
        <v>1010200-2</v>
      </c>
      <c r="T37" s="159" t="str">
        <f>+IF(ABRIL!T37=0,"",ABRIL!T37)</f>
        <v>Personal Supernumerario</v>
      </c>
      <c r="U37" s="29">
        <f>+ENERO!U37</f>
        <v>10000000</v>
      </c>
      <c r="V37" s="17">
        <f>ABRIL!V37+MAYO!AL37</f>
        <v>0</v>
      </c>
      <c r="W37" s="17">
        <f>ABRIL!W37+MAYO!AM37</f>
        <v>0</v>
      </c>
      <c r="X37" s="20">
        <f t="shared" si="36"/>
        <v>10000000</v>
      </c>
      <c r="Y37" s="21">
        <f>ABRIL!AA37</f>
        <v>0</v>
      </c>
      <c r="Z37" s="457">
        <v>0</v>
      </c>
      <c r="AA37" s="20">
        <f t="shared" si="37"/>
        <v>0</v>
      </c>
      <c r="AB37" s="21">
        <f>ABRIL!AD37</f>
        <v>0</v>
      </c>
      <c r="AC37" s="457">
        <v>0</v>
      </c>
      <c r="AD37" s="20">
        <f t="shared" si="38"/>
        <v>0</v>
      </c>
      <c r="AE37" s="21">
        <f>ABRIL!AG37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+IF(ABRIL!S38=0,"",ABRIL!S38)</f>
        <v>1010200-3</v>
      </c>
      <c r="T38" s="159" t="str">
        <f>+IF(ABRIL!T38=0,"",ABRIL!T38)</f>
        <v>Honorarios de la Junta Directiva</v>
      </c>
      <c r="U38" s="29">
        <f>+ENERO!U38</f>
        <v>1098240</v>
      </c>
      <c r="V38" s="17">
        <f>ABRIL!V38+MAYO!AL38</f>
        <v>0</v>
      </c>
      <c r="W38" s="17">
        <f>ABRIL!W38+MAYO!AM38</f>
        <v>1200000</v>
      </c>
      <c r="X38" s="20">
        <f t="shared" si="36"/>
        <v>2298240</v>
      </c>
      <c r="Y38" s="21">
        <f>ABRIL!AA38</f>
        <v>1084950</v>
      </c>
      <c r="Z38" s="457">
        <v>0</v>
      </c>
      <c r="AA38" s="20">
        <f t="shared" si="37"/>
        <v>1084950</v>
      </c>
      <c r="AB38" s="21">
        <f>ABRIL!AD38</f>
        <v>1084950</v>
      </c>
      <c r="AC38" s="457">
        <v>0</v>
      </c>
      <c r="AD38" s="20">
        <f t="shared" si="38"/>
        <v>1084950</v>
      </c>
      <c r="AE38" s="21">
        <f>ABRIL!AG38</f>
        <v>530550</v>
      </c>
      <c r="AF38" s="457">
        <v>554400</v>
      </c>
      <c r="AG38" s="20">
        <f t="shared" si="39"/>
        <v>1084950</v>
      </c>
      <c r="AH38" s="21">
        <f t="shared" si="40"/>
        <v>1213290</v>
      </c>
      <c r="AI38" s="17">
        <f t="shared" si="41"/>
        <v>1213290</v>
      </c>
      <c r="AJ38" s="18">
        <f t="shared" si="42"/>
        <v>1213290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+IF(ABRIL!S39=0,"",ABRIL!S39)</f>
        <v>1010200-4</v>
      </c>
      <c r="T39" s="159" t="str">
        <f>+IF(ABRIL!T39=0,"",ABRIL!T39)</f>
        <v>Otros Honorarios (Servicios de Cooperativa)</v>
      </c>
      <c r="U39" s="29">
        <f>+ENERO!U39</f>
        <v>80796809</v>
      </c>
      <c r="V39" s="17">
        <f>ABRIL!V39+MAYO!AL39</f>
        <v>0</v>
      </c>
      <c r="W39" s="17">
        <f>ABRIL!W39+MAYO!AM39</f>
        <v>0</v>
      </c>
      <c r="X39" s="20">
        <f t="shared" si="36"/>
        <v>80796809</v>
      </c>
      <c r="Y39" s="21">
        <f>ABRIL!AA39</f>
        <v>13736988</v>
      </c>
      <c r="Z39" s="457">
        <v>7797396</v>
      </c>
      <c r="AA39" s="20">
        <f t="shared" si="37"/>
        <v>21534384</v>
      </c>
      <c r="AB39" s="21">
        <f>ABRIL!AD39</f>
        <v>13736188</v>
      </c>
      <c r="AC39" s="457">
        <v>7797396</v>
      </c>
      <c r="AD39" s="20">
        <f t="shared" si="38"/>
        <v>21533584</v>
      </c>
      <c r="AE39" s="21">
        <f>ABRIL!AG39</f>
        <v>11516392</v>
      </c>
      <c r="AF39" s="457">
        <v>8667192</v>
      </c>
      <c r="AG39" s="20">
        <f t="shared" si="39"/>
        <v>20183584</v>
      </c>
      <c r="AH39" s="21">
        <f t="shared" si="40"/>
        <v>59262425</v>
      </c>
      <c r="AI39" s="17">
        <f t="shared" si="41"/>
        <v>59263225</v>
      </c>
      <c r="AJ39" s="18">
        <f t="shared" si="42"/>
        <v>60613225</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+IF(ABRIL!S40=0,"",ABRIL!S40)</f>
        <v>1010200-6</v>
      </c>
      <c r="T40" s="159" t="str">
        <f>+IF(ABRIL!T40=0,"",ABRIL!T40)</f>
        <v>Certificación, Habilitación y Acreditación</v>
      </c>
      <c r="U40" s="29">
        <f>+ENERO!U40</f>
        <v>0</v>
      </c>
      <c r="V40" s="17">
        <f>ABRIL!V40+MAYO!AL40</f>
        <v>0</v>
      </c>
      <c r="W40" s="17">
        <f>ABRIL!W40+MAYO!AM40</f>
        <v>0</v>
      </c>
      <c r="X40" s="20">
        <f t="shared" si="36"/>
        <v>0</v>
      </c>
      <c r="Y40" s="21">
        <f>ABRIL!AA40</f>
        <v>0</v>
      </c>
      <c r="Z40" s="457">
        <v>0</v>
      </c>
      <c r="AA40" s="20">
        <f t="shared" si="37"/>
        <v>0</v>
      </c>
      <c r="AB40" s="21">
        <f>ABRIL!AD40</f>
        <v>0</v>
      </c>
      <c r="AC40" s="457">
        <v>0</v>
      </c>
      <c r="AD40" s="20">
        <f t="shared" si="38"/>
        <v>0</v>
      </c>
      <c r="AE40" s="21">
        <f>ABRIL!AG40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+IF(ABRIL!S41=0,"",ABRIL!S41)</f>
        <v>1010299</v>
      </c>
      <c r="T41" s="159" t="str">
        <f>+IF(ABRIL!T41=0,"",ABRIL!T41)</f>
        <v>Vigencias Anteriores</v>
      </c>
      <c r="U41" s="29">
        <f>+ENERO!U41</f>
        <v>5520741</v>
      </c>
      <c r="V41" s="17">
        <f>ABRIL!V41+MAYO!AL41</f>
        <v>-2668000</v>
      </c>
      <c r="W41" s="17">
        <f>ABRIL!W41+MAYO!AM41</f>
        <v>0</v>
      </c>
      <c r="X41" s="20">
        <f t="shared" si="36"/>
        <v>2852741</v>
      </c>
      <c r="Y41" s="21">
        <f>ABRIL!AA41</f>
        <v>2852741</v>
      </c>
      <c r="Z41" s="457">
        <v>0</v>
      </c>
      <c r="AA41" s="20">
        <f t="shared" si="37"/>
        <v>2852741</v>
      </c>
      <c r="AB41" s="21">
        <f>ABRIL!AD41</f>
        <v>2852741</v>
      </c>
      <c r="AC41" s="457">
        <v>0</v>
      </c>
      <c r="AD41" s="20">
        <f t="shared" si="38"/>
        <v>2852741</v>
      </c>
      <c r="AE41" s="21">
        <f>ABRIL!AG41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+IF(ABRIL!A42=0,"",ABRIL!A42)</f>
        <v>1130106</v>
      </c>
      <c r="B42" s="45" t="str">
        <f>+IF(ABRIL!B42=0,"",ABRIL!B42)</f>
        <v>SALUD PUBLICA - PLAN DE INTERVENCIONES COLECTIVAS</v>
      </c>
      <c r="C42" s="53">
        <f t="shared" ref="C42:N42" si="43">SUM(C43:C44)</f>
        <v>125397398</v>
      </c>
      <c r="D42" s="53">
        <f t="shared" si="43"/>
        <v>0</v>
      </c>
      <c r="E42" s="53">
        <f t="shared" si="43"/>
        <v>0</v>
      </c>
      <c r="F42" s="54">
        <f t="shared" si="43"/>
        <v>125397398</v>
      </c>
      <c r="G42" s="52">
        <f t="shared" si="43"/>
        <v>20035054</v>
      </c>
      <c r="H42" s="53">
        <f t="shared" si="43"/>
        <v>10017527</v>
      </c>
      <c r="I42" s="54">
        <f t="shared" si="43"/>
        <v>30052581</v>
      </c>
      <c r="J42" s="52">
        <f t="shared" si="43"/>
        <v>10017527</v>
      </c>
      <c r="K42" s="53">
        <f t="shared" si="43"/>
        <v>21851054</v>
      </c>
      <c r="L42" s="54">
        <f t="shared" si="43"/>
        <v>31868581</v>
      </c>
      <c r="M42" s="52">
        <f t="shared" si="43"/>
        <v>95344817</v>
      </c>
      <c r="N42" s="54">
        <f t="shared" si="43"/>
        <v>93528817</v>
      </c>
      <c r="P42" s="52">
        <f>SUM(P43:P44)</f>
        <v>0</v>
      </c>
      <c r="Q42" s="54">
        <f>SUM(Q43:Q44)</f>
        <v>0</v>
      </c>
      <c r="R42" s="10"/>
      <c r="S42" s="448" t="str">
        <f>+IF(ABRIL!S42=0,"",ABRIL!S42)</f>
        <v/>
      </c>
      <c r="T42" s="649" t="str">
        <f>+IF(ABRIL!T42=0,"",ABRIL!T42)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+IF(ABRIL!A43=0,"",ABRIL!A43)</f>
        <v>1130106-1</v>
      </c>
      <c r="B43" s="189" t="str">
        <f>+CONCATENATE("Vigencia ",INSTRUCCIONES!$F$3)</f>
        <v>Vigencia 2014</v>
      </c>
      <c r="C43" s="456">
        <f>+ENERO!C43</f>
        <v>125397398</v>
      </c>
      <c r="D43" s="456">
        <f>ABRIL!D43+MAYO!P43</f>
        <v>0</v>
      </c>
      <c r="E43" s="456">
        <f>ABRIL!E43+MAYO!Q43</f>
        <v>0</v>
      </c>
      <c r="F43" s="170">
        <f>SUM(C43:E43)</f>
        <v>125397398</v>
      </c>
      <c r="G43" s="283">
        <f>ABRIL!I43</f>
        <v>20035054</v>
      </c>
      <c r="H43" s="457">
        <v>10017527</v>
      </c>
      <c r="I43" s="170">
        <f>SUM(G43:H43)</f>
        <v>30052581</v>
      </c>
      <c r="J43" s="283">
        <f>ABRIL!L43</f>
        <v>10017527</v>
      </c>
      <c r="K43" s="457">
        <v>21851054</v>
      </c>
      <c r="L43" s="170">
        <f>SUM(J43:K43)</f>
        <v>31868581</v>
      </c>
      <c r="M43" s="283">
        <f>F43-I43</f>
        <v>95344817</v>
      </c>
      <c r="N43" s="170">
        <f>F43-L43</f>
        <v>93528817</v>
      </c>
      <c r="O43" s="467"/>
      <c r="P43" s="455">
        <v>0</v>
      </c>
      <c r="Q43" s="458">
        <v>0</v>
      </c>
      <c r="R43" s="10"/>
      <c r="S43" s="34">
        <f>+IF(ABRIL!S43=0,"",ABRIL!S43)</f>
        <v>1010300</v>
      </c>
      <c r="T43" s="158" t="str">
        <f>+IF(ABRIL!T43=0,"",ABRIL!T43)</f>
        <v>Contribuciones Inherentes nómina al Sector Privado</v>
      </c>
      <c r="U43" s="157">
        <f t="shared" ref="U43:AJ43" si="44">U44+U49+U55</f>
        <v>119647956</v>
      </c>
      <c r="V43" s="144">
        <f t="shared" si="44"/>
        <v>487148</v>
      </c>
      <c r="W43" s="144">
        <f t="shared" si="44"/>
        <v>0</v>
      </c>
      <c r="X43" s="152">
        <f t="shared" si="44"/>
        <v>120135104</v>
      </c>
      <c r="Y43" s="151">
        <f t="shared" si="44"/>
        <v>56646031</v>
      </c>
      <c r="Z43" s="144">
        <f t="shared" si="44"/>
        <v>5518200</v>
      </c>
      <c r="AA43" s="152">
        <f t="shared" si="44"/>
        <v>62164231</v>
      </c>
      <c r="AB43" s="151">
        <f t="shared" si="44"/>
        <v>56646031</v>
      </c>
      <c r="AC43" s="144">
        <f t="shared" si="44"/>
        <v>5518200</v>
      </c>
      <c r="AD43" s="152">
        <f t="shared" si="44"/>
        <v>62164231</v>
      </c>
      <c r="AE43" s="151">
        <f t="shared" si="44"/>
        <v>51425283</v>
      </c>
      <c r="AF43" s="144">
        <f t="shared" si="44"/>
        <v>6844500</v>
      </c>
      <c r="AG43" s="152">
        <f t="shared" si="44"/>
        <v>58269783</v>
      </c>
      <c r="AH43" s="151">
        <f t="shared" si="44"/>
        <v>57970873</v>
      </c>
      <c r="AI43" s="144">
        <f t="shared" si="44"/>
        <v>57970873</v>
      </c>
      <c r="AJ43" s="153">
        <f t="shared" si="44"/>
        <v>61865321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+IF(ABRIL!A44=0,"",ABRIL!A44)</f>
        <v>1130106-2</v>
      </c>
      <c r="B44" s="189" t="str">
        <f>+IF(ABRIL!B44=0,"",ABRIL!B44)</f>
        <v>Vigencias Anteriores</v>
      </c>
      <c r="C44" s="456">
        <f>+ENERO!C44</f>
        <v>0</v>
      </c>
      <c r="D44" s="456">
        <f>ABRIL!D44+MAYO!P44</f>
        <v>0</v>
      </c>
      <c r="E44" s="456">
        <f>ABRIL!E44+MAYO!Q44</f>
        <v>0</v>
      </c>
      <c r="F44" s="170">
        <f>SUM(C44:E44)</f>
        <v>0</v>
      </c>
      <c r="G44" s="283">
        <f>ABRIL!I44</f>
        <v>0</v>
      </c>
      <c r="H44" s="457">
        <v>0</v>
      </c>
      <c r="I44" s="170">
        <f>SUM(G44:H44)</f>
        <v>0</v>
      </c>
      <c r="J44" s="283">
        <f>ABRIL!L44</f>
        <v>0</v>
      </c>
      <c r="K44" s="457">
        <v>0</v>
      </c>
      <c r="L44" s="170">
        <f>SUM(J44:K44)</f>
        <v>0</v>
      </c>
      <c r="M44" s="283">
        <f>F44-I44</f>
        <v>0</v>
      </c>
      <c r="N44" s="170">
        <f>F44-L44</f>
        <v>0</v>
      </c>
      <c r="O44" s="467"/>
      <c r="P44" s="455">
        <v>0</v>
      </c>
      <c r="Q44" s="458">
        <v>0</v>
      </c>
      <c r="R44" s="10"/>
      <c r="S44" s="155">
        <f>+IF(ABRIL!S44=0,"",ABRIL!S44)</f>
        <v>1010301</v>
      </c>
      <c r="T44" s="159" t="str">
        <f>+IF(ABRIL!T44=0,"",ABRIL!T44)</f>
        <v>Contribuciones - Sin Situación de Fondos</v>
      </c>
      <c r="U44" s="29">
        <f t="shared" ref="U44:AJ44" si="45">SUM(U45:U48)</f>
        <v>56401928</v>
      </c>
      <c r="V44" s="17">
        <f t="shared" si="45"/>
        <v>0</v>
      </c>
      <c r="W44" s="17">
        <f t="shared" si="45"/>
        <v>0</v>
      </c>
      <c r="X44" s="20">
        <f t="shared" si="45"/>
        <v>56401928</v>
      </c>
      <c r="Y44" s="21">
        <f t="shared" si="45"/>
        <v>12338525</v>
      </c>
      <c r="Z44" s="169">
        <f t="shared" si="45"/>
        <v>2110900</v>
      </c>
      <c r="AA44" s="20">
        <f t="shared" si="45"/>
        <v>14449425</v>
      </c>
      <c r="AB44" s="21">
        <f t="shared" si="45"/>
        <v>12338525</v>
      </c>
      <c r="AC44" s="169">
        <f t="shared" si="45"/>
        <v>2110900</v>
      </c>
      <c r="AD44" s="20">
        <f t="shared" si="45"/>
        <v>14449425</v>
      </c>
      <c r="AE44" s="21">
        <f t="shared" si="45"/>
        <v>10991725</v>
      </c>
      <c r="AF44" s="169">
        <f t="shared" si="45"/>
        <v>3457700</v>
      </c>
      <c r="AG44" s="20">
        <f t="shared" si="45"/>
        <v>14449425</v>
      </c>
      <c r="AH44" s="21">
        <f t="shared" si="45"/>
        <v>41952503</v>
      </c>
      <c r="AI44" s="17">
        <f t="shared" si="45"/>
        <v>41952503</v>
      </c>
      <c r="AJ44" s="18">
        <f t="shared" si="45"/>
        <v>41952503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+IF(ABRIL!A45=0,"",ABRIL!A45)</f>
        <v>1130107</v>
      </c>
      <c r="B45" s="45" t="str">
        <f>+IF(ABRIL!B45=0,"",ABRIL!B45)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+IF(ABRIL!S45=0,"",ABRIL!S45)</f>
        <v>1010301-1</v>
      </c>
      <c r="T45" s="55" t="str">
        <f>+IF(ABRIL!T45=0,"",ABRIL!T45)</f>
        <v>Aportes a E.P.S.- Sin sit. Fondos</v>
      </c>
      <c r="U45" s="29">
        <f>+ENERO!U45</f>
        <v>24712429</v>
      </c>
      <c r="V45" s="17">
        <f>ABRIL!V45+MAYO!AL45</f>
        <v>0</v>
      </c>
      <c r="W45" s="17">
        <f>ABRIL!W45+MAYO!AM45</f>
        <v>0</v>
      </c>
      <c r="X45" s="20">
        <f>SUM(U45:W45)</f>
        <v>24712429</v>
      </c>
      <c r="Y45" s="21">
        <f>ABRIL!AA45</f>
        <v>5955425</v>
      </c>
      <c r="Z45" s="457">
        <v>1160400</v>
      </c>
      <c r="AA45" s="20">
        <f>SUM(Y45:Z45)</f>
        <v>7115825</v>
      </c>
      <c r="AB45" s="21">
        <f>ABRIL!AD45</f>
        <v>5955425</v>
      </c>
      <c r="AC45" s="457">
        <v>1160400</v>
      </c>
      <c r="AD45" s="20">
        <f>SUM(AB45:AC45)</f>
        <v>7115825</v>
      </c>
      <c r="AE45" s="21">
        <f>ABRIL!AG45</f>
        <v>4608625</v>
      </c>
      <c r="AF45" s="457">
        <v>2507200</v>
      </c>
      <c r="AG45" s="20">
        <f>SUM(AE45:AF45)</f>
        <v>7115825</v>
      </c>
      <c r="AH45" s="21">
        <f>X45-AA45</f>
        <v>17596604</v>
      </c>
      <c r="AI45" s="17">
        <f>X45-AD45</f>
        <v>17596604</v>
      </c>
      <c r="AJ45" s="18">
        <f>X45-AG45</f>
        <v>17596604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+IF(ABRIL!A46=0,"",ABRIL!A46)</f>
        <v>1130107-1</v>
      </c>
      <c r="B46" s="189" t="str">
        <f>+CONCATENATE("Vigencia ",INSTRUCCIONES!$F$3)</f>
        <v>Vigencia 2014</v>
      </c>
      <c r="C46" s="456">
        <f>+ENERO!C46</f>
        <v>0</v>
      </c>
      <c r="D46" s="456">
        <f>ABRIL!D46+MAYO!P46</f>
        <v>0</v>
      </c>
      <c r="E46" s="456">
        <f>ABRIL!E46+MAYO!Q46</f>
        <v>0</v>
      </c>
      <c r="F46" s="170">
        <f>SUM(C46:E46)</f>
        <v>0</v>
      </c>
      <c r="G46" s="283">
        <f>ABRIL!I46</f>
        <v>0</v>
      </c>
      <c r="H46" s="457">
        <v>0</v>
      </c>
      <c r="I46" s="170">
        <f>SUM(G46:H46)</f>
        <v>0</v>
      </c>
      <c r="J46" s="283">
        <f>ABRIL!L46</f>
        <v>0</v>
      </c>
      <c r="K46" s="457">
        <v>0</v>
      </c>
      <c r="L46" s="170">
        <f>SUM(J46:K46)</f>
        <v>0</v>
      </c>
      <c r="M46" s="283">
        <f>F46-I46</f>
        <v>0</v>
      </c>
      <c r="N46" s="170">
        <f>F46-L46</f>
        <v>0</v>
      </c>
      <c r="O46" s="467"/>
      <c r="P46" s="455">
        <v>0</v>
      </c>
      <c r="Q46" s="458">
        <v>0</v>
      </c>
      <c r="R46" s="10"/>
      <c r="S46" s="156" t="str">
        <f>+IF(ABRIL!S46=0,"",ABRIL!S46)</f>
        <v>1010301-2</v>
      </c>
      <c r="T46" s="55" t="str">
        <f>+IF(ABRIL!T46=0,"",ABRIL!T46)</f>
        <v>Aportes Fondos Pensionales - Sin Sit. Fondos</v>
      </c>
      <c r="U46" s="29">
        <f>+ENERO!U46</f>
        <v>26693987</v>
      </c>
      <c r="V46" s="17">
        <f>ABRIL!V46+MAYO!AL46</f>
        <v>0</v>
      </c>
      <c r="W46" s="17">
        <f>ABRIL!W46+MAYO!AM46</f>
        <v>0</v>
      </c>
      <c r="X46" s="20">
        <f>SUM(U46:W46)</f>
        <v>26693987</v>
      </c>
      <c r="Y46" s="21">
        <f>ABRIL!AA46</f>
        <v>6383100</v>
      </c>
      <c r="Z46" s="457">
        <v>950500</v>
      </c>
      <c r="AA46" s="20">
        <f>SUM(Y46:Z46)</f>
        <v>7333600</v>
      </c>
      <c r="AB46" s="21">
        <f>ABRIL!AD46</f>
        <v>6383100</v>
      </c>
      <c r="AC46" s="457">
        <v>950500</v>
      </c>
      <c r="AD46" s="20">
        <f>SUM(AB46:AC46)</f>
        <v>7333600</v>
      </c>
      <c r="AE46" s="21">
        <f>ABRIL!AG46</f>
        <v>6383100</v>
      </c>
      <c r="AF46" s="457">
        <v>950500</v>
      </c>
      <c r="AG46" s="20">
        <f>SUM(AE46:AF46)</f>
        <v>7333600</v>
      </c>
      <c r="AH46" s="21">
        <f>X46-AA46</f>
        <v>19360387</v>
      </c>
      <c r="AI46" s="17">
        <f>X46-AD46</f>
        <v>19360387</v>
      </c>
      <c r="AJ46" s="18">
        <f>X46-AG46</f>
        <v>19360387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+IF(ABRIL!A47=0,"",ABRIL!A47)</f>
        <v>1130107-2</v>
      </c>
      <c r="B47" s="189" t="str">
        <f>+IF(ABRIL!B47=0,"",ABRIL!B47)</f>
        <v>Vigencias Anteriores</v>
      </c>
      <c r="C47" s="456">
        <f>+ENERO!C47</f>
        <v>0</v>
      </c>
      <c r="D47" s="456">
        <f>ABRIL!D47+MAYO!P47</f>
        <v>0</v>
      </c>
      <c r="E47" s="456">
        <f>ABRIL!E47+MAYO!Q47</f>
        <v>0</v>
      </c>
      <c r="F47" s="170">
        <f>SUM(C47:E47)</f>
        <v>0</v>
      </c>
      <c r="G47" s="283">
        <f>ABRIL!I47</f>
        <v>0</v>
      </c>
      <c r="H47" s="457">
        <v>0</v>
      </c>
      <c r="I47" s="170">
        <f>SUM(G47:H47)</f>
        <v>0</v>
      </c>
      <c r="J47" s="283">
        <f>ABRIL!L47</f>
        <v>0</v>
      </c>
      <c r="K47" s="457">
        <v>0</v>
      </c>
      <c r="L47" s="170">
        <f>SUM(J47:K47)</f>
        <v>0</v>
      </c>
      <c r="M47" s="283">
        <f>F47-I47</f>
        <v>0</v>
      </c>
      <c r="N47" s="170">
        <f>F47-L47</f>
        <v>0</v>
      </c>
      <c r="O47" s="467"/>
      <c r="P47" s="455">
        <v>0</v>
      </c>
      <c r="Q47" s="458">
        <v>0</v>
      </c>
      <c r="R47" s="10"/>
      <c r="S47" s="156" t="str">
        <f>+IF(ABRIL!S47=0,"",ABRIL!S47)</f>
        <v>1010301-3</v>
      </c>
      <c r="T47" s="55" t="str">
        <f>+IF(ABRIL!T47=0,"",ABRIL!T47)</f>
        <v xml:space="preserve">Aportes a Fondos de Cesantia - Sin Sit. de Fondos </v>
      </c>
      <c r="U47" s="29">
        <f>+ENERO!U47</f>
        <v>4995512</v>
      </c>
      <c r="V47" s="17">
        <f>ABRIL!V47+MAYO!AL47</f>
        <v>0</v>
      </c>
      <c r="W47" s="17">
        <f>ABRIL!W47+MAYO!AM47</f>
        <v>0</v>
      </c>
      <c r="X47" s="20">
        <f>SUM(U47:W47)</f>
        <v>4995512</v>
      </c>
      <c r="Y47" s="21">
        <f>ABRIL!AA47</f>
        <v>0</v>
      </c>
      <c r="Z47" s="457">
        <v>0</v>
      </c>
      <c r="AA47" s="20">
        <f>SUM(Y47:Z47)</f>
        <v>0</v>
      </c>
      <c r="AB47" s="21">
        <f>ABRIL!AD47</f>
        <v>0</v>
      </c>
      <c r="AC47" s="457">
        <v>0</v>
      </c>
      <c r="AD47" s="20">
        <f>SUM(AB47:AC47)</f>
        <v>0</v>
      </c>
      <c r="AE47" s="21">
        <f>ABRIL!AG47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+IF(ABRIL!A48=0,"",ABRIL!A48)</f>
        <v>1130108</v>
      </c>
      <c r="B48" s="45" t="str">
        <f>+IF(ABRIL!B48=0,"",ABRIL!B48)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+IF(ABRIL!S48=0,"",ABRIL!S48)</f>
        <v>1010301-4</v>
      </c>
      <c r="T48" s="55" t="str">
        <f>+IF(ABRIL!T48=0,"",ABRIL!T48)</f>
        <v xml:space="preserve">Aporte a ARL. - Sin Sit. de Fondos </v>
      </c>
      <c r="U48" s="29">
        <f>+ENERO!U48</f>
        <v>0</v>
      </c>
      <c r="V48" s="17">
        <f>ABRIL!V48+MAYO!AL48</f>
        <v>0</v>
      </c>
      <c r="W48" s="17">
        <f>ABRIL!W48+MAYO!AM48</f>
        <v>0</v>
      </c>
      <c r="X48" s="20">
        <f>SUM(U48:W48)</f>
        <v>0</v>
      </c>
      <c r="Y48" s="21">
        <f>ABRIL!AA48</f>
        <v>0</v>
      </c>
      <c r="Z48" s="457">
        <v>0</v>
      </c>
      <c r="AA48" s="20">
        <f>SUM(Y48:Z48)</f>
        <v>0</v>
      </c>
      <c r="AB48" s="21">
        <f>ABRIL!AD48</f>
        <v>0</v>
      </c>
      <c r="AC48" s="457">
        <v>0</v>
      </c>
      <c r="AD48" s="20">
        <f>SUM(AB48:AC48)</f>
        <v>0</v>
      </c>
      <c r="AE48" s="21">
        <f>ABRIL!AG48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+IF(ABRIL!A49=0,"",ABRIL!A49)</f>
        <v>1130108-1</v>
      </c>
      <c r="B49" s="189" t="str">
        <f>+CONCATENATE("Vigencia ",INSTRUCCIONES!$F$3)</f>
        <v>Vigencia 2014</v>
      </c>
      <c r="C49" s="456">
        <f>+ENERO!C49</f>
        <v>0</v>
      </c>
      <c r="D49" s="456">
        <f>ABRIL!D49+MAYO!P49</f>
        <v>0</v>
      </c>
      <c r="E49" s="456">
        <f>ABRIL!E49+MAYO!Q49</f>
        <v>0</v>
      </c>
      <c r="F49" s="170">
        <f>SUM(C49:E49)</f>
        <v>0</v>
      </c>
      <c r="G49" s="283">
        <f>ABRIL!I49</f>
        <v>0</v>
      </c>
      <c r="H49" s="457">
        <v>0</v>
      </c>
      <c r="I49" s="170">
        <f>SUM(G49:H49)</f>
        <v>0</v>
      </c>
      <c r="J49" s="283">
        <f>ABRIL!L49</f>
        <v>0</v>
      </c>
      <c r="K49" s="457">
        <v>0</v>
      </c>
      <c r="L49" s="170">
        <f>SUM(J49:K49)</f>
        <v>0</v>
      </c>
      <c r="M49" s="283">
        <f>F49-I49</f>
        <v>0</v>
      </c>
      <c r="N49" s="170">
        <f>F49-L49</f>
        <v>0</v>
      </c>
      <c r="O49" s="467"/>
      <c r="P49" s="455">
        <v>0</v>
      </c>
      <c r="Q49" s="458">
        <v>0</v>
      </c>
      <c r="R49" s="10"/>
      <c r="S49" s="155">
        <f>+IF(ABRIL!S49=0,"",ABRIL!S49)</f>
        <v>1010302</v>
      </c>
      <c r="T49" s="159" t="str">
        <f>+IF(ABRIL!T49=0,"",ABRIL!T49)</f>
        <v>Contribuciones - Otros</v>
      </c>
      <c r="U49" s="29">
        <f t="shared" ref="U49:AJ49" si="48">SUM(U50:U54)</f>
        <v>63246028</v>
      </c>
      <c r="V49" s="17">
        <f t="shared" si="48"/>
        <v>0</v>
      </c>
      <c r="W49" s="17">
        <f t="shared" si="48"/>
        <v>0</v>
      </c>
      <c r="X49" s="20">
        <f t="shared" si="48"/>
        <v>63246028</v>
      </c>
      <c r="Y49" s="21">
        <f t="shared" si="48"/>
        <v>43820358</v>
      </c>
      <c r="Z49" s="169">
        <f t="shared" si="48"/>
        <v>3407300</v>
      </c>
      <c r="AA49" s="20">
        <f t="shared" si="48"/>
        <v>47227658</v>
      </c>
      <c r="AB49" s="21">
        <f t="shared" si="48"/>
        <v>43820358</v>
      </c>
      <c r="AC49" s="169">
        <f t="shared" si="48"/>
        <v>3407300</v>
      </c>
      <c r="AD49" s="20">
        <f t="shared" si="48"/>
        <v>47227658</v>
      </c>
      <c r="AE49" s="21">
        <f t="shared" si="48"/>
        <v>40433558</v>
      </c>
      <c r="AF49" s="169">
        <f t="shared" si="48"/>
        <v>3386800</v>
      </c>
      <c r="AG49" s="20">
        <f t="shared" si="48"/>
        <v>43820358</v>
      </c>
      <c r="AH49" s="21">
        <f t="shared" si="48"/>
        <v>16018370</v>
      </c>
      <c r="AI49" s="17">
        <f t="shared" si="48"/>
        <v>16018370</v>
      </c>
      <c r="AJ49" s="18">
        <f t="shared" si="48"/>
        <v>19425670</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+IF(ABRIL!A50=0,"",ABRIL!A50)</f>
        <v>1130108-2</v>
      </c>
      <c r="B50" s="189" t="str">
        <f>+IF(ABRIL!B50=0,"",ABRIL!B50)</f>
        <v>Vigencias Anteriores</v>
      </c>
      <c r="C50" s="456">
        <f>+ENERO!C50</f>
        <v>0</v>
      </c>
      <c r="D50" s="456">
        <f>ABRIL!D50+MAYO!P50</f>
        <v>0</v>
      </c>
      <c r="E50" s="456">
        <f>ABRIL!E50+MAYO!Q50</f>
        <v>0</v>
      </c>
      <c r="F50" s="170">
        <f>SUM(C50:E50)</f>
        <v>0</v>
      </c>
      <c r="G50" s="283">
        <f>ABRIL!I50</f>
        <v>0</v>
      </c>
      <c r="H50" s="457">
        <v>0</v>
      </c>
      <c r="I50" s="170">
        <f>SUM(G50:H50)</f>
        <v>0</v>
      </c>
      <c r="J50" s="283">
        <f>ABRIL!L50</f>
        <v>0</v>
      </c>
      <c r="K50" s="457">
        <v>0</v>
      </c>
      <c r="L50" s="170">
        <f>SUM(J50:K50)</f>
        <v>0</v>
      </c>
      <c r="M50" s="283">
        <f>F50-I50</f>
        <v>0</v>
      </c>
      <c r="N50" s="170">
        <f>F50-L50</f>
        <v>0</v>
      </c>
      <c r="O50" s="467"/>
      <c r="P50" s="455">
        <v>0</v>
      </c>
      <c r="Q50" s="458">
        <v>0</v>
      </c>
      <c r="R50" s="10"/>
      <c r="S50" s="156" t="str">
        <f>+IF(ABRIL!S50=0,"",ABRIL!S50)</f>
        <v>1010302-1</v>
      </c>
      <c r="T50" s="55" t="str">
        <f>+IF(ABRIL!T50=0,"",ABRIL!T50)</f>
        <v>Aportes a E.P.S.- Con sit. Fondos</v>
      </c>
      <c r="U50" s="29">
        <f>+ENERO!U50</f>
        <v>4719263</v>
      </c>
      <c r="V50" s="17">
        <f>ABRIL!V50+MAYO!AL50</f>
        <v>0</v>
      </c>
      <c r="W50" s="17">
        <f>ABRIL!W50+MAYO!AM50</f>
        <v>0</v>
      </c>
      <c r="X50" s="20">
        <f t="shared" ref="X50:X55" si="49">SUM(U50:W50)</f>
        <v>4719263</v>
      </c>
      <c r="Y50" s="21">
        <f>ABRIL!AA50</f>
        <v>4318160</v>
      </c>
      <c r="Z50" s="457">
        <v>0</v>
      </c>
      <c r="AA50" s="20">
        <f t="shared" ref="AA50:AA55" si="50">SUM(Y50:Z50)</f>
        <v>4318160</v>
      </c>
      <c r="AB50" s="21">
        <f>ABRIL!AD50</f>
        <v>4318160</v>
      </c>
      <c r="AC50" s="457">
        <v>0</v>
      </c>
      <c r="AD50" s="20">
        <f t="shared" ref="AD50:AD55" si="51">SUM(AB50:AC50)</f>
        <v>4318160</v>
      </c>
      <c r="AE50" s="21">
        <f>ABRIL!AG50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+IF(ABRIL!A51=0,"",ABRIL!A51)</f>
        <v>1130109</v>
      </c>
      <c r="B51" s="45" t="str">
        <f>+IF(ABRIL!B51=0,"",ABRIL!B51)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+IF(ABRIL!S51=0,"",ABRIL!S51)</f>
        <v>1010302-2</v>
      </c>
      <c r="T51" s="55" t="str">
        <f>+IF(ABRIL!T51=0,"",ABRIL!T51)</f>
        <v>Aportes Fondos Pensionales - Con Sit. Fondos</v>
      </c>
      <c r="U51" s="29">
        <f>+ENERO!U51</f>
        <v>14856625</v>
      </c>
      <c r="V51" s="17">
        <f>ABRIL!V51+MAYO!AL51</f>
        <v>0</v>
      </c>
      <c r="W51" s="17">
        <f>ABRIL!W51+MAYO!AM51</f>
        <v>0</v>
      </c>
      <c r="X51" s="20">
        <f t="shared" si="49"/>
        <v>14856625</v>
      </c>
      <c r="Y51" s="21">
        <f>ABRIL!AA51</f>
        <v>7691860</v>
      </c>
      <c r="Z51" s="457">
        <v>1912800</v>
      </c>
      <c r="AA51" s="20">
        <f t="shared" si="50"/>
        <v>9604660</v>
      </c>
      <c r="AB51" s="21">
        <f>ABRIL!AD51</f>
        <v>7691860</v>
      </c>
      <c r="AC51" s="457">
        <v>1912800</v>
      </c>
      <c r="AD51" s="20">
        <f t="shared" si="51"/>
        <v>9604660</v>
      </c>
      <c r="AE51" s="21">
        <f>ABRIL!AG51</f>
        <v>5790260</v>
      </c>
      <c r="AF51" s="457">
        <v>1901600</v>
      </c>
      <c r="AG51" s="20">
        <f t="shared" si="52"/>
        <v>7691860</v>
      </c>
      <c r="AH51" s="21">
        <f t="shared" si="53"/>
        <v>5251965</v>
      </c>
      <c r="AI51" s="17">
        <f t="shared" si="54"/>
        <v>5251965</v>
      </c>
      <c r="AJ51" s="18">
        <f t="shared" si="55"/>
        <v>7164765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+IF(ABRIL!A52=0,"",ABRIL!A52)</f>
        <v>1130109-1</v>
      </c>
      <c r="B52" s="189" t="str">
        <f>+CONCATENATE("Vigencia ",INSTRUCCIONES!$F$3)</f>
        <v>Vigencia 2014</v>
      </c>
      <c r="C52" s="456">
        <f>+ENERO!C52</f>
        <v>0</v>
      </c>
      <c r="D52" s="456">
        <f>ABRIL!D52+MAYO!P52</f>
        <v>0</v>
      </c>
      <c r="E52" s="456">
        <f>ABRIL!E52+MAYO!Q52</f>
        <v>0</v>
      </c>
      <c r="F52" s="170">
        <f>SUM(C52:E52)</f>
        <v>0</v>
      </c>
      <c r="G52" s="283">
        <f>ABRIL!I52</f>
        <v>0</v>
      </c>
      <c r="H52" s="457">
        <v>0</v>
      </c>
      <c r="I52" s="170">
        <f>SUM(G52:H52)</f>
        <v>0</v>
      </c>
      <c r="J52" s="283">
        <f>ABRIL!L52</f>
        <v>0</v>
      </c>
      <c r="K52" s="457">
        <v>0</v>
      </c>
      <c r="L52" s="170">
        <f>SUM(J52:K52)</f>
        <v>0</v>
      </c>
      <c r="M52" s="283">
        <f>F52-I52</f>
        <v>0</v>
      </c>
      <c r="N52" s="170">
        <f>F52-L52</f>
        <v>0</v>
      </c>
      <c r="O52" s="467"/>
      <c r="P52" s="455">
        <v>0</v>
      </c>
      <c r="Q52" s="458">
        <v>0</v>
      </c>
      <c r="R52" s="10"/>
      <c r="S52" s="156" t="str">
        <f>+IF(ABRIL!S52=0,"",ABRIL!S52)</f>
        <v>1010302-3</v>
      </c>
      <c r="T52" s="55" t="str">
        <f>+IF(ABRIL!T52=0,"",ABRIL!T52)</f>
        <v xml:space="preserve">Aportes a Fondos de Cesantia - Con Sit. de Fondos </v>
      </c>
      <c r="U52" s="29">
        <f>+ENERO!U52</f>
        <v>26296821</v>
      </c>
      <c r="V52" s="17">
        <f>ABRIL!V52+MAYO!AL52</f>
        <v>0</v>
      </c>
      <c r="W52" s="17">
        <f>ABRIL!W52+MAYO!AM52</f>
        <v>0</v>
      </c>
      <c r="X52" s="20">
        <f t="shared" si="49"/>
        <v>26296821</v>
      </c>
      <c r="Y52" s="21">
        <f>ABRIL!AA52</f>
        <v>25977938</v>
      </c>
      <c r="Z52" s="457">
        <v>0</v>
      </c>
      <c r="AA52" s="20">
        <f t="shared" si="50"/>
        <v>25977938</v>
      </c>
      <c r="AB52" s="21">
        <f>ABRIL!AD52</f>
        <v>25977938</v>
      </c>
      <c r="AC52" s="457">
        <v>0</v>
      </c>
      <c r="AD52" s="20">
        <f t="shared" si="51"/>
        <v>25977938</v>
      </c>
      <c r="AE52" s="21">
        <f>ABRIL!AG52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+IF(ABRIL!A53=0,"",ABRIL!A53)</f>
        <v>1130109-2</v>
      </c>
      <c r="B53" s="189" t="str">
        <f>+IF(ABRIL!B53=0,"",ABRIL!B53)</f>
        <v>Vigencias Anteriores</v>
      </c>
      <c r="C53" s="456">
        <f>+ENERO!C53</f>
        <v>0</v>
      </c>
      <c r="D53" s="456">
        <f>ABRIL!D53+MAYO!P53</f>
        <v>0</v>
      </c>
      <c r="E53" s="456">
        <f>ABRIL!E53+MAYO!Q53</f>
        <v>0</v>
      </c>
      <c r="F53" s="170">
        <f>SUM(C53:E53)</f>
        <v>0</v>
      </c>
      <c r="G53" s="283">
        <f>ABRIL!I53</f>
        <v>0</v>
      </c>
      <c r="H53" s="457">
        <v>0</v>
      </c>
      <c r="I53" s="170">
        <f>SUM(G53:H53)</f>
        <v>0</v>
      </c>
      <c r="J53" s="283">
        <f>ABRIL!L53</f>
        <v>0</v>
      </c>
      <c r="K53" s="457">
        <v>0</v>
      </c>
      <c r="L53" s="170">
        <f>SUM(J53:K53)</f>
        <v>0</v>
      </c>
      <c r="M53" s="283">
        <f>F53-I53</f>
        <v>0</v>
      </c>
      <c r="N53" s="170">
        <f>F53-L53</f>
        <v>0</v>
      </c>
      <c r="O53" s="467"/>
      <c r="P53" s="455">
        <v>0</v>
      </c>
      <c r="Q53" s="458">
        <v>0</v>
      </c>
      <c r="R53" s="10"/>
      <c r="S53" s="156" t="str">
        <f>+IF(ABRIL!S53=0,"",ABRIL!S53)</f>
        <v>1010302-4</v>
      </c>
      <c r="T53" s="55" t="str">
        <f>+IF(ABRIL!T53=0,"",ABRIL!T53)</f>
        <v>Aporte a ARL. - Con Sit. de Fondos</v>
      </c>
      <c r="U53" s="29">
        <f>+ENERO!U53</f>
        <v>1807452</v>
      </c>
      <c r="V53" s="17">
        <f>ABRIL!V53+MAYO!AL53</f>
        <v>0</v>
      </c>
      <c r="W53" s="17">
        <f>ABRIL!W53+MAYO!AM53</f>
        <v>0</v>
      </c>
      <c r="X53" s="20">
        <f t="shared" si="49"/>
        <v>1807452</v>
      </c>
      <c r="Y53" s="21">
        <f>ABRIL!AA53</f>
        <v>1165100</v>
      </c>
      <c r="Z53" s="457">
        <v>315500</v>
      </c>
      <c r="AA53" s="20">
        <f t="shared" si="50"/>
        <v>1480600</v>
      </c>
      <c r="AB53" s="21">
        <f>ABRIL!AD53</f>
        <v>1165100</v>
      </c>
      <c r="AC53" s="457">
        <v>315500</v>
      </c>
      <c r="AD53" s="20">
        <f t="shared" si="51"/>
        <v>1480600</v>
      </c>
      <c r="AE53" s="21">
        <f>ABRIL!AG53</f>
        <v>865700</v>
      </c>
      <c r="AF53" s="457">
        <v>299400</v>
      </c>
      <c r="AG53" s="20">
        <f t="shared" si="52"/>
        <v>1165100</v>
      </c>
      <c r="AH53" s="21">
        <f t="shared" si="53"/>
        <v>326852</v>
      </c>
      <c r="AI53" s="17">
        <f t="shared" si="54"/>
        <v>326852</v>
      </c>
      <c r="AJ53" s="18">
        <f t="shared" si="55"/>
        <v>642352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+IF(ABRIL!A54=0,"",ABRIL!A54)</f>
        <v>1130110</v>
      </c>
      <c r="B54" s="45" t="str">
        <f>+IF(ABRIL!B54=0,"",ABRIL!B54)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+IF(ABRIL!S54=0,"",ABRIL!S54)</f>
        <v>1010302-5</v>
      </c>
      <c r="T54" s="55" t="str">
        <f>+IF(ABRIL!T54=0,"",ABRIL!T54)</f>
        <v>Aporte a Caja Compensación Familiar</v>
      </c>
      <c r="U54" s="29">
        <f>+ENERO!U54</f>
        <v>15565867</v>
      </c>
      <c r="V54" s="17">
        <f>ABRIL!V54+MAYO!AL54</f>
        <v>0</v>
      </c>
      <c r="W54" s="17">
        <f>ABRIL!W54+MAYO!AM54</f>
        <v>0</v>
      </c>
      <c r="X54" s="20">
        <f t="shared" si="49"/>
        <v>15565867</v>
      </c>
      <c r="Y54" s="21">
        <f>ABRIL!AA54</f>
        <v>4667300</v>
      </c>
      <c r="Z54" s="457">
        <v>1179000</v>
      </c>
      <c r="AA54" s="20">
        <f t="shared" si="50"/>
        <v>5846300</v>
      </c>
      <c r="AB54" s="21">
        <f>ABRIL!AD54</f>
        <v>4667300</v>
      </c>
      <c r="AC54" s="457">
        <v>1179000</v>
      </c>
      <c r="AD54" s="20">
        <f t="shared" si="51"/>
        <v>5846300</v>
      </c>
      <c r="AE54" s="21">
        <f>ABRIL!AG54</f>
        <v>3481500</v>
      </c>
      <c r="AF54" s="457">
        <v>1185800</v>
      </c>
      <c r="AG54" s="20">
        <f t="shared" si="52"/>
        <v>4667300</v>
      </c>
      <c r="AH54" s="21">
        <f t="shared" si="53"/>
        <v>9719567</v>
      </c>
      <c r="AI54" s="17">
        <f t="shared" si="54"/>
        <v>9719567</v>
      </c>
      <c r="AJ54" s="18">
        <f t="shared" si="55"/>
        <v>10898567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+IF(ABRIL!A55=0,"",ABRIL!A55)</f>
        <v>1130110-1</v>
      </c>
      <c r="B55" s="189" t="str">
        <f>+CONCATENATE("Vigencia ",INSTRUCCIONES!$F$3)</f>
        <v>Vigencia 2014</v>
      </c>
      <c r="C55" s="456">
        <f>+ENERO!C55</f>
        <v>0</v>
      </c>
      <c r="D55" s="456">
        <f>ABRIL!D55+MAYO!P55</f>
        <v>0</v>
      </c>
      <c r="E55" s="456">
        <f>ABRIL!E55+MAYO!Q55</f>
        <v>0</v>
      </c>
      <c r="F55" s="170">
        <f>SUM(C55:E55)</f>
        <v>0</v>
      </c>
      <c r="G55" s="283">
        <f>ABRIL!I55</f>
        <v>0</v>
      </c>
      <c r="H55" s="457">
        <v>0</v>
      </c>
      <c r="I55" s="170">
        <f>SUM(G55:H55)</f>
        <v>0</v>
      </c>
      <c r="J55" s="283">
        <f>ABRIL!L55</f>
        <v>0</v>
      </c>
      <c r="K55" s="457">
        <v>0</v>
      </c>
      <c r="L55" s="170">
        <f>SUM(J55:K55)</f>
        <v>0</v>
      </c>
      <c r="M55" s="283">
        <f>F55-I55</f>
        <v>0</v>
      </c>
      <c r="N55" s="170">
        <f>F55-L55</f>
        <v>0</v>
      </c>
      <c r="O55" s="467"/>
      <c r="P55" s="455">
        <v>0</v>
      </c>
      <c r="Q55" s="458">
        <v>0</v>
      </c>
      <c r="R55" s="10"/>
      <c r="S55" s="155">
        <f>+IF(ABRIL!S55=0,"",ABRIL!S55)</f>
        <v>1010399</v>
      </c>
      <c r="T55" s="159" t="str">
        <f>+IF(ABRIL!T55=0,"",ABRIL!T55)</f>
        <v>Vigencias Anteriores</v>
      </c>
      <c r="U55" s="29">
        <f>+ENERO!U55</f>
        <v>0</v>
      </c>
      <c r="V55" s="17">
        <f>ABRIL!V55+MAYO!AL55</f>
        <v>487148</v>
      </c>
      <c r="W55" s="17">
        <f>ABRIL!W55+MAYO!AM55</f>
        <v>0</v>
      </c>
      <c r="X55" s="20">
        <f t="shared" si="49"/>
        <v>487148</v>
      </c>
      <c r="Y55" s="21">
        <f>ABRIL!AA55</f>
        <v>487148</v>
      </c>
      <c r="Z55" s="457">
        <v>0</v>
      </c>
      <c r="AA55" s="20">
        <f t="shared" si="50"/>
        <v>487148</v>
      </c>
      <c r="AB55" s="21">
        <f>ABRIL!AD55</f>
        <v>487148</v>
      </c>
      <c r="AC55" s="457">
        <v>0</v>
      </c>
      <c r="AD55" s="20">
        <f t="shared" si="51"/>
        <v>487148</v>
      </c>
      <c r="AE55" s="21">
        <f>ABRIL!AG55</f>
        <v>0</v>
      </c>
      <c r="AF55" s="457">
        <v>0</v>
      </c>
      <c r="AG55" s="20">
        <f t="shared" si="52"/>
        <v>0</v>
      </c>
      <c r="AH55" s="21">
        <f t="shared" si="53"/>
        <v>0</v>
      </c>
      <c r="AI55" s="17">
        <f t="shared" si="54"/>
        <v>0</v>
      </c>
      <c r="AJ55" s="18">
        <f t="shared" si="55"/>
        <v>487148</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+IF(ABRIL!A56=0,"",ABRIL!A56)</f>
        <v>1130110-2</v>
      </c>
      <c r="B56" s="189" t="str">
        <f>+IF(ABRIL!B56=0,"",ABRIL!B56)</f>
        <v>Vigencias Anteriores</v>
      </c>
      <c r="C56" s="456">
        <f>+ENERO!C56</f>
        <v>0</v>
      </c>
      <c r="D56" s="456">
        <f>ABRIL!D56+MAYO!P56</f>
        <v>0</v>
      </c>
      <c r="E56" s="456">
        <f>ABRIL!E56+MAYO!Q56</f>
        <v>0</v>
      </c>
      <c r="F56" s="170">
        <f>SUM(C56:E56)</f>
        <v>0</v>
      </c>
      <c r="G56" s="283">
        <f>ABRIL!I56</f>
        <v>0</v>
      </c>
      <c r="H56" s="457">
        <v>0</v>
      </c>
      <c r="I56" s="170">
        <f>SUM(G56:H56)</f>
        <v>0</v>
      </c>
      <c r="J56" s="283">
        <f>ABRIL!L56</f>
        <v>0</v>
      </c>
      <c r="K56" s="457">
        <v>0</v>
      </c>
      <c r="L56" s="170">
        <f>SUM(J56:K56)</f>
        <v>0</v>
      </c>
      <c r="M56" s="283">
        <f>F56-I56</f>
        <v>0</v>
      </c>
      <c r="N56" s="170">
        <f>F56-L56</f>
        <v>0</v>
      </c>
      <c r="O56" s="467"/>
      <c r="P56" s="455">
        <v>0</v>
      </c>
      <c r="Q56" s="458">
        <v>0</v>
      </c>
      <c r="R56" s="10"/>
      <c r="S56" s="448" t="str">
        <f>+IF(ABRIL!S56=0,"",ABRIL!S56)</f>
        <v/>
      </c>
      <c r="T56" s="649" t="str">
        <f>+IF(ABRIL!T56=0,"",ABRIL!T56)</f>
        <v/>
      </c>
      <c r="U56" s="193"/>
      <c r="V56" s="193"/>
      <c r="W56" s="193"/>
      <c r="X56" s="193"/>
      <c r="Y56" s="193"/>
      <c r="Z56" s="193"/>
      <c r="AA56" s="193"/>
      <c r="AB56" s="193"/>
      <c r="AC56" s="816"/>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+IF(ABRIL!A57=0,"",ABRIL!A57)</f>
        <v>1130111</v>
      </c>
      <c r="B57" s="45" t="str">
        <f>+IF(ABRIL!B57=0,"",ABRIL!B57)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+IF(ABRIL!S57=0,"",ABRIL!S57)</f>
        <v>1010400</v>
      </c>
      <c r="T57" s="158" t="str">
        <f>+IF(ABRIL!T57=0,"",ABRIL!T57)</f>
        <v>Contribuciones Inherentes nómina del Sector Publico</v>
      </c>
      <c r="U57" s="157">
        <f t="shared" ref="U57:AJ57" si="59">U58+U61</f>
        <v>19457334</v>
      </c>
      <c r="V57" s="144">
        <f t="shared" si="59"/>
        <v>0</v>
      </c>
      <c r="W57" s="144">
        <f t="shared" si="59"/>
        <v>0</v>
      </c>
      <c r="X57" s="152">
        <f t="shared" si="59"/>
        <v>19457334</v>
      </c>
      <c r="Y57" s="151">
        <f t="shared" si="59"/>
        <v>6071900</v>
      </c>
      <c r="Z57" s="144">
        <f t="shared" si="59"/>
        <v>1473300</v>
      </c>
      <c r="AA57" s="152">
        <f t="shared" si="59"/>
        <v>7545200</v>
      </c>
      <c r="AB57" s="151">
        <f t="shared" si="59"/>
        <v>6071900</v>
      </c>
      <c r="AC57" s="816">
        <f t="shared" si="59"/>
        <v>1473300</v>
      </c>
      <c r="AD57" s="152">
        <f t="shared" si="59"/>
        <v>7545200</v>
      </c>
      <c r="AE57" s="151">
        <f t="shared" si="59"/>
        <v>4590300</v>
      </c>
      <c r="AF57" s="144">
        <f t="shared" si="59"/>
        <v>1481600</v>
      </c>
      <c r="AG57" s="152">
        <f t="shared" si="59"/>
        <v>6071900</v>
      </c>
      <c r="AH57" s="151">
        <f t="shared" si="59"/>
        <v>11912134</v>
      </c>
      <c r="AI57" s="144">
        <f t="shared" si="59"/>
        <v>11912134</v>
      </c>
      <c r="AJ57" s="153">
        <f t="shared" si="59"/>
        <v>13385434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+IF(ABRIL!A58=0,"",ABRIL!A58)</f>
        <v>1130111-1</v>
      </c>
      <c r="B58" s="189" t="str">
        <f>+CONCATENATE("Vigencia ",INSTRUCCIONES!$F$3)</f>
        <v>Vigencia 2014</v>
      </c>
      <c r="C58" s="456">
        <f>+ENERO!C58</f>
        <v>0</v>
      </c>
      <c r="D58" s="456">
        <f>ABRIL!D58+MAYO!P58</f>
        <v>0</v>
      </c>
      <c r="E58" s="456">
        <f>ABRIL!E58+MAYO!Q58</f>
        <v>0</v>
      </c>
      <c r="F58" s="170">
        <f>SUM(C58:E58)</f>
        <v>0</v>
      </c>
      <c r="G58" s="283">
        <f>ABRIL!I58</f>
        <v>0</v>
      </c>
      <c r="H58" s="457">
        <v>0</v>
      </c>
      <c r="I58" s="170">
        <f>SUM(G58:H58)</f>
        <v>0</v>
      </c>
      <c r="J58" s="283">
        <f>ABRIL!L58</f>
        <v>0</v>
      </c>
      <c r="K58" s="457">
        <v>0</v>
      </c>
      <c r="L58" s="170">
        <f>SUM(J58:K58)</f>
        <v>0</v>
      </c>
      <c r="M58" s="283">
        <f>F58-I58</f>
        <v>0</v>
      </c>
      <c r="N58" s="170">
        <f>F58-L58</f>
        <v>0</v>
      </c>
      <c r="O58" s="467"/>
      <c r="P58" s="455">
        <v>0</v>
      </c>
      <c r="Q58" s="458">
        <v>0</v>
      </c>
      <c r="R58" s="10"/>
      <c r="S58" s="155">
        <f>+IF(ABRIL!S58=0,"",ABRIL!S58)</f>
        <v>1010402</v>
      </c>
      <c r="T58" s="159" t="str">
        <f>+IF(ABRIL!T58=0,"",ABRIL!T58)</f>
        <v>Contribuciones - Otros</v>
      </c>
      <c r="U58" s="29">
        <f t="shared" ref="U58:AJ58" si="60">SUM(U59:U60)</f>
        <v>19457334</v>
      </c>
      <c r="V58" s="17">
        <f t="shared" si="60"/>
        <v>0</v>
      </c>
      <c r="W58" s="17">
        <f t="shared" si="60"/>
        <v>0</v>
      </c>
      <c r="X58" s="20">
        <f t="shared" si="60"/>
        <v>19457334</v>
      </c>
      <c r="Y58" s="21">
        <f t="shared" si="60"/>
        <v>6071900</v>
      </c>
      <c r="Z58" s="169">
        <f t="shared" si="60"/>
        <v>1473300</v>
      </c>
      <c r="AA58" s="20">
        <f t="shared" si="60"/>
        <v>7545200</v>
      </c>
      <c r="AB58" s="21">
        <f t="shared" si="60"/>
        <v>6071900</v>
      </c>
      <c r="AC58" s="816">
        <f t="shared" si="60"/>
        <v>1473300</v>
      </c>
      <c r="AD58" s="20">
        <f t="shared" si="60"/>
        <v>7545200</v>
      </c>
      <c r="AE58" s="21">
        <f t="shared" si="60"/>
        <v>4590300</v>
      </c>
      <c r="AF58" s="169">
        <f t="shared" si="60"/>
        <v>1481600</v>
      </c>
      <c r="AG58" s="20">
        <f t="shared" si="60"/>
        <v>6071900</v>
      </c>
      <c r="AH58" s="21">
        <f t="shared" si="60"/>
        <v>11912134</v>
      </c>
      <c r="AI58" s="17">
        <f t="shared" si="60"/>
        <v>11912134</v>
      </c>
      <c r="AJ58" s="18">
        <f t="shared" si="60"/>
        <v>13385434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+IF(ABRIL!A59=0,"",ABRIL!A59)</f>
        <v>1130111-2</v>
      </c>
      <c r="B59" s="189" t="str">
        <f>+IF(ABRIL!B59=0,"",ABRIL!B59)</f>
        <v>Vigencias Anteriores</v>
      </c>
      <c r="C59" s="456">
        <f>+ENERO!C59</f>
        <v>0</v>
      </c>
      <c r="D59" s="456">
        <f>ABRIL!D59+MAYO!P59</f>
        <v>0</v>
      </c>
      <c r="E59" s="456">
        <f>ABRIL!E59+MAYO!Q59</f>
        <v>0</v>
      </c>
      <c r="F59" s="170">
        <f>SUM(C59:E59)</f>
        <v>0</v>
      </c>
      <c r="G59" s="283">
        <f>ABRIL!I59</f>
        <v>0</v>
      </c>
      <c r="H59" s="457">
        <v>0</v>
      </c>
      <c r="I59" s="170">
        <f>SUM(G59:H59)</f>
        <v>0</v>
      </c>
      <c r="J59" s="283">
        <f>ABRIL!L59</f>
        <v>0</v>
      </c>
      <c r="K59" s="457">
        <v>0</v>
      </c>
      <c r="L59" s="170">
        <f>SUM(J59:K59)</f>
        <v>0</v>
      </c>
      <c r="M59" s="283">
        <f>F59-I59</f>
        <v>0</v>
      </c>
      <c r="N59" s="170">
        <f>F59-L59</f>
        <v>0</v>
      </c>
      <c r="O59" s="467"/>
      <c r="P59" s="455">
        <v>0</v>
      </c>
      <c r="Q59" s="458">
        <v>0</v>
      </c>
      <c r="R59" s="10"/>
      <c r="S59" s="156" t="str">
        <f>+IF(ABRIL!S59=0,"",ABRIL!S59)</f>
        <v>1010402-1</v>
      </c>
      <c r="T59" s="159" t="str">
        <f>+IF(ABRIL!T59=0,"",ABRIL!T59)</f>
        <v>S.E.N.A.</v>
      </c>
      <c r="U59" s="29">
        <f>+ENERO!U59</f>
        <v>7782934</v>
      </c>
      <c r="V59" s="17">
        <f>ABRIL!V59+MAYO!AL59</f>
        <v>0</v>
      </c>
      <c r="W59" s="17">
        <f>ABRIL!W59+MAYO!AM59</f>
        <v>0</v>
      </c>
      <c r="X59" s="20">
        <f>SUM(U59:W59)</f>
        <v>7782934</v>
      </c>
      <c r="Y59" s="21">
        <f>ABRIL!AA59</f>
        <v>2349700</v>
      </c>
      <c r="Z59" s="457">
        <v>589300</v>
      </c>
      <c r="AA59" s="20">
        <f>SUM(Y59:Z59)</f>
        <v>2939000</v>
      </c>
      <c r="AB59" s="21">
        <f>ABRIL!AD59</f>
        <v>2349700</v>
      </c>
      <c r="AC59" s="457">
        <v>589300</v>
      </c>
      <c r="AD59" s="20">
        <f>SUM(AB59:AC59)</f>
        <v>2939000</v>
      </c>
      <c r="AE59" s="21">
        <f>ABRIL!AG59</f>
        <v>1757100</v>
      </c>
      <c r="AF59" s="457">
        <v>592600</v>
      </c>
      <c r="AG59" s="20">
        <f>SUM(AE59:AF59)</f>
        <v>2349700</v>
      </c>
      <c r="AH59" s="21">
        <f>X59-AA59</f>
        <v>4843934</v>
      </c>
      <c r="AI59" s="17">
        <f>X59-AD59</f>
        <v>4843934</v>
      </c>
      <c r="AJ59" s="18">
        <f>X59-AG59</f>
        <v>5433234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+IF(ABRIL!A60=0,"",ABRIL!A60)</f>
        <v>1130112</v>
      </c>
      <c r="B60" s="45" t="str">
        <f>+IF(ABRIL!B60=0,"",ABRIL!B60)</f>
        <v>IPS PUBLICAS</v>
      </c>
      <c r="C60" s="53">
        <f t="shared" ref="C60:N60" si="61">SUM(C61:C62)</f>
        <v>8883897</v>
      </c>
      <c r="D60" s="53">
        <f t="shared" si="61"/>
        <v>0</v>
      </c>
      <c r="E60" s="53">
        <f t="shared" si="61"/>
        <v>0</v>
      </c>
      <c r="F60" s="54">
        <f t="shared" si="61"/>
        <v>8883897</v>
      </c>
      <c r="G60" s="52">
        <f t="shared" si="61"/>
        <v>2582811</v>
      </c>
      <c r="H60" s="53">
        <f t="shared" si="61"/>
        <v>1041306</v>
      </c>
      <c r="I60" s="54">
        <f t="shared" si="61"/>
        <v>3624117</v>
      </c>
      <c r="J60" s="52">
        <f t="shared" si="61"/>
        <v>2024843</v>
      </c>
      <c r="K60" s="53">
        <f t="shared" si="61"/>
        <v>392020</v>
      </c>
      <c r="L60" s="54">
        <f t="shared" si="61"/>
        <v>2416863</v>
      </c>
      <c r="M60" s="52">
        <f t="shared" si="61"/>
        <v>5259780</v>
      </c>
      <c r="N60" s="54">
        <f t="shared" si="61"/>
        <v>6467034</v>
      </c>
      <c r="P60" s="52">
        <f>SUM(P61:P62)</f>
        <v>0</v>
      </c>
      <c r="Q60" s="54">
        <f>SUM(Q61:Q62)</f>
        <v>0</v>
      </c>
      <c r="R60" s="10"/>
      <c r="S60" s="156" t="str">
        <f>+IF(ABRIL!S60=0,"",ABRIL!S60)</f>
        <v>1010402-2</v>
      </c>
      <c r="T60" s="159" t="str">
        <f>+IF(ABRIL!T60=0,"",ABRIL!T60)</f>
        <v>I.C.B.F.</v>
      </c>
      <c r="U60" s="29">
        <f>+ENERO!U60</f>
        <v>11674400</v>
      </c>
      <c r="V60" s="17">
        <f>ABRIL!V60+MAYO!AL60</f>
        <v>0</v>
      </c>
      <c r="W60" s="17">
        <f>ABRIL!W60+MAYO!AM60</f>
        <v>0</v>
      </c>
      <c r="X60" s="20">
        <f>SUM(U60:W60)</f>
        <v>11674400</v>
      </c>
      <c r="Y60" s="21">
        <f>ABRIL!AA60</f>
        <v>3722200</v>
      </c>
      <c r="Z60" s="457">
        <v>884000</v>
      </c>
      <c r="AA60" s="20">
        <f>SUM(Y60:Z60)</f>
        <v>4606200</v>
      </c>
      <c r="AB60" s="21">
        <f>ABRIL!AD60</f>
        <v>3722200</v>
      </c>
      <c r="AC60" s="457">
        <v>884000</v>
      </c>
      <c r="AD60" s="20">
        <f>SUM(AB60:AC60)</f>
        <v>4606200</v>
      </c>
      <c r="AE60" s="21">
        <f>ABRIL!AG60</f>
        <v>2833200</v>
      </c>
      <c r="AF60" s="457">
        <v>889000</v>
      </c>
      <c r="AG60" s="20">
        <f>SUM(AE60:AF60)</f>
        <v>3722200</v>
      </c>
      <c r="AH60" s="21">
        <f>X60-AA60</f>
        <v>7068200</v>
      </c>
      <c r="AI60" s="17">
        <f>X60-AD60</f>
        <v>7068200</v>
      </c>
      <c r="AJ60" s="18">
        <f>X60-AG60</f>
        <v>7952200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+IF(ABRIL!A61=0,"",ABRIL!A61)</f>
        <v>1130112-1</v>
      </c>
      <c r="B61" s="189" t="str">
        <f>+CONCATENATE("Vigencia ",INSTRUCCIONES!$F$3)</f>
        <v>Vigencia 2014</v>
      </c>
      <c r="C61" s="456">
        <f>+ENERO!C61</f>
        <v>5883897</v>
      </c>
      <c r="D61" s="456">
        <f>ABRIL!D61+MAYO!P61</f>
        <v>0</v>
      </c>
      <c r="E61" s="456">
        <f>ABRIL!E61+MAYO!Q61</f>
        <v>0</v>
      </c>
      <c r="F61" s="170">
        <f>SUM(C61:E61)</f>
        <v>5883897</v>
      </c>
      <c r="G61" s="283">
        <f>ABRIL!I61</f>
        <v>557968</v>
      </c>
      <c r="H61" s="457">
        <v>702664</v>
      </c>
      <c r="I61" s="170">
        <f>SUM(G61:H61)</f>
        <v>1260632</v>
      </c>
      <c r="J61" s="283">
        <f>ABRIL!L61</f>
        <v>0</v>
      </c>
      <c r="K61" s="457">
        <v>53378</v>
      </c>
      <c r="L61" s="170">
        <f>SUM(J61:K61)</f>
        <v>53378</v>
      </c>
      <c r="M61" s="283">
        <f>F61-I61</f>
        <v>4623265</v>
      </c>
      <c r="N61" s="170">
        <f>F61-L61</f>
        <v>5830519</v>
      </c>
      <c r="O61" s="467"/>
      <c r="P61" s="455">
        <v>0</v>
      </c>
      <c r="Q61" s="458">
        <v>0</v>
      </c>
      <c r="R61" s="10"/>
      <c r="S61" s="155">
        <f>+IF(ABRIL!S61=0,"",ABRIL!S61)</f>
        <v>1010499</v>
      </c>
      <c r="T61" s="159" t="str">
        <f>+IF(ABRIL!T61=0,"",ABRIL!T61)</f>
        <v>Vigencias Anteriores</v>
      </c>
      <c r="U61" s="29">
        <f>+ENERO!U61</f>
        <v>0</v>
      </c>
      <c r="V61" s="17">
        <f>ABRIL!V61+MAYO!AL61</f>
        <v>0</v>
      </c>
      <c r="W61" s="17">
        <f>ABRIL!W61+MAYO!AM61</f>
        <v>0</v>
      </c>
      <c r="X61" s="20">
        <f>SUM(U61:W61)</f>
        <v>0</v>
      </c>
      <c r="Y61" s="21">
        <f>ABRIL!AA61</f>
        <v>0</v>
      </c>
      <c r="Z61" s="457">
        <v>0</v>
      </c>
      <c r="AA61" s="20">
        <f>SUM(Y61:Z61)</f>
        <v>0</v>
      </c>
      <c r="AB61" s="21">
        <f>ABRIL!AD61</f>
        <v>0</v>
      </c>
      <c r="AC61" s="457">
        <v>0</v>
      </c>
      <c r="AD61" s="20">
        <f>SUM(AB61:AC61)</f>
        <v>0</v>
      </c>
      <c r="AE61" s="21">
        <f>ABRIL!AG61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+IF(ABRIL!A62=0,"",ABRIL!A62)</f>
        <v>1130112-2</v>
      </c>
      <c r="B62" s="189" t="str">
        <f>+IF(ABRIL!B62=0,"",ABRIL!B62)</f>
        <v>Vigencias Anteriores</v>
      </c>
      <c r="C62" s="456">
        <f>+ENERO!C62</f>
        <v>3000000</v>
      </c>
      <c r="D62" s="456">
        <f>ABRIL!D62+MAYO!P62</f>
        <v>0</v>
      </c>
      <c r="E62" s="456">
        <f>ABRIL!E62+MAYO!Q62</f>
        <v>0</v>
      </c>
      <c r="F62" s="170">
        <f>SUM(C62:E62)</f>
        <v>3000000</v>
      </c>
      <c r="G62" s="283">
        <f>ABRIL!I62</f>
        <v>2024843</v>
      </c>
      <c r="H62" s="457">
        <v>338642</v>
      </c>
      <c r="I62" s="170">
        <f>SUM(G62:H62)</f>
        <v>2363485</v>
      </c>
      <c r="J62" s="283">
        <f>ABRIL!L62</f>
        <v>2024843</v>
      </c>
      <c r="K62" s="457">
        <v>338642</v>
      </c>
      <c r="L62" s="170">
        <f>SUM(J62:K62)</f>
        <v>2363485</v>
      </c>
      <c r="M62" s="283">
        <f>F62-I62</f>
        <v>636515</v>
      </c>
      <c r="N62" s="170">
        <f>F62-L62</f>
        <v>636515</v>
      </c>
      <c r="O62" s="467"/>
      <c r="P62" s="455">
        <v>0</v>
      </c>
      <c r="Q62" s="458">
        <v>0</v>
      </c>
      <c r="R62" s="10"/>
      <c r="S62" s="448" t="str">
        <f>+IF(ABRIL!S62=0,"",ABRIL!S62)</f>
        <v/>
      </c>
      <c r="T62" s="649" t="str">
        <f>+IF(ABRIL!T62=0,"",ABRIL!T62)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+IF(ABRIL!A63=0,"",ABRIL!A63)</f>
        <v>1130113</v>
      </c>
      <c r="B63" s="45" t="str">
        <f>+IF(ABRIL!B63=0,"",ABRIL!B63)</f>
        <v>COMPAÑIAS DE SEGUROS  - ACCIDENTES DE TRANSITO (SOAT)</v>
      </c>
      <c r="C63" s="53">
        <f t="shared" ref="C63:N63" si="62">SUM(C64:C65)</f>
        <v>52973202</v>
      </c>
      <c r="D63" s="53">
        <f t="shared" si="62"/>
        <v>0</v>
      </c>
      <c r="E63" s="53">
        <f t="shared" si="62"/>
        <v>0</v>
      </c>
      <c r="F63" s="54">
        <f t="shared" si="62"/>
        <v>52973202</v>
      </c>
      <c r="G63" s="52">
        <f t="shared" si="62"/>
        <v>21497057</v>
      </c>
      <c r="H63" s="53">
        <f t="shared" si="62"/>
        <v>946893</v>
      </c>
      <c r="I63" s="54">
        <f t="shared" si="62"/>
        <v>22443950</v>
      </c>
      <c r="J63" s="52">
        <f t="shared" si="62"/>
        <v>15087208</v>
      </c>
      <c r="K63" s="53">
        <f t="shared" si="62"/>
        <v>2956378</v>
      </c>
      <c r="L63" s="54">
        <f t="shared" si="62"/>
        <v>18043586</v>
      </c>
      <c r="M63" s="52">
        <f t="shared" si="62"/>
        <v>30529252</v>
      </c>
      <c r="N63" s="54">
        <f t="shared" si="62"/>
        <v>34929616</v>
      </c>
      <c r="P63" s="52">
        <f>SUM(P64:P65)</f>
        <v>0</v>
      </c>
      <c r="Q63" s="54">
        <f>SUM(Q64:Q65)</f>
        <v>0</v>
      </c>
      <c r="R63" s="10"/>
      <c r="S63" s="469">
        <f>+IF(ABRIL!S63=0,"",ABRIL!S63)</f>
        <v>1020010</v>
      </c>
      <c r="T63" s="470" t="str">
        <f>+IF(ABRIL!T63=0,"",ABRIL!T63)</f>
        <v>Gastos de Operación</v>
      </c>
      <c r="U63" s="157">
        <f t="shared" ref="U63:AJ63" si="63">U65+U83+U90+U104</f>
        <v>1656122409</v>
      </c>
      <c r="V63" s="144">
        <f t="shared" si="63"/>
        <v>5657703</v>
      </c>
      <c r="W63" s="144">
        <f t="shared" si="63"/>
        <v>18789110</v>
      </c>
      <c r="X63" s="152">
        <f t="shared" si="63"/>
        <v>1680569222</v>
      </c>
      <c r="Y63" s="151">
        <f t="shared" si="63"/>
        <v>547439313</v>
      </c>
      <c r="Z63" s="144">
        <f t="shared" si="63"/>
        <v>107660964</v>
      </c>
      <c r="AA63" s="152">
        <f t="shared" si="63"/>
        <v>655100277</v>
      </c>
      <c r="AB63" s="151">
        <f t="shared" si="63"/>
        <v>547438513</v>
      </c>
      <c r="AC63" s="144">
        <f t="shared" si="63"/>
        <v>107660964</v>
      </c>
      <c r="AD63" s="152">
        <f t="shared" si="63"/>
        <v>655099477</v>
      </c>
      <c r="AE63" s="151">
        <f t="shared" si="63"/>
        <v>507066301</v>
      </c>
      <c r="AF63" s="144">
        <f t="shared" si="63"/>
        <v>106683620</v>
      </c>
      <c r="AG63" s="152">
        <f t="shared" si="63"/>
        <v>613749921</v>
      </c>
      <c r="AH63" s="151">
        <f t="shared" si="63"/>
        <v>1025468945</v>
      </c>
      <c r="AI63" s="144">
        <f t="shared" si="63"/>
        <v>1025469745</v>
      </c>
      <c r="AJ63" s="153">
        <f t="shared" si="63"/>
        <v>1066819301</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+IF(ABRIL!A64=0,"",ABRIL!A64)</f>
        <v>1130113-1</v>
      </c>
      <c r="B64" s="189" t="str">
        <f>+CONCATENATE("Vigencia ",INSTRUCCIONES!$F$3)</f>
        <v>Vigencia 2014</v>
      </c>
      <c r="C64" s="456">
        <f>+ENERO!C64</f>
        <v>40103182</v>
      </c>
      <c r="D64" s="456">
        <f>ABRIL!D64+MAYO!P64</f>
        <v>0</v>
      </c>
      <c r="E64" s="456">
        <f>ABRIL!E64+MAYO!Q64</f>
        <v>0</v>
      </c>
      <c r="F64" s="170">
        <f>SUM(C64:E64)</f>
        <v>40103182</v>
      </c>
      <c r="G64" s="283">
        <f>ABRIL!I64</f>
        <v>13552931</v>
      </c>
      <c r="H64" s="457">
        <v>773293</v>
      </c>
      <c r="I64" s="170">
        <f>SUM(G64:H64)</f>
        <v>14326224</v>
      </c>
      <c r="J64" s="283">
        <f>ABRIL!L64</f>
        <v>7143082</v>
      </c>
      <c r="K64" s="457">
        <v>2782778</v>
      </c>
      <c r="L64" s="170">
        <f>SUM(J64:K64)</f>
        <v>9925860</v>
      </c>
      <c r="M64" s="283">
        <f>F64-I64</f>
        <v>25776958</v>
      </c>
      <c r="N64" s="170">
        <f>F64-L64</f>
        <v>30177322</v>
      </c>
      <c r="O64" s="467"/>
      <c r="P64" s="455">
        <v>0</v>
      </c>
      <c r="Q64" s="458">
        <v>0</v>
      </c>
      <c r="R64" s="10"/>
      <c r="S64" s="448" t="str">
        <f>+IF(ABRIL!S64=0,"",ABRIL!S64)</f>
        <v/>
      </c>
      <c r="T64" s="649" t="str">
        <f>+IF(ABRIL!T64=0,"",ABRIL!T64)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+IF(ABRIL!A65=0,"",ABRIL!A65)</f>
        <v>1130113-2</v>
      </c>
      <c r="B65" s="189" t="str">
        <f>+IF(ABRIL!B65=0,"",ABRIL!B65)</f>
        <v>Vigencias Anteriores</v>
      </c>
      <c r="C65" s="456">
        <f>+ENERO!C65</f>
        <v>12870020</v>
      </c>
      <c r="D65" s="456">
        <f>ABRIL!D65+MAYO!P65</f>
        <v>0</v>
      </c>
      <c r="E65" s="456">
        <f>ABRIL!E65+MAYO!Q65</f>
        <v>0</v>
      </c>
      <c r="F65" s="170">
        <f>SUM(C65:E65)</f>
        <v>12870020</v>
      </c>
      <c r="G65" s="283">
        <f>ABRIL!I65</f>
        <v>7944126</v>
      </c>
      <c r="H65" s="457">
        <v>173600</v>
      </c>
      <c r="I65" s="170">
        <f>SUM(G65:H65)</f>
        <v>8117726</v>
      </c>
      <c r="J65" s="283">
        <f>ABRIL!L65</f>
        <v>7944126</v>
      </c>
      <c r="K65" s="457">
        <v>173600</v>
      </c>
      <c r="L65" s="170">
        <f>SUM(J65:K65)</f>
        <v>8117726</v>
      </c>
      <c r="M65" s="283">
        <f>F65-I65</f>
        <v>4752294</v>
      </c>
      <c r="N65" s="170">
        <f>F65-L65</f>
        <v>4752294</v>
      </c>
      <c r="O65" s="467"/>
      <c r="P65" s="455">
        <v>0</v>
      </c>
      <c r="Q65" s="458">
        <v>0</v>
      </c>
      <c r="R65" s="10"/>
      <c r="S65" s="34">
        <f>+IF(ABRIL!S65=0,"",ABRIL!S65)</f>
        <v>1020100</v>
      </c>
      <c r="T65" s="158" t="str">
        <f>+IF(ABRIL!T65=0,"",ABRIL!T65)</f>
        <v>Servicios Personales Asociados a Nómina</v>
      </c>
      <c r="U65" s="157">
        <f t="shared" ref="U65:AJ65" si="64">SUM(U66:U69)+U81</f>
        <v>1157487731</v>
      </c>
      <c r="V65" s="144">
        <f t="shared" si="64"/>
        <v>5657703</v>
      </c>
      <c r="W65" s="144">
        <f t="shared" si="64"/>
        <v>8749212</v>
      </c>
      <c r="X65" s="152">
        <f t="shared" si="64"/>
        <v>1171894646</v>
      </c>
      <c r="Y65" s="151">
        <f t="shared" si="64"/>
        <v>366661038</v>
      </c>
      <c r="Z65" s="144">
        <f t="shared" si="64"/>
        <v>80994988</v>
      </c>
      <c r="AA65" s="152">
        <f t="shared" si="64"/>
        <v>447656026</v>
      </c>
      <c r="AB65" s="151">
        <f t="shared" si="64"/>
        <v>366661038</v>
      </c>
      <c r="AC65" s="144">
        <f t="shared" si="64"/>
        <v>80994988</v>
      </c>
      <c r="AD65" s="152">
        <f t="shared" si="64"/>
        <v>447656026</v>
      </c>
      <c r="AE65" s="151">
        <f t="shared" si="64"/>
        <v>345925650</v>
      </c>
      <c r="AF65" s="144">
        <f t="shared" si="64"/>
        <v>81849910</v>
      </c>
      <c r="AG65" s="152">
        <f t="shared" si="64"/>
        <v>427775560</v>
      </c>
      <c r="AH65" s="151">
        <f t="shared" si="64"/>
        <v>724238620</v>
      </c>
      <c r="AI65" s="144">
        <f t="shared" si="64"/>
        <v>724238620</v>
      </c>
      <c r="AJ65" s="153">
        <f t="shared" si="64"/>
        <v>744119086</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+IF(ABRIL!A66=0,"",ABRIL!A66)</f>
        <v>1130114</v>
      </c>
      <c r="B66" s="45" t="str">
        <f>+IF(ABRIL!B66=0,"",ABRIL!B66)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+IF(ABRIL!S66=0,"",ABRIL!S66)</f>
        <v>1020101</v>
      </c>
      <c r="T66" s="159" t="str">
        <f>+IF(ABRIL!T66=0,"",ABRIL!T66)</f>
        <v>Sueldos del Personal de nómina</v>
      </c>
      <c r="U66" s="29">
        <f>+ENERO!U66</f>
        <v>901111176</v>
      </c>
      <c r="V66" s="17">
        <f>ABRIL!V66+MAYO!AL66</f>
        <v>0</v>
      </c>
      <c r="W66" s="17">
        <f>ABRIL!W66+MAYO!AM66</f>
        <v>0</v>
      </c>
      <c r="X66" s="20">
        <f>SUM(U66:W66)</f>
        <v>901111176</v>
      </c>
      <c r="Y66" s="21">
        <f>ABRIL!AA66</f>
        <v>305602155</v>
      </c>
      <c r="Z66" s="457">
        <v>72453520</v>
      </c>
      <c r="AA66" s="20">
        <f>SUM(Y66:Z66)</f>
        <v>378055675</v>
      </c>
      <c r="AB66" s="21">
        <f>ABRIL!AD66</f>
        <v>305602155</v>
      </c>
      <c r="AC66" s="814">
        <v>72453520</v>
      </c>
      <c r="AD66" s="20">
        <f>SUM(AB66:AC66)</f>
        <v>378055675</v>
      </c>
      <c r="AE66" s="21">
        <f>ABRIL!AG66</f>
        <v>286889830</v>
      </c>
      <c r="AF66" s="457">
        <v>73591109</v>
      </c>
      <c r="AG66" s="20">
        <f>SUM(AE66:AF66)</f>
        <v>360480939</v>
      </c>
      <c r="AH66" s="21">
        <f>X66-AA66</f>
        <v>523055501</v>
      </c>
      <c r="AI66" s="17">
        <f>X66-AD66</f>
        <v>523055501</v>
      </c>
      <c r="AJ66" s="18">
        <f>X66-AG66</f>
        <v>540630237</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+IF(ABRIL!A67=0,"",ABRIL!A67)</f>
        <v>1130114-1</v>
      </c>
      <c r="B67" s="189" t="str">
        <f>+CONCATENATE("Vigencia ",INSTRUCCIONES!$F$3)</f>
        <v>Vigencia 2014</v>
      </c>
      <c r="C67" s="456">
        <f>+ENERO!C67</f>
        <v>0</v>
      </c>
      <c r="D67" s="456">
        <f>ABRIL!D67+MAYO!P67</f>
        <v>0</v>
      </c>
      <c r="E67" s="456">
        <f>ABRIL!E67+MAYO!Q67</f>
        <v>0</v>
      </c>
      <c r="F67" s="170">
        <f>SUM(C67:E67)</f>
        <v>0</v>
      </c>
      <c r="G67" s="283">
        <f>ABRIL!I67</f>
        <v>0</v>
      </c>
      <c r="H67" s="457">
        <v>0</v>
      </c>
      <c r="I67" s="170">
        <f>SUM(G67:H67)</f>
        <v>0</v>
      </c>
      <c r="J67" s="283">
        <f>ABRIL!L67</f>
        <v>0</v>
      </c>
      <c r="K67" s="457">
        <v>0</v>
      </c>
      <c r="L67" s="170">
        <f>SUM(J67:K67)</f>
        <v>0</v>
      </c>
      <c r="M67" s="283">
        <f>F67-I67</f>
        <v>0</v>
      </c>
      <c r="N67" s="170">
        <f>F67-L67</f>
        <v>0</v>
      </c>
      <c r="O67" s="467"/>
      <c r="P67" s="455">
        <v>0</v>
      </c>
      <c r="Q67" s="458">
        <v>0</v>
      </c>
      <c r="R67" s="10"/>
      <c r="S67" s="155">
        <f>+IF(ABRIL!S67=0,"",ABRIL!S67)</f>
        <v>1020102</v>
      </c>
      <c r="T67" s="159" t="str">
        <f>+IF(ABRIL!T67=0,"",ABRIL!T67)</f>
        <v>Horas Extras,Dominic.,Festivos y Rec. Nocturnos</v>
      </c>
      <c r="U67" s="29">
        <f>+ENERO!U67</f>
        <v>116857377</v>
      </c>
      <c r="V67" s="17">
        <f>ABRIL!V67+MAYO!AL67</f>
        <v>0</v>
      </c>
      <c r="W67" s="17">
        <f>ABRIL!W67+MAYO!AM67</f>
        <v>0</v>
      </c>
      <c r="X67" s="20">
        <f>SUM(U67:W67)</f>
        <v>116857377</v>
      </c>
      <c r="Y67" s="21">
        <f>ABRIL!AA67</f>
        <v>29856458</v>
      </c>
      <c r="Z67" s="457">
        <v>7066743</v>
      </c>
      <c r="AA67" s="20">
        <f>SUM(Y67:Z67)</f>
        <v>36923201</v>
      </c>
      <c r="AB67" s="21">
        <f>ABRIL!AD67</f>
        <v>29856458</v>
      </c>
      <c r="AC67" s="457">
        <v>7066743</v>
      </c>
      <c r="AD67" s="20">
        <f>SUM(AB67:AC67)</f>
        <v>36923201</v>
      </c>
      <c r="AE67" s="21">
        <f>ABRIL!AG67</f>
        <v>29826204</v>
      </c>
      <c r="AF67" s="457">
        <v>7066743</v>
      </c>
      <c r="AG67" s="20">
        <f>SUM(AE67:AF67)</f>
        <v>36892947</v>
      </c>
      <c r="AH67" s="21">
        <f>X67-AA67</f>
        <v>79934176</v>
      </c>
      <c r="AI67" s="17">
        <f>X67-AD67</f>
        <v>79934176</v>
      </c>
      <c r="AJ67" s="18">
        <f>X67-AG67</f>
        <v>79964430</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+IF(ABRIL!A68=0,"",ABRIL!A68)</f>
        <v>1130114-2</v>
      </c>
      <c r="B68" s="189" t="str">
        <f>+IF(ABRIL!B68=0,"",ABRIL!B68)</f>
        <v>Vigencias Anteriores</v>
      </c>
      <c r="C68" s="456">
        <f>+ENERO!C68</f>
        <v>0</v>
      </c>
      <c r="D68" s="456">
        <f>ABRIL!D68+MAYO!P68</f>
        <v>0</v>
      </c>
      <c r="E68" s="456">
        <f>ABRIL!E68+MAYO!Q68</f>
        <v>0</v>
      </c>
      <c r="F68" s="170">
        <f>SUM(C68:E68)</f>
        <v>0</v>
      </c>
      <c r="G68" s="283">
        <f>ABRIL!I68</f>
        <v>0</v>
      </c>
      <c r="H68" s="457">
        <v>0</v>
      </c>
      <c r="I68" s="170">
        <f>SUM(G68:H68)</f>
        <v>0</v>
      </c>
      <c r="J68" s="283">
        <f>ABRIL!L68</f>
        <v>0</v>
      </c>
      <c r="K68" s="457">
        <v>0</v>
      </c>
      <c r="L68" s="170">
        <f>SUM(J68:K68)</f>
        <v>0</v>
      </c>
      <c r="M68" s="283">
        <f>F68-I68</f>
        <v>0</v>
      </c>
      <c r="N68" s="170">
        <f>F68-L68</f>
        <v>0</v>
      </c>
      <c r="O68" s="467"/>
      <c r="P68" s="455">
        <v>0</v>
      </c>
      <c r="Q68" s="458">
        <v>0</v>
      </c>
      <c r="R68" s="10"/>
      <c r="S68" s="155">
        <f>+IF(ABRIL!S68=0,"",ABRIL!S68)</f>
        <v>1020103</v>
      </c>
      <c r="T68" s="159" t="str">
        <f>+IF(ABRIL!T68=0,"",ABRIL!T68)</f>
        <v>Prima Técnica</v>
      </c>
      <c r="U68" s="29">
        <f>+ENERO!U68</f>
        <v>0</v>
      </c>
      <c r="V68" s="17">
        <f>ABRIL!V68+MAYO!AL68</f>
        <v>0</v>
      </c>
      <c r="W68" s="17">
        <f>ABRIL!W68+MAYO!AM68</f>
        <v>0</v>
      </c>
      <c r="X68" s="20">
        <f>SUM(U68:W68)</f>
        <v>0</v>
      </c>
      <c r="Y68" s="21">
        <f>ABRIL!AA68</f>
        <v>0</v>
      </c>
      <c r="Z68" s="457">
        <v>0</v>
      </c>
      <c r="AA68" s="20">
        <f>SUM(Y68:Z68)</f>
        <v>0</v>
      </c>
      <c r="AB68" s="21">
        <f>ABRIL!AD68</f>
        <v>0</v>
      </c>
      <c r="AC68" s="457">
        <v>0</v>
      </c>
      <c r="AD68" s="20">
        <f>SUM(AB68:AC68)</f>
        <v>0</v>
      </c>
      <c r="AE68" s="21">
        <f>ABRIL!AG68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+IF(ABRIL!A69=0,"",ABRIL!A69)</f>
        <v>1130115</v>
      </c>
      <c r="B69" s="45" t="str">
        <f>+IF(ABRIL!B69=0,"",ABRIL!B69)</f>
        <v>ENTIDADES DE REGIMEN ESPECIAL (Magisterio, Fuerza Pca.)</v>
      </c>
      <c r="C69" s="53">
        <f t="shared" ref="C69:N69" si="66">SUM(C70:C71)</f>
        <v>111446544</v>
      </c>
      <c r="D69" s="53">
        <f t="shared" si="66"/>
        <v>0</v>
      </c>
      <c r="E69" s="53">
        <f t="shared" si="66"/>
        <v>0</v>
      </c>
      <c r="F69" s="54">
        <f t="shared" si="66"/>
        <v>111446544</v>
      </c>
      <c r="G69" s="52">
        <f t="shared" si="66"/>
        <v>33616981</v>
      </c>
      <c r="H69" s="53">
        <f t="shared" si="66"/>
        <v>22669575</v>
      </c>
      <c r="I69" s="54">
        <f t="shared" si="66"/>
        <v>56286556</v>
      </c>
      <c r="J69" s="52">
        <f t="shared" si="66"/>
        <v>21489247</v>
      </c>
      <c r="K69" s="53">
        <f t="shared" si="66"/>
        <v>18136317</v>
      </c>
      <c r="L69" s="54">
        <f t="shared" si="66"/>
        <v>39625564</v>
      </c>
      <c r="M69" s="52">
        <f t="shared" si="66"/>
        <v>55159988</v>
      </c>
      <c r="N69" s="54">
        <f t="shared" si="66"/>
        <v>71820980</v>
      </c>
      <c r="P69" s="52">
        <f>SUM(P70:P71)</f>
        <v>0</v>
      </c>
      <c r="Q69" s="54">
        <f>SUM(Q70:Q71)</f>
        <v>0</v>
      </c>
      <c r="R69" s="10"/>
      <c r="S69" s="155">
        <f>+IF(ABRIL!S69=0,"",ABRIL!S69)</f>
        <v>1020104</v>
      </c>
      <c r="T69" s="159" t="str">
        <f>+IF(ABRIL!T69=0,"",ABRIL!T69)</f>
        <v>Otros</v>
      </c>
      <c r="U69" s="29">
        <f t="shared" ref="U69:AJ69" si="67">SUM(U70:U80)</f>
        <v>130781064</v>
      </c>
      <c r="V69" s="17">
        <f t="shared" si="67"/>
        <v>0</v>
      </c>
      <c r="W69" s="17">
        <f t="shared" si="67"/>
        <v>0</v>
      </c>
      <c r="X69" s="20">
        <f t="shared" si="67"/>
        <v>130781064</v>
      </c>
      <c r="Y69" s="21">
        <f t="shared" si="67"/>
        <v>8522396</v>
      </c>
      <c r="Z69" s="169">
        <f t="shared" si="67"/>
        <v>1474725</v>
      </c>
      <c r="AA69" s="20">
        <f t="shared" si="67"/>
        <v>9997121</v>
      </c>
      <c r="AB69" s="21">
        <f t="shared" si="67"/>
        <v>8522396</v>
      </c>
      <c r="AC69" s="169">
        <f t="shared" si="67"/>
        <v>1474725</v>
      </c>
      <c r="AD69" s="20">
        <f t="shared" si="67"/>
        <v>9997121</v>
      </c>
      <c r="AE69" s="21">
        <f t="shared" si="67"/>
        <v>6529587</v>
      </c>
      <c r="AF69" s="169">
        <f t="shared" si="67"/>
        <v>1192058</v>
      </c>
      <c r="AG69" s="20">
        <f t="shared" si="67"/>
        <v>7721645</v>
      </c>
      <c r="AH69" s="21">
        <f t="shared" si="67"/>
        <v>120783943</v>
      </c>
      <c r="AI69" s="17">
        <f t="shared" si="67"/>
        <v>120783943</v>
      </c>
      <c r="AJ69" s="18">
        <f t="shared" si="67"/>
        <v>123059419</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+IF(ABRIL!A70=0,"",ABRIL!A70)</f>
        <v>1130115-1</v>
      </c>
      <c r="B70" s="189" t="str">
        <f>+CONCATENATE("Vigencia ",INSTRUCCIONES!$F$3)</f>
        <v>Vigencia 2014</v>
      </c>
      <c r="C70" s="456">
        <f>+ENERO!C70</f>
        <v>75639118</v>
      </c>
      <c r="D70" s="456">
        <f>ABRIL!D70+MAYO!P70</f>
        <v>0</v>
      </c>
      <c r="E70" s="456">
        <f>ABRIL!E70+MAYO!Q70</f>
        <v>0</v>
      </c>
      <c r="F70" s="170">
        <f>SUM(C70:E70)</f>
        <v>75639118</v>
      </c>
      <c r="G70" s="283">
        <f>ABRIL!I70</f>
        <v>12124699</v>
      </c>
      <c r="H70" s="457">
        <v>4640258</v>
      </c>
      <c r="I70" s="170">
        <f>SUM(G70:H70)</f>
        <v>16764957</v>
      </c>
      <c r="J70" s="283">
        <f>ABRIL!L70</f>
        <v>-3035</v>
      </c>
      <c r="K70" s="457">
        <v>107000</v>
      </c>
      <c r="L70" s="170">
        <f>SUM(J70:K70)</f>
        <v>103965</v>
      </c>
      <c r="M70" s="283">
        <f>F70-I70</f>
        <v>58874161</v>
      </c>
      <c r="N70" s="170">
        <f>F70-L70</f>
        <v>75535153</v>
      </c>
      <c r="O70" s="467"/>
      <c r="P70" s="455">
        <v>0</v>
      </c>
      <c r="Q70" s="458">
        <v>0</v>
      </c>
      <c r="R70" s="10"/>
      <c r="S70" s="156" t="str">
        <f>+IF(ABRIL!S70=0,"",ABRIL!S70)</f>
        <v>1020104-1</v>
      </c>
      <c r="T70" s="55" t="str">
        <f>+IF(ABRIL!T70=0,"",ABRIL!T70)</f>
        <v xml:space="preserve">Prima de Navidad </v>
      </c>
      <c r="U70" s="29">
        <f>+ENERO!U70</f>
        <v>78694383</v>
      </c>
      <c r="V70" s="17">
        <f>ABRIL!V70+MAYO!AL70</f>
        <v>0</v>
      </c>
      <c r="W70" s="17">
        <f>ABRIL!W70+MAYO!AM70</f>
        <v>0</v>
      </c>
      <c r="X70" s="20">
        <f t="shared" ref="X70:X81" si="68">SUM(U70:W70)</f>
        <v>78694383</v>
      </c>
      <c r="Y70" s="21">
        <f>ABRIL!AA70</f>
        <v>0</v>
      </c>
      <c r="Z70" s="457">
        <v>0</v>
      </c>
      <c r="AA70" s="20">
        <f t="shared" ref="AA70:AA81" si="69">SUM(Y70:Z70)</f>
        <v>0</v>
      </c>
      <c r="AB70" s="21">
        <f>ABRIL!AD70</f>
        <v>0</v>
      </c>
      <c r="AC70" s="457">
        <v>0</v>
      </c>
      <c r="AD70" s="20">
        <f t="shared" ref="AD70:AD81" si="70">SUM(AB70:AC70)</f>
        <v>0</v>
      </c>
      <c r="AE70" s="21">
        <f>ABRIL!AG70</f>
        <v>0</v>
      </c>
      <c r="AF70" s="457">
        <v>0</v>
      </c>
      <c r="AG70" s="20">
        <f t="shared" ref="AG70:AG81" si="71">SUM(AE70:AF70)</f>
        <v>0</v>
      </c>
      <c r="AH70" s="21">
        <f t="shared" ref="AH70:AH81" si="72">X70-AA70</f>
        <v>78694383</v>
      </c>
      <c r="AI70" s="17">
        <f t="shared" ref="AI70:AI81" si="73">X70-AD70</f>
        <v>78694383</v>
      </c>
      <c r="AJ70" s="18">
        <f t="shared" ref="AJ70:AJ81" si="74">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+IF(ABRIL!A71=0,"",ABRIL!A71)</f>
        <v>1130115-2</v>
      </c>
      <c r="B71" s="189" t="str">
        <f>+IF(ABRIL!B71=0,"",ABRIL!B71)</f>
        <v>Vigencias Anteriores</v>
      </c>
      <c r="C71" s="456">
        <f>+ENERO!C71</f>
        <v>35807426</v>
      </c>
      <c r="D71" s="456">
        <f>ABRIL!D71+MAYO!P71</f>
        <v>0</v>
      </c>
      <c r="E71" s="456">
        <f>ABRIL!E71+MAYO!Q71</f>
        <v>0</v>
      </c>
      <c r="F71" s="170">
        <f>SUM(C71:E71)</f>
        <v>35807426</v>
      </c>
      <c r="G71" s="283">
        <f>ABRIL!I71</f>
        <v>21492282</v>
      </c>
      <c r="H71" s="457">
        <v>18029317</v>
      </c>
      <c r="I71" s="170">
        <f>SUM(G71:H71)</f>
        <v>39521599</v>
      </c>
      <c r="J71" s="283">
        <f>ABRIL!L71</f>
        <v>21492282</v>
      </c>
      <c r="K71" s="457">
        <v>18029317</v>
      </c>
      <c r="L71" s="170">
        <f>SUM(J71:K71)</f>
        <v>39521599</v>
      </c>
      <c r="M71" s="283">
        <f>F71-I71</f>
        <v>-3714173</v>
      </c>
      <c r="N71" s="170">
        <f>F71-L71</f>
        <v>-3714173</v>
      </c>
      <c r="O71" s="467"/>
      <c r="P71" s="455">
        <v>0</v>
      </c>
      <c r="Q71" s="458">
        <v>0</v>
      </c>
      <c r="R71" s="10"/>
      <c r="S71" s="156" t="str">
        <f>+IF(ABRIL!S71=0,"",ABRIL!S71)</f>
        <v>1020104-2</v>
      </c>
      <c r="T71" s="55" t="str">
        <f>+IF(ABRIL!T71=0,"",ABRIL!T71)</f>
        <v>Prima Vida Cara</v>
      </c>
      <c r="U71" s="29">
        <f>+ENERO!U71</f>
        <v>0</v>
      </c>
      <c r="V71" s="17">
        <f>ABRIL!V71+MAYO!AL71</f>
        <v>0</v>
      </c>
      <c r="W71" s="17">
        <f>ABRIL!W71+MAYO!AM71</f>
        <v>0</v>
      </c>
      <c r="X71" s="20">
        <f t="shared" si="68"/>
        <v>0</v>
      </c>
      <c r="Y71" s="21">
        <f>ABRIL!AA71</f>
        <v>0</v>
      </c>
      <c r="Z71" s="457">
        <v>0</v>
      </c>
      <c r="AA71" s="20">
        <f t="shared" si="69"/>
        <v>0</v>
      </c>
      <c r="AB71" s="21">
        <f>ABRIL!AD71</f>
        <v>0</v>
      </c>
      <c r="AC71" s="457">
        <v>0</v>
      </c>
      <c r="AD71" s="20">
        <f t="shared" si="70"/>
        <v>0</v>
      </c>
      <c r="AE71" s="21">
        <f>ABRIL!AG71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+IF(ABRIL!A72=0,"",ABRIL!A72)</f>
        <v>1130116</v>
      </c>
      <c r="B72" s="45" t="str">
        <f>+IF(ABRIL!B72=0,"",ABRIL!B72)</f>
        <v>ADMINISTRADORAS DE RIESGOS PROFESIONALES</v>
      </c>
      <c r="C72" s="53">
        <f t="shared" ref="C72:N72" si="75">SUM(C73:C74)</f>
        <v>17675457</v>
      </c>
      <c r="D72" s="53">
        <f t="shared" si="75"/>
        <v>0</v>
      </c>
      <c r="E72" s="53">
        <f t="shared" si="75"/>
        <v>0</v>
      </c>
      <c r="F72" s="54">
        <f t="shared" si="75"/>
        <v>17675457</v>
      </c>
      <c r="G72" s="52">
        <f t="shared" si="75"/>
        <v>7723043</v>
      </c>
      <c r="H72" s="53">
        <f t="shared" si="75"/>
        <v>2154322</v>
      </c>
      <c r="I72" s="54">
        <f t="shared" si="75"/>
        <v>9877365</v>
      </c>
      <c r="J72" s="52">
        <f t="shared" si="75"/>
        <v>3711287</v>
      </c>
      <c r="K72" s="53">
        <f t="shared" si="75"/>
        <v>1513664</v>
      </c>
      <c r="L72" s="54">
        <f t="shared" si="75"/>
        <v>5224951</v>
      </c>
      <c r="M72" s="52">
        <f t="shared" si="75"/>
        <v>7798092</v>
      </c>
      <c r="N72" s="54">
        <f t="shared" si="75"/>
        <v>12450506</v>
      </c>
      <c r="P72" s="52">
        <f>SUM(P73:P74)</f>
        <v>0</v>
      </c>
      <c r="Q72" s="54">
        <f>SUM(Q73:Q74)</f>
        <v>0</v>
      </c>
      <c r="R72" s="10"/>
      <c r="S72" s="156" t="str">
        <f>+IF(ABRIL!S72=0,"",ABRIL!S72)</f>
        <v>1020104-3</v>
      </c>
      <c r="T72" s="55" t="str">
        <f>+IF(ABRIL!T72=0,"",ABRIL!T72)</f>
        <v>Prima de Vacaciones</v>
      </c>
      <c r="U72" s="29">
        <f>+ENERO!U72</f>
        <v>37546299</v>
      </c>
      <c r="V72" s="17">
        <f>ABRIL!V72+MAYO!AL72</f>
        <v>0</v>
      </c>
      <c r="W72" s="17">
        <f>ABRIL!W72+MAYO!AM72</f>
        <v>0</v>
      </c>
      <c r="X72" s="20">
        <f t="shared" si="68"/>
        <v>37546299</v>
      </c>
      <c r="Y72" s="21">
        <f>ABRIL!AA72</f>
        <v>6582563</v>
      </c>
      <c r="Z72" s="457">
        <v>1015924</v>
      </c>
      <c r="AA72" s="20">
        <f t="shared" si="69"/>
        <v>7598487</v>
      </c>
      <c r="AB72" s="21">
        <f>ABRIL!AD72</f>
        <v>6582563</v>
      </c>
      <c r="AC72" s="457">
        <v>1015924</v>
      </c>
      <c r="AD72" s="20">
        <f t="shared" si="70"/>
        <v>7598487</v>
      </c>
      <c r="AE72" s="21">
        <f>ABRIL!AG72</f>
        <v>4824202</v>
      </c>
      <c r="AF72" s="457">
        <v>766512</v>
      </c>
      <c r="AG72" s="20">
        <f t="shared" si="71"/>
        <v>5590714</v>
      </c>
      <c r="AH72" s="21">
        <f t="shared" si="72"/>
        <v>29947812</v>
      </c>
      <c r="AI72" s="17">
        <f t="shared" si="73"/>
        <v>29947812</v>
      </c>
      <c r="AJ72" s="18">
        <f t="shared" si="74"/>
        <v>31955585</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+IF(ABRIL!A73=0,"",ABRIL!A73)</f>
        <v>1130116-1</v>
      </c>
      <c r="B73" s="189" t="str">
        <f>+CONCATENATE("Vigencia ",INSTRUCCIONES!$F$3)</f>
        <v>Vigencia 2014</v>
      </c>
      <c r="C73" s="456">
        <f>+ENERO!C73</f>
        <v>13187137</v>
      </c>
      <c r="D73" s="456">
        <f>ABRIL!D73+MAYO!P73</f>
        <v>0</v>
      </c>
      <c r="E73" s="456">
        <f>ABRIL!E73+MAYO!Q73</f>
        <v>0</v>
      </c>
      <c r="F73" s="170">
        <f>SUM(C73:E73)</f>
        <v>13187137</v>
      </c>
      <c r="G73" s="283">
        <f>ABRIL!I73</f>
        <v>5170342</v>
      </c>
      <c r="H73" s="457">
        <v>2078992</v>
      </c>
      <c r="I73" s="170">
        <f>SUM(G73:H73)</f>
        <v>7249334</v>
      </c>
      <c r="J73" s="283">
        <f>ABRIL!L73</f>
        <v>1158586</v>
      </c>
      <c r="K73" s="457">
        <v>1438334</v>
      </c>
      <c r="L73" s="170">
        <f>SUM(J73:K73)</f>
        <v>2596920</v>
      </c>
      <c r="M73" s="283">
        <f>F73-I73</f>
        <v>5937803</v>
      </c>
      <c r="N73" s="170">
        <f>F73-L73</f>
        <v>10590217</v>
      </c>
      <c r="O73" s="467"/>
      <c r="P73" s="455">
        <v>0</v>
      </c>
      <c r="Q73" s="458">
        <v>0</v>
      </c>
      <c r="R73" s="10"/>
      <c r="S73" s="156" t="str">
        <f>+IF(ABRIL!S73=0,"",ABRIL!S73)</f>
        <v>1020104-4</v>
      </c>
      <c r="T73" s="55" t="str">
        <f>+IF(ABRIL!T73=0,"",ABRIL!T73)</f>
        <v>Prima Clima</v>
      </c>
      <c r="U73" s="29">
        <f>+ENERO!U73</f>
        <v>0</v>
      </c>
      <c r="V73" s="17">
        <f>ABRIL!V73+MAYO!AL73</f>
        <v>0</v>
      </c>
      <c r="W73" s="17">
        <f>ABRIL!W73+MAYO!AM73</f>
        <v>0</v>
      </c>
      <c r="X73" s="20">
        <f t="shared" si="68"/>
        <v>0</v>
      </c>
      <c r="Y73" s="21">
        <f>ABRIL!AA73</f>
        <v>0</v>
      </c>
      <c r="Z73" s="457">
        <v>0</v>
      </c>
      <c r="AA73" s="20">
        <f t="shared" si="69"/>
        <v>0</v>
      </c>
      <c r="AB73" s="21">
        <f>ABRIL!AD73</f>
        <v>0</v>
      </c>
      <c r="AC73" s="457">
        <v>0</v>
      </c>
      <c r="AD73" s="20">
        <f t="shared" si="70"/>
        <v>0</v>
      </c>
      <c r="AE73" s="21">
        <f>ABRIL!AG73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+IF(ABRIL!A74=0,"",ABRIL!A74)</f>
        <v>1130116-2</v>
      </c>
      <c r="B74" s="189" t="str">
        <f>+IF(ABRIL!B74=0,"",ABRIL!B74)</f>
        <v>Vigencias Anteriores</v>
      </c>
      <c r="C74" s="456">
        <f>+ENERO!C74</f>
        <v>4488320</v>
      </c>
      <c r="D74" s="456">
        <f>ABRIL!D74+MAYO!P74</f>
        <v>0</v>
      </c>
      <c r="E74" s="456">
        <f>ABRIL!E74+MAYO!Q74</f>
        <v>0</v>
      </c>
      <c r="F74" s="170">
        <f>SUM(C74:E74)</f>
        <v>4488320</v>
      </c>
      <c r="G74" s="283">
        <f>ABRIL!I74</f>
        <v>2552701</v>
      </c>
      <c r="H74" s="457">
        <v>75330</v>
      </c>
      <c r="I74" s="170">
        <f>SUM(G74:H74)</f>
        <v>2628031</v>
      </c>
      <c r="J74" s="283">
        <f>ABRIL!L74</f>
        <v>2552701</v>
      </c>
      <c r="K74" s="457">
        <v>75330</v>
      </c>
      <c r="L74" s="170">
        <f>SUM(J74:K74)</f>
        <v>2628031</v>
      </c>
      <c r="M74" s="283">
        <f>F74-I74</f>
        <v>1860289</v>
      </c>
      <c r="N74" s="170">
        <f>F74-L74</f>
        <v>1860289</v>
      </c>
      <c r="O74" s="467"/>
      <c r="P74" s="455">
        <v>0</v>
      </c>
      <c r="Q74" s="458">
        <v>0</v>
      </c>
      <c r="R74" s="10"/>
      <c r="S74" s="156" t="str">
        <f>+IF(ABRIL!S74=0,"",ABRIL!S74)</f>
        <v>1020104-5</v>
      </c>
      <c r="T74" s="55" t="str">
        <f>+IF(ABRIL!T74=0,"",ABRIL!T74)</f>
        <v>Prima de Servicios</v>
      </c>
      <c r="U74" s="29">
        <f>+ENERO!U74</f>
        <v>5675116</v>
      </c>
      <c r="V74" s="17">
        <f>ABRIL!V74+MAYO!AL74</f>
        <v>0</v>
      </c>
      <c r="W74" s="17">
        <f>ABRIL!W74+MAYO!AM74</f>
        <v>0</v>
      </c>
      <c r="X74" s="20">
        <f t="shared" si="68"/>
        <v>5675116</v>
      </c>
      <c r="Y74" s="21">
        <f>ABRIL!AA74</f>
        <v>0</v>
      </c>
      <c r="Z74" s="457">
        <v>0</v>
      </c>
      <c r="AA74" s="20">
        <f t="shared" si="69"/>
        <v>0</v>
      </c>
      <c r="AB74" s="21">
        <f>ABRIL!AD74</f>
        <v>0</v>
      </c>
      <c r="AC74" s="457">
        <v>0</v>
      </c>
      <c r="AD74" s="20">
        <f t="shared" si="70"/>
        <v>0</v>
      </c>
      <c r="AE74" s="21">
        <f>ABRIL!AG74</f>
        <v>0</v>
      </c>
      <c r="AF74" s="457">
        <v>0</v>
      </c>
      <c r="AG74" s="20">
        <f t="shared" si="71"/>
        <v>0</v>
      </c>
      <c r="AH74" s="21">
        <f t="shared" si="72"/>
        <v>5675116</v>
      </c>
      <c r="AI74" s="17">
        <f t="shared" si="73"/>
        <v>5675116</v>
      </c>
      <c r="AJ74" s="18">
        <f t="shared" si="74"/>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+IF(ABRIL!A75=0,"",ABRIL!A75)</f>
        <v>1130117</v>
      </c>
      <c r="B75" s="45" t="str">
        <f>+IF(ABRIL!B75=0,"",ABRIL!B75)</f>
        <v>CUOTAS DE RECUPERACION</v>
      </c>
      <c r="C75" s="53">
        <f t="shared" ref="C75:N75" si="76">SUM(C76:C77)</f>
        <v>1100000</v>
      </c>
      <c r="D75" s="53">
        <f t="shared" si="76"/>
        <v>0</v>
      </c>
      <c r="E75" s="53">
        <f t="shared" si="76"/>
        <v>0</v>
      </c>
      <c r="F75" s="54">
        <f t="shared" si="76"/>
        <v>1100000</v>
      </c>
      <c r="G75" s="52">
        <f t="shared" si="76"/>
        <v>32025005</v>
      </c>
      <c r="H75" s="53">
        <f t="shared" si="76"/>
        <v>835000</v>
      </c>
      <c r="I75" s="54">
        <f t="shared" si="76"/>
        <v>32860005</v>
      </c>
      <c r="J75" s="52">
        <f t="shared" si="76"/>
        <v>32025005</v>
      </c>
      <c r="K75" s="53">
        <f t="shared" si="76"/>
        <v>835000</v>
      </c>
      <c r="L75" s="54">
        <f t="shared" si="76"/>
        <v>32860005</v>
      </c>
      <c r="M75" s="52">
        <f t="shared" si="76"/>
        <v>-31760005</v>
      </c>
      <c r="N75" s="54">
        <f t="shared" si="76"/>
        <v>-31760005</v>
      </c>
      <c r="P75" s="52">
        <f>SUM(P76:P77)</f>
        <v>0</v>
      </c>
      <c r="Q75" s="54">
        <f>SUM(Q76:Q77)</f>
        <v>0</v>
      </c>
      <c r="R75" s="10"/>
      <c r="S75" s="156" t="str">
        <f>+IF(ABRIL!S75=0,"",ABRIL!S75)</f>
        <v>1020104-8</v>
      </c>
      <c r="T75" s="55" t="str">
        <f>+IF(ABRIL!T75=0,"",ABRIL!T75)</f>
        <v>Bonific. por Servicios Prestados (Convencional)</v>
      </c>
      <c r="U75" s="29">
        <f>+ENERO!U75</f>
        <v>0</v>
      </c>
      <c r="V75" s="17">
        <f>ABRIL!V75+MAYO!AL75</f>
        <v>0</v>
      </c>
      <c r="W75" s="17">
        <f>ABRIL!W75+MAYO!AM75</f>
        <v>0</v>
      </c>
      <c r="X75" s="20">
        <f t="shared" si="68"/>
        <v>0</v>
      </c>
      <c r="Y75" s="21">
        <f>ABRIL!AA75</f>
        <v>0</v>
      </c>
      <c r="Z75" s="457">
        <v>0</v>
      </c>
      <c r="AA75" s="20">
        <f t="shared" si="69"/>
        <v>0</v>
      </c>
      <c r="AB75" s="21">
        <f>ABRIL!AD75</f>
        <v>0</v>
      </c>
      <c r="AC75" s="457">
        <v>0</v>
      </c>
      <c r="AD75" s="20">
        <f t="shared" si="70"/>
        <v>0</v>
      </c>
      <c r="AE75" s="21">
        <f>ABRIL!AG75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+IF(ABRIL!A76=0,"",ABRIL!A76)</f>
        <v>1130117-1</v>
      </c>
      <c r="B76" s="189" t="str">
        <f>+CONCATENATE("Vigencia ",INSTRUCCIONES!$F$3)</f>
        <v>Vigencia 2014</v>
      </c>
      <c r="C76" s="456">
        <f>+ENERO!C76</f>
        <v>1100000</v>
      </c>
      <c r="D76" s="456">
        <f>ABRIL!D76+MAYO!P76</f>
        <v>0</v>
      </c>
      <c r="E76" s="456">
        <f>ABRIL!E76+MAYO!Q76</f>
        <v>0</v>
      </c>
      <c r="F76" s="170">
        <f t="shared" ref="F76:F83" si="77">SUM(C76:E76)</f>
        <v>1100000</v>
      </c>
      <c r="G76" s="283">
        <f>ABRIL!I76</f>
        <v>32025005</v>
      </c>
      <c r="H76" s="457">
        <v>835000</v>
      </c>
      <c r="I76" s="170">
        <f t="shared" ref="I76:I83" si="78">SUM(G76:H76)</f>
        <v>32860005</v>
      </c>
      <c r="J76" s="283">
        <f>ABRIL!L76</f>
        <v>32025005</v>
      </c>
      <c r="K76" s="457">
        <v>835000</v>
      </c>
      <c r="L76" s="170">
        <f t="shared" ref="L76:L83" si="79">SUM(J76:K76)</f>
        <v>32860005</v>
      </c>
      <c r="M76" s="283">
        <f t="shared" ref="M76:M83" si="80">F76-I76</f>
        <v>-31760005</v>
      </c>
      <c r="N76" s="170">
        <f t="shared" ref="N76:N83" si="81">F76-L76</f>
        <v>-31760005</v>
      </c>
      <c r="O76" s="467"/>
      <c r="P76" s="455">
        <v>0</v>
      </c>
      <c r="Q76" s="458">
        <v>0</v>
      </c>
      <c r="R76" s="10"/>
      <c r="S76" s="156" t="str">
        <f>+IF(ABRIL!S76=0,"",ABRIL!S76)</f>
        <v>1020104-9</v>
      </c>
      <c r="T76" s="55" t="str">
        <f>+IF(ABRIL!T76=0,"",ABRIL!T76)</f>
        <v>Auxilio de Transporte</v>
      </c>
      <c r="U76" s="29">
        <f>+ENERO!U76</f>
        <v>0</v>
      </c>
      <c r="V76" s="17">
        <f>ABRIL!V76+MAYO!AL76</f>
        <v>0</v>
      </c>
      <c r="W76" s="17">
        <f>ABRIL!W76+MAYO!AM76</f>
        <v>0</v>
      </c>
      <c r="X76" s="20">
        <f t="shared" si="68"/>
        <v>0</v>
      </c>
      <c r="Y76" s="21">
        <f>ABRIL!AA76</f>
        <v>0</v>
      </c>
      <c r="Z76" s="457">
        <v>0</v>
      </c>
      <c r="AA76" s="20">
        <f t="shared" si="69"/>
        <v>0</v>
      </c>
      <c r="AB76" s="21">
        <f>ABRIL!AD76</f>
        <v>0</v>
      </c>
      <c r="AC76" s="457">
        <v>0</v>
      </c>
      <c r="AD76" s="20">
        <f t="shared" si="70"/>
        <v>0</v>
      </c>
      <c r="AE76" s="21">
        <f>ABRIL!AG76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+IF(ABRIL!A77=0,"",ABRIL!A77)</f>
        <v>1130117-2</v>
      </c>
      <c r="B77" s="189" t="str">
        <f>+IF(ABRIL!B77=0,"",ABRIL!B77)</f>
        <v>Vigencias Anteriores</v>
      </c>
      <c r="C77" s="456">
        <f>+ENERO!C77</f>
        <v>0</v>
      </c>
      <c r="D77" s="456">
        <f>ABRIL!D77+MAYO!P77</f>
        <v>0</v>
      </c>
      <c r="E77" s="456">
        <f>ABRIL!E77+MAYO!Q77</f>
        <v>0</v>
      </c>
      <c r="F77" s="170">
        <f t="shared" si="77"/>
        <v>0</v>
      </c>
      <c r="G77" s="283">
        <f>ABRIL!I77</f>
        <v>0</v>
      </c>
      <c r="H77" s="457">
        <v>0</v>
      </c>
      <c r="I77" s="170">
        <f t="shared" si="78"/>
        <v>0</v>
      </c>
      <c r="J77" s="283">
        <f>ABRIL!L77</f>
        <v>0</v>
      </c>
      <c r="K77" s="457">
        <v>0</v>
      </c>
      <c r="L77" s="170">
        <f t="shared" si="79"/>
        <v>0</v>
      </c>
      <c r="M77" s="283">
        <f t="shared" si="80"/>
        <v>0</v>
      </c>
      <c r="N77" s="170">
        <f t="shared" si="81"/>
        <v>0</v>
      </c>
      <c r="O77" s="467"/>
      <c r="P77" s="455">
        <v>0</v>
      </c>
      <c r="Q77" s="458">
        <v>0</v>
      </c>
      <c r="R77" s="10"/>
      <c r="S77" s="156" t="str">
        <f>+IF(ABRIL!S77=0,"",ABRIL!S77)</f>
        <v>1020104-10</v>
      </c>
      <c r="T77" s="55" t="str">
        <f>+IF(ABRIL!T77=0,"",ABRIL!T77)</f>
        <v>Subsidio de Alimentación</v>
      </c>
      <c r="U77" s="29">
        <f>+ENERO!U77</f>
        <v>3859093</v>
      </c>
      <c r="V77" s="17">
        <f>ABRIL!V77+MAYO!AL77</f>
        <v>0</v>
      </c>
      <c r="W77" s="17">
        <f>ABRIL!W77+MAYO!AM77</f>
        <v>0</v>
      </c>
      <c r="X77" s="20">
        <f t="shared" si="68"/>
        <v>3859093</v>
      </c>
      <c r="Y77" s="21">
        <f>ABRIL!AA77</f>
        <v>1067035</v>
      </c>
      <c r="Z77" s="457">
        <v>323344</v>
      </c>
      <c r="AA77" s="20">
        <f t="shared" si="69"/>
        <v>1390379</v>
      </c>
      <c r="AB77" s="21">
        <f>ABRIL!AD77</f>
        <v>1067035</v>
      </c>
      <c r="AC77" s="457">
        <v>323344</v>
      </c>
      <c r="AD77" s="20">
        <f t="shared" si="70"/>
        <v>1390379</v>
      </c>
      <c r="AE77" s="21">
        <f>ABRIL!AG77</f>
        <v>1067035</v>
      </c>
      <c r="AF77" s="457">
        <v>323344</v>
      </c>
      <c r="AG77" s="20">
        <f t="shared" si="71"/>
        <v>1390379</v>
      </c>
      <c r="AH77" s="21">
        <f t="shared" si="72"/>
        <v>2468714</v>
      </c>
      <c r="AI77" s="17">
        <f t="shared" si="73"/>
        <v>2468714</v>
      </c>
      <c r="AJ77" s="18">
        <f t="shared" si="74"/>
        <v>2468714</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+IF(ABRIL!A78=0,"",ABRIL!A78)</f>
        <v>1130118</v>
      </c>
      <c r="B78" s="45" t="str">
        <f>+IF(ABRIL!B78=0,"",ABRIL!B78)</f>
        <v>PARTICULARES   (Venta de Contado)</v>
      </c>
      <c r="C78" s="53">
        <f>SUM(C79:C80)</f>
        <v>81679743</v>
      </c>
      <c r="D78" s="53">
        <f>SUM(D79:D80)</f>
        <v>0</v>
      </c>
      <c r="E78" s="53">
        <f>SUM(E79:E80)</f>
        <v>0</v>
      </c>
      <c r="F78" s="54">
        <f t="shared" si="77"/>
        <v>81679743</v>
      </c>
      <c r="G78" s="52">
        <f>SUM(G79:G80)</f>
        <v>4922909</v>
      </c>
      <c r="H78" s="53">
        <f>SUM(H79:H80)</f>
        <v>6588248</v>
      </c>
      <c r="I78" s="54">
        <f t="shared" si="78"/>
        <v>11511157</v>
      </c>
      <c r="J78" s="52">
        <f>SUM(J79:J80)</f>
        <v>4407631</v>
      </c>
      <c r="K78" s="53">
        <f>SUM(K79:K80)</f>
        <v>6721982</v>
      </c>
      <c r="L78" s="54">
        <f t="shared" si="79"/>
        <v>11129613</v>
      </c>
      <c r="M78" s="52">
        <f t="shared" si="80"/>
        <v>70168586</v>
      </c>
      <c r="N78" s="54">
        <f t="shared" si="81"/>
        <v>70550130</v>
      </c>
      <c r="O78" s="467"/>
      <c r="P78" s="52">
        <f>SUM(P79:P80)</f>
        <v>0</v>
      </c>
      <c r="Q78" s="54">
        <f>SUM(Q79:Q80)</f>
        <v>0</v>
      </c>
      <c r="R78" s="10"/>
      <c r="S78" s="156" t="str">
        <f>+IF(ABRIL!S78=0,"",ABRIL!S78)</f>
        <v>1020104-12</v>
      </c>
      <c r="T78" s="55" t="str">
        <f>+IF(ABRIL!T78=0,"",ABRIL!T78)</f>
        <v>Indemnizaciones por Vacaciones o Supresión de Cargos por Reestructuración</v>
      </c>
      <c r="U78" s="29">
        <f>+ENERO!U78</f>
        <v>0</v>
      </c>
      <c r="V78" s="17">
        <f>ABRIL!V78+MAYO!AL78</f>
        <v>0</v>
      </c>
      <c r="W78" s="17">
        <f>ABRIL!W78+MAYO!AM78</f>
        <v>0</v>
      </c>
      <c r="X78" s="20">
        <f t="shared" si="68"/>
        <v>0</v>
      </c>
      <c r="Y78" s="21">
        <f>ABRIL!AA78</f>
        <v>0</v>
      </c>
      <c r="Z78" s="457">
        <v>0</v>
      </c>
      <c r="AA78" s="20">
        <f t="shared" si="69"/>
        <v>0</v>
      </c>
      <c r="AB78" s="21">
        <f>ABRIL!AD78</f>
        <v>0</v>
      </c>
      <c r="AC78" s="457">
        <v>0</v>
      </c>
      <c r="AD78" s="20">
        <f t="shared" si="70"/>
        <v>0</v>
      </c>
      <c r="AE78" s="21">
        <f>ABRIL!AG78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+IF(ABRIL!A79=0,"",ABRIL!A79)</f>
        <v>1130118-1</v>
      </c>
      <c r="B79" s="189" t="str">
        <f>+CONCATENATE("Vigencia ",INSTRUCCIONES!$F$3)</f>
        <v>Vigencia 2014</v>
      </c>
      <c r="C79" s="456">
        <f>+ENERO!C79</f>
        <v>81679743</v>
      </c>
      <c r="D79" s="456">
        <f>ABRIL!D79+MAYO!P79</f>
        <v>0</v>
      </c>
      <c r="E79" s="456">
        <f>ABRIL!E79+MAYO!Q79</f>
        <v>0</v>
      </c>
      <c r="F79" s="170">
        <f t="shared" si="77"/>
        <v>81679743</v>
      </c>
      <c r="G79" s="283">
        <f>ABRIL!I79</f>
        <v>4922909</v>
      </c>
      <c r="H79" s="457">
        <v>6588248</v>
      </c>
      <c r="I79" s="170">
        <f t="shared" si="78"/>
        <v>11511157</v>
      </c>
      <c r="J79" s="283">
        <f>ABRIL!L79</f>
        <v>4407631</v>
      </c>
      <c r="K79" s="457">
        <v>6721982</v>
      </c>
      <c r="L79" s="170">
        <f t="shared" si="79"/>
        <v>11129613</v>
      </c>
      <c r="M79" s="283">
        <f t="shared" si="80"/>
        <v>70168586</v>
      </c>
      <c r="N79" s="170">
        <f t="shared" si="81"/>
        <v>70550130</v>
      </c>
      <c r="P79" s="455">
        <v>0</v>
      </c>
      <c r="Q79" s="458">
        <v>0</v>
      </c>
      <c r="R79" s="10"/>
      <c r="S79" s="156" t="str">
        <f>+IF(ABRIL!S79=0,"",ABRIL!S79)</f>
        <v>1020104-13</v>
      </c>
      <c r="T79" s="55" t="str">
        <f>+IF(ABRIL!T79=0,"",ABRIL!T79)</f>
        <v>Bonificación Especial por Recreación</v>
      </c>
      <c r="U79" s="29">
        <f>+ENERO!U79</f>
        <v>5006173</v>
      </c>
      <c r="V79" s="17">
        <f>ABRIL!V79+MAYO!AL79</f>
        <v>0</v>
      </c>
      <c r="W79" s="17">
        <f>ABRIL!W79+MAYO!AM79</f>
        <v>0</v>
      </c>
      <c r="X79" s="20">
        <f t="shared" si="68"/>
        <v>5006173</v>
      </c>
      <c r="Y79" s="21">
        <f>ABRIL!AA79</f>
        <v>872798</v>
      </c>
      <c r="Z79" s="457">
        <v>135457</v>
      </c>
      <c r="AA79" s="20">
        <f t="shared" si="69"/>
        <v>1008255</v>
      </c>
      <c r="AB79" s="21">
        <f>ABRIL!AD79</f>
        <v>872798</v>
      </c>
      <c r="AC79" s="457">
        <v>135457</v>
      </c>
      <c r="AD79" s="20">
        <f t="shared" si="70"/>
        <v>1008255</v>
      </c>
      <c r="AE79" s="21">
        <f>ABRIL!AG79</f>
        <v>638350</v>
      </c>
      <c r="AF79" s="457">
        <v>102202</v>
      </c>
      <c r="AG79" s="20">
        <f t="shared" si="71"/>
        <v>740552</v>
      </c>
      <c r="AH79" s="21">
        <f t="shared" si="72"/>
        <v>3997918</v>
      </c>
      <c r="AI79" s="17">
        <f t="shared" si="73"/>
        <v>3997918</v>
      </c>
      <c r="AJ79" s="18">
        <f t="shared" si="74"/>
        <v>4265621</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+IF(ABRIL!A80=0,"",ABRIL!A80)</f>
        <v>1130118-2</v>
      </c>
      <c r="B80" s="189" t="str">
        <f>+IF(ABRIL!B80=0,"",ABRIL!B80)</f>
        <v>Vigencias Anteriores</v>
      </c>
      <c r="C80" s="456">
        <f>+ENERO!C80</f>
        <v>0</v>
      </c>
      <c r="D80" s="456">
        <f>ABRIL!D80+MAYO!P80</f>
        <v>0</v>
      </c>
      <c r="E80" s="456">
        <f>ABRIL!E80+MAYO!Q80</f>
        <v>0</v>
      </c>
      <c r="F80" s="170">
        <f t="shared" si="77"/>
        <v>0</v>
      </c>
      <c r="G80" s="283">
        <f>ABRIL!I80</f>
        <v>0</v>
      </c>
      <c r="H80" s="457">
        <v>0</v>
      </c>
      <c r="I80" s="170">
        <f t="shared" si="78"/>
        <v>0</v>
      </c>
      <c r="J80" s="283">
        <f>ABRIL!L80</f>
        <v>0</v>
      </c>
      <c r="K80" s="457">
        <v>0</v>
      </c>
      <c r="L80" s="170">
        <f t="shared" si="79"/>
        <v>0</v>
      </c>
      <c r="M80" s="283">
        <f t="shared" si="80"/>
        <v>0</v>
      </c>
      <c r="N80" s="170">
        <f t="shared" si="81"/>
        <v>0</v>
      </c>
      <c r="O80" s="467"/>
      <c r="P80" s="455">
        <v>0</v>
      </c>
      <c r="Q80" s="458">
        <v>0</v>
      </c>
      <c r="S80" s="156" t="str">
        <f>+IF(ABRIL!S80=0,"",ABRIL!S80)</f>
        <v>1020104-14</v>
      </c>
      <c r="T80" s="55" t="str">
        <f>+IF(ABRIL!T80=0,"",ABRIL!T80)</f>
        <v/>
      </c>
      <c r="U80" s="29">
        <f>+ENERO!U80</f>
        <v>0</v>
      </c>
      <c r="V80" s="17">
        <f>ABRIL!V80+MAYO!AL80</f>
        <v>0</v>
      </c>
      <c r="W80" s="17">
        <f>ABRIL!W80+MAYO!AM80</f>
        <v>0</v>
      </c>
      <c r="X80" s="20">
        <f t="shared" si="68"/>
        <v>0</v>
      </c>
      <c r="Y80" s="21">
        <f>ABRIL!AA80</f>
        <v>0</v>
      </c>
      <c r="Z80" s="457">
        <v>0</v>
      </c>
      <c r="AA80" s="20">
        <f t="shared" si="69"/>
        <v>0</v>
      </c>
      <c r="AB80" s="21">
        <f>ABRIL!AD80</f>
        <v>0</v>
      </c>
      <c r="AC80" s="457">
        <v>0</v>
      </c>
      <c r="AD80" s="20">
        <f t="shared" si="70"/>
        <v>0</v>
      </c>
      <c r="AE80" s="21">
        <f>ABRIL!AG80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x14ac:dyDescent="0.2">
      <c r="A81" s="57">
        <f>+IF(ABRIL!A81=0,"",ABRIL!A81)</f>
        <v>1130119</v>
      </c>
      <c r="B81" s="45" t="str">
        <f>+IF(ABRIL!B81=0,"",ABRIL!B81)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+IF(ABRIL!S81=0,"",ABRIL!S81)</f>
        <v>1020199</v>
      </c>
      <c r="T81" s="159" t="str">
        <f>+IF(ABRIL!T81=0,"",ABRIL!T81)</f>
        <v>Vigencias Anteriores</v>
      </c>
      <c r="U81" s="29">
        <f>+ENERO!U81</f>
        <v>8738114</v>
      </c>
      <c r="V81" s="17">
        <f>ABRIL!V81+MAYO!AL81</f>
        <v>5657703</v>
      </c>
      <c r="W81" s="17">
        <f>ABRIL!W81+MAYO!AM81</f>
        <v>8749212</v>
      </c>
      <c r="X81" s="20">
        <f t="shared" si="68"/>
        <v>23145029</v>
      </c>
      <c r="Y81" s="21">
        <f>ABRIL!AA81</f>
        <v>22680029</v>
      </c>
      <c r="Z81" s="457">
        <v>0</v>
      </c>
      <c r="AA81" s="20">
        <f t="shared" si="69"/>
        <v>22680029</v>
      </c>
      <c r="AB81" s="21">
        <f>ABRIL!AD81</f>
        <v>22680029</v>
      </c>
      <c r="AC81" s="457">
        <v>0</v>
      </c>
      <c r="AD81" s="20">
        <f t="shared" si="70"/>
        <v>22680029</v>
      </c>
      <c r="AE81" s="21">
        <f>ABRIL!AG81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+IF(ABRIL!A82=0,"",ABRIL!A82)</f>
        <v>1130119-1</v>
      </c>
      <c r="B82" s="189" t="str">
        <f>+CONCATENATE("Vigencia ",INSTRUCCIONES!$F$3)</f>
        <v>Vigencia 2014</v>
      </c>
      <c r="C82" s="456">
        <f>+ENERO!C82</f>
        <v>0</v>
      </c>
      <c r="D82" s="456">
        <f>ABRIL!D82+MAYO!P82</f>
        <v>0</v>
      </c>
      <c r="E82" s="456">
        <f>ABRIL!E82+MAYO!Q82</f>
        <v>0</v>
      </c>
      <c r="F82" s="170">
        <f t="shared" si="77"/>
        <v>0</v>
      </c>
      <c r="G82" s="283">
        <f>ABRIL!I82</f>
        <v>0</v>
      </c>
      <c r="H82" s="457">
        <v>0</v>
      </c>
      <c r="I82" s="170">
        <f t="shared" si="78"/>
        <v>0</v>
      </c>
      <c r="J82" s="283">
        <f>ABRIL!L82</f>
        <v>0</v>
      </c>
      <c r="K82" s="457">
        <v>0</v>
      </c>
      <c r="L82" s="170">
        <f t="shared" si="79"/>
        <v>0</v>
      </c>
      <c r="M82" s="283">
        <f t="shared" si="80"/>
        <v>0</v>
      </c>
      <c r="N82" s="170">
        <f t="shared" si="81"/>
        <v>0</v>
      </c>
      <c r="P82" s="455">
        <v>0</v>
      </c>
      <c r="Q82" s="458">
        <v>0</v>
      </c>
      <c r="R82" s="10"/>
      <c r="S82" s="448" t="str">
        <f>+IF(ABRIL!S82=0,"",ABRIL!S82)</f>
        <v/>
      </c>
      <c r="T82" s="649" t="str">
        <f>+IF(ABRIL!T82=0,"",ABRIL!T82)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+IF(ABRIL!A83=0,"",ABRIL!A83)</f>
        <v>1130119-2</v>
      </c>
      <c r="B83" s="189" t="str">
        <f>+IF(ABRIL!B83=0,"",ABRIL!B83)</f>
        <v>Vigencias Anteriores</v>
      </c>
      <c r="C83" s="456">
        <f>+ENERO!C83</f>
        <v>0</v>
      </c>
      <c r="D83" s="456">
        <f>ABRIL!D83+MAYO!P83</f>
        <v>0</v>
      </c>
      <c r="E83" s="456">
        <f>ABRIL!E83+MAYO!Q83</f>
        <v>0</v>
      </c>
      <c r="F83" s="170">
        <f t="shared" si="77"/>
        <v>0</v>
      </c>
      <c r="G83" s="283">
        <f>ABRIL!I83</f>
        <v>0</v>
      </c>
      <c r="H83" s="457">
        <v>0</v>
      </c>
      <c r="I83" s="170">
        <f t="shared" si="78"/>
        <v>0</v>
      </c>
      <c r="J83" s="283">
        <f>ABRIL!L83</f>
        <v>0</v>
      </c>
      <c r="K83" s="457">
        <v>0</v>
      </c>
      <c r="L83" s="170">
        <f t="shared" si="79"/>
        <v>0</v>
      </c>
      <c r="M83" s="283">
        <f t="shared" si="80"/>
        <v>0</v>
      </c>
      <c r="N83" s="170">
        <f t="shared" si="81"/>
        <v>0</v>
      </c>
      <c r="P83" s="455">
        <v>0</v>
      </c>
      <c r="Q83" s="458">
        <v>0</v>
      </c>
      <c r="R83" s="10"/>
      <c r="S83" s="34">
        <f>+IF(ABRIL!S83=0,"",ABRIL!S83)</f>
        <v>1020200</v>
      </c>
      <c r="T83" s="158" t="str">
        <f>+IF(ABRIL!T83=0,"",ABRIL!T83)</f>
        <v>Servicios Personales Indirectos</v>
      </c>
      <c r="U83" s="157">
        <f t="shared" ref="U83:AJ83" si="83">SUM(U84:U88)</f>
        <v>71000000</v>
      </c>
      <c r="V83" s="144">
        <f t="shared" si="83"/>
        <v>0</v>
      </c>
      <c r="W83" s="144">
        <f t="shared" si="83"/>
        <v>4687311</v>
      </c>
      <c r="X83" s="152">
        <f t="shared" si="83"/>
        <v>75687311</v>
      </c>
      <c r="Y83" s="151">
        <f t="shared" si="83"/>
        <v>21891192</v>
      </c>
      <c r="Z83" s="144">
        <f t="shared" si="83"/>
        <v>2283416</v>
      </c>
      <c r="AA83" s="152">
        <f t="shared" si="83"/>
        <v>24174608</v>
      </c>
      <c r="AB83" s="151">
        <f t="shared" si="83"/>
        <v>21890392</v>
      </c>
      <c r="AC83" s="144">
        <f t="shared" si="83"/>
        <v>2283416</v>
      </c>
      <c r="AD83" s="152">
        <f t="shared" si="83"/>
        <v>24173808</v>
      </c>
      <c r="AE83" s="151">
        <f t="shared" si="83"/>
        <v>16810889</v>
      </c>
      <c r="AF83" s="144">
        <f t="shared" si="83"/>
        <v>421400</v>
      </c>
      <c r="AG83" s="152">
        <f t="shared" si="83"/>
        <v>17232289</v>
      </c>
      <c r="AH83" s="151">
        <f t="shared" si="83"/>
        <v>51512703</v>
      </c>
      <c r="AI83" s="144">
        <f t="shared" si="83"/>
        <v>51513503</v>
      </c>
      <c r="AJ83" s="153">
        <f t="shared" si="83"/>
        <v>58455022</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+IF(ABRIL!A84=0,"",ABRIL!A84)</f>
        <v/>
      </c>
      <c r="B84" s="557" t="str">
        <f>+IF(ABRIL!B84=0,"",ABRIL!B84)</f>
        <v/>
      </c>
      <c r="C84" s="495"/>
      <c r="D84" s="495"/>
      <c r="E84" s="495"/>
      <c r="F84" s="495"/>
      <c r="G84" s="495"/>
      <c r="H84" s="495"/>
      <c r="I84" s="495"/>
      <c r="J84" s="495"/>
      <c r="K84" s="495"/>
      <c r="L84" s="495"/>
      <c r="M84" s="495"/>
      <c r="N84" s="496"/>
      <c r="P84" s="497"/>
      <c r="Q84" s="496"/>
      <c r="R84" s="10"/>
      <c r="S84" s="155" t="str">
        <f>+IF(ABRIL!S84=0,"",ABRIL!S84)</f>
        <v>1020200-1</v>
      </c>
      <c r="T84" s="159" t="str">
        <f>+IF(ABRIL!T84=0,"",ABRIL!T84)</f>
        <v>Remuneración y Honorarios por Servicios Técnicos y Profesionales</v>
      </c>
      <c r="U84" s="29">
        <f>+ENERO!U84</f>
        <v>20000000</v>
      </c>
      <c r="V84" s="17">
        <f>ABRIL!V84+MAYO!AL84</f>
        <v>0</v>
      </c>
      <c r="W84" s="17">
        <f>ABRIL!W84+MAYO!AM84</f>
        <v>0</v>
      </c>
      <c r="X84" s="20">
        <f>SUM(U84:W84)</f>
        <v>20000000</v>
      </c>
      <c r="Y84" s="21">
        <f>ABRIL!AA84</f>
        <v>5906032</v>
      </c>
      <c r="Z84" s="457">
        <v>1749016</v>
      </c>
      <c r="AA84" s="20">
        <f>SUM(Y84:Z84)</f>
        <v>7655048</v>
      </c>
      <c r="AB84" s="21">
        <f>ABRIL!AD84</f>
        <v>5906032</v>
      </c>
      <c r="AC84" s="457">
        <v>1749016</v>
      </c>
      <c r="AD84" s="20">
        <f>SUM(AB84:AC84)</f>
        <v>7655048</v>
      </c>
      <c r="AE84" s="21">
        <f>ABRIL!AG84</f>
        <v>2808029</v>
      </c>
      <c r="AF84" s="457">
        <v>0</v>
      </c>
      <c r="AG84" s="20">
        <f>SUM(AE84:AF84)</f>
        <v>2808029</v>
      </c>
      <c r="AH84" s="21">
        <f>X84-AA84</f>
        <v>12344952</v>
      </c>
      <c r="AI84" s="17">
        <f>X84-AD84</f>
        <v>12344952</v>
      </c>
      <c r="AJ84" s="18">
        <f>X84-AG84</f>
        <v>17191971</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+IF(ABRIL!A85=0,"",ABRIL!A85)</f>
        <v>11302</v>
      </c>
      <c r="B85" s="460" t="str">
        <f>+IF(ABRIL!B85=0,"",ABRIL!B85)</f>
        <v>Venta de Otros Bienes y Servicios</v>
      </c>
      <c r="C85" s="559">
        <f t="shared" ref="C85:N85" si="84">SUM(C86:C93)</f>
        <v>115179029</v>
      </c>
      <c r="D85" s="559">
        <f t="shared" si="84"/>
        <v>0</v>
      </c>
      <c r="E85" s="559">
        <f t="shared" si="84"/>
        <v>0</v>
      </c>
      <c r="F85" s="560">
        <f t="shared" si="84"/>
        <v>115179029</v>
      </c>
      <c r="G85" s="558">
        <f t="shared" si="84"/>
        <v>71899616</v>
      </c>
      <c r="H85" s="559">
        <f t="shared" si="84"/>
        <v>3536520</v>
      </c>
      <c r="I85" s="560">
        <f t="shared" si="84"/>
        <v>75436136</v>
      </c>
      <c r="J85" s="558">
        <f t="shared" si="84"/>
        <v>71899616</v>
      </c>
      <c r="K85" s="559">
        <f t="shared" si="84"/>
        <v>3536520</v>
      </c>
      <c r="L85" s="560">
        <f t="shared" si="84"/>
        <v>75436136</v>
      </c>
      <c r="M85" s="558">
        <f t="shared" si="84"/>
        <v>39742893</v>
      </c>
      <c r="N85" s="560">
        <f t="shared" si="84"/>
        <v>39742893</v>
      </c>
      <c r="P85" s="52">
        <f>SUM(P86:P93)</f>
        <v>0</v>
      </c>
      <c r="Q85" s="54">
        <f>SUM(Q86:Q93)</f>
        <v>0</v>
      </c>
      <c r="R85" s="10"/>
      <c r="S85" s="155" t="str">
        <f>+IF(ABRIL!S85=0,"",ABRIL!S85)</f>
        <v>1020200-2</v>
      </c>
      <c r="T85" s="159" t="str">
        <f>+IF(ABRIL!T85=0,"",ABRIL!T85)</f>
        <v>Personal Supernumerario</v>
      </c>
      <c r="U85" s="29">
        <f>+ENERO!U85</f>
        <v>22000000</v>
      </c>
      <c r="V85" s="17">
        <f>ABRIL!V85+MAYO!AL85</f>
        <v>0</v>
      </c>
      <c r="W85" s="17">
        <f>ABRIL!W85+MAYO!AM85</f>
        <v>0</v>
      </c>
      <c r="X85" s="20">
        <f>SUM(U85:W85)</f>
        <v>22000000</v>
      </c>
      <c r="Y85" s="21">
        <f>ABRIL!AA85</f>
        <v>1590749</v>
      </c>
      <c r="Z85" s="457">
        <v>0</v>
      </c>
      <c r="AA85" s="20">
        <f>SUM(Y85:Z85)</f>
        <v>1590749</v>
      </c>
      <c r="AB85" s="21">
        <f>ABRIL!AD85</f>
        <v>1590749</v>
      </c>
      <c r="AC85" s="457">
        <v>0</v>
      </c>
      <c r="AD85" s="20">
        <f>SUM(AB85:AC85)</f>
        <v>1590749</v>
      </c>
      <c r="AE85" s="21">
        <f>ABRIL!AG85</f>
        <v>1590749</v>
      </c>
      <c r="AF85" s="457">
        <v>0</v>
      </c>
      <c r="AG85" s="20">
        <f>SUM(AE85:AF85)</f>
        <v>1590749</v>
      </c>
      <c r="AH85" s="21">
        <f>X85-AA85</f>
        <v>20409251</v>
      </c>
      <c r="AI85" s="17">
        <f>X85-AD85</f>
        <v>20409251</v>
      </c>
      <c r="AJ85" s="18">
        <f>X85-AG85</f>
        <v>20409251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+IF(ABRIL!A86=0,"",ABRIL!A86)</f>
        <v>1130201</v>
      </c>
      <c r="B86" s="55" t="str">
        <f>+IF(ABRIL!B86=0,"",ABRIL!B86)</f>
        <v>ARRENDAMIENTO Y ALQUILER DE BIENES MUEBLES E INMUEBLES</v>
      </c>
      <c r="C86" s="456">
        <f>+ENERO!C86</f>
        <v>3552425</v>
      </c>
      <c r="D86" s="456">
        <f>ABRIL!D86+MAYO!P86</f>
        <v>0</v>
      </c>
      <c r="E86" s="456">
        <f>ABRIL!E86+MAYO!Q86</f>
        <v>0</v>
      </c>
      <c r="F86" s="170">
        <f t="shared" ref="F86:F92" si="85">SUM(C86:E86)</f>
        <v>3552425</v>
      </c>
      <c r="G86" s="283">
        <f>ABRIL!I86</f>
        <v>3303979</v>
      </c>
      <c r="H86" s="457">
        <v>106947</v>
      </c>
      <c r="I86" s="170">
        <f t="shared" ref="I86:I92" si="86">SUM(G86:H86)</f>
        <v>3410926</v>
      </c>
      <c r="J86" s="283">
        <f>ABRIL!L86</f>
        <v>3303979</v>
      </c>
      <c r="K86" s="457">
        <v>106947</v>
      </c>
      <c r="L86" s="170">
        <f t="shared" ref="L86:L92" si="87">SUM(J86:K86)</f>
        <v>3410926</v>
      </c>
      <c r="M86" s="283">
        <f t="shared" ref="M86:M92" si="88">F86-I86</f>
        <v>141499</v>
      </c>
      <c r="N86" s="170">
        <f t="shared" ref="N86:N92" si="89">F86-L86</f>
        <v>141499</v>
      </c>
      <c r="O86" s="467"/>
      <c r="P86" s="455">
        <v>0</v>
      </c>
      <c r="Q86" s="458">
        <v>0</v>
      </c>
      <c r="S86" s="155" t="str">
        <f>+IF(ABRIL!S86=0,"",ABRIL!S86)</f>
        <v>1020200-4</v>
      </c>
      <c r="T86" s="159" t="str">
        <f>+IF(ABRIL!T86=0,"",ABRIL!T86)</f>
        <v>Otros Honorarios (Servicios de Cooperativa)</v>
      </c>
      <c r="U86" s="29">
        <f>+ENERO!U86</f>
        <v>25000000</v>
      </c>
      <c r="V86" s="17">
        <f>ABRIL!V86+MAYO!AL86</f>
        <v>0</v>
      </c>
      <c r="W86" s="17">
        <f>ABRIL!W86+MAYO!AM86</f>
        <v>0</v>
      </c>
      <c r="X86" s="20">
        <f>SUM(U86:W86)</f>
        <v>25000000</v>
      </c>
      <c r="Y86" s="21">
        <f>ABRIL!AA86</f>
        <v>5707100</v>
      </c>
      <c r="Z86" s="457">
        <v>534400</v>
      </c>
      <c r="AA86" s="20">
        <f>SUM(Y86:Z86)</f>
        <v>6241500</v>
      </c>
      <c r="AB86" s="21">
        <f>ABRIL!AD86</f>
        <v>5706300</v>
      </c>
      <c r="AC86" s="457">
        <v>534400</v>
      </c>
      <c r="AD86" s="20">
        <f>SUM(AB86:AC86)</f>
        <v>6240700</v>
      </c>
      <c r="AE86" s="21">
        <f>ABRIL!AG86</f>
        <v>3772100</v>
      </c>
      <c r="AF86" s="457">
        <v>421400</v>
      </c>
      <c r="AG86" s="20">
        <f>SUM(AE86:AF86)</f>
        <v>4193500</v>
      </c>
      <c r="AH86" s="21">
        <f>X86-AA86</f>
        <v>18758500</v>
      </c>
      <c r="AI86" s="17">
        <f>X86-AD86</f>
        <v>18759300</v>
      </c>
      <c r="AJ86" s="18">
        <f>X86-AG86</f>
        <v>20806500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x14ac:dyDescent="0.2">
      <c r="A87" s="46">
        <f>+IF(ABRIL!A87=0,"",ABRIL!A87)</f>
        <v>1130202</v>
      </c>
      <c r="B87" s="55" t="str">
        <f>+IF(ABRIL!B87=0,"",ABRIL!B87)</f>
        <v>COMERCIALIZACIÓN DE MERCANCÍAS</v>
      </c>
      <c r="C87" s="456">
        <f>+ENERO!C87</f>
        <v>0</v>
      </c>
      <c r="D87" s="456">
        <f>ABRIL!D87+MAYO!P87</f>
        <v>0</v>
      </c>
      <c r="E87" s="456">
        <f>ABRIL!E87+MAYO!Q87</f>
        <v>0</v>
      </c>
      <c r="F87" s="170">
        <f t="shared" si="85"/>
        <v>0</v>
      </c>
      <c r="G87" s="283">
        <f>ABRIL!I87</f>
        <v>0</v>
      </c>
      <c r="H87" s="457">
        <v>3163575</v>
      </c>
      <c r="I87" s="170">
        <f t="shared" si="86"/>
        <v>3163575</v>
      </c>
      <c r="J87" s="283">
        <f>ABRIL!L87</f>
        <v>0</v>
      </c>
      <c r="K87" s="457">
        <v>3163575</v>
      </c>
      <c r="L87" s="170">
        <f t="shared" si="87"/>
        <v>3163575</v>
      </c>
      <c r="M87" s="283">
        <f t="shared" si="88"/>
        <v>-3163575</v>
      </c>
      <c r="N87" s="170">
        <f t="shared" si="89"/>
        <v>-3163575</v>
      </c>
      <c r="P87" s="455">
        <v>0</v>
      </c>
      <c r="Q87" s="458">
        <v>0</v>
      </c>
      <c r="R87" s="10"/>
      <c r="S87" s="155" t="str">
        <f>+IF(ABRIL!S87=0,"",ABRIL!S87)</f>
        <v/>
      </c>
      <c r="T87" s="159" t="str">
        <f>+IF(ABRIL!T87=0,"",ABRIL!T87)</f>
        <v/>
      </c>
      <c r="U87" s="29">
        <f>+ENERO!U87</f>
        <v>0</v>
      </c>
      <c r="V87" s="17">
        <f>ABRIL!V87+MAYO!AL87</f>
        <v>0</v>
      </c>
      <c r="W87" s="17">
        <f>ABRIL!W87+MAYO!AM87</f>
        <v>0</v>
      </c>
      <c r="X87" s="20">
        <f>SUM(U87:W87)</f>
        <v>0</v>
      </c>
      <c r="Y87" s="21">
        <f>ABRIL!AA87</f>
        <v>0</v>
      </c>
      <c r="Z87" s="457">
        <v>0</v>
      </c>
      <c r="AA87" s="20">
        <f>SUM(Y87:Z87)</f>
        <v>0</v>
      </c>
      <c r="AB87" s="21">
        <f>ABRIL!AD87</f>
        <v>0</v>
      </c>
      <c r="AC87" s="457">
        <v>0</v>
      </c>
      <c r="AD87" s="20">
        <f>SUM(AB87:AC87)</f>
        <v>0</v>
      </c>
      <c r="AE87" s="21">
        <f>ABRIL!AG87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+IF(ABRIL!A88=0,"",ABRIL!A88)</f>
        <v>1130203</v>
      </c>
      <c r="B88" s="55" t="str">
        <f>+IF(ABRIL!B88=0,"",ABRIL!B88)</f>
        <v>CONVENIOS CON LA NACION LIGADOS A LA VTA DE SERVICIOS</v>
      </c>
      <c r="C88" s="456">
        <f>+ENERO!C88</f>
        <v>0</v>
      </c>
      <c r="D88" s="456">
        <f>ABRIL!D88+MAYO!P88</f>
        <v>0</v>
      </c>
      <c r="E88" s="456">
        <f>ABRIL!E88+MAYO!Q88</f>
        <v>0</v>
      </c>
      <c r="F88" s="170">
        <f t="shared" si="85"/>
        <v>0</v>
      </c>
      <c r="G88" s="283">
        <f>ABRIL!I88</f>
        <v>0</v>
      </c>
      <c r="H88" s="457">
        <v>0</v>
      </c>
      <c r="I88" s="170">
        <f t="shared" si="86"/>
        <v>0</v>
      </c>
      <c r="J88" s="283">
        <f>ABRIL!L88</f>
        <v>0</v>
      </c>
      <c r="K88" s="457">
        <v>0</v>
      </c>
      <c r="L88" s="170">
        <f t="shared" si="87"/>
        <v>0</v>
      </c>
      <c r="M88" s="283">
        <f t="shared" si="88"/>
        <v>0</v>
      </c>
      <c r="N88" s="170">
        <f t="shared" si="89"/>
        <v>0</v>
      </c>
      <c r="P88" s="455">
        <v>0</v>
      </c>
      <c r="Q88" s="458">
        <v>0</v>
      </c>
      <c r="R88" s="10"/>
      <c r="S88" s="155">
        <f>+IF(ABRIL!S88=0,"",ABRIL!S88)</f>
        <v>1020299</v>
      </c>
      <c r="T88" s="159" t="str">
        <f>+IF(ABRIL!T88=0,"",ABRIL!T88)</f>
        <v>Vigencias Anteriores</v>
      </c>
      <c r="U88" s="29">
        <f>+ENERO!U88</f>
        <v>4000000</v>
      </c>
      <c r="V88" s="17">
        <f>ABRIL!V88+MAYO!AL88</f>
        <v>0</v>
      </c>
      <c r="W88" s="17">
        <f>ABRIL!W88+MAYO!AM88</f>
        <v>4687311</v>
      </c>
      <c r="X88" s="20">
        <f>SUM(U88:W88)</f>
        <v>8687311</v>
      </c>
      <c r="Y88" s="21">
        <f>ABRIL!AA88</f>
        <v>8687311</v>
      </c>
      <c r="Z88" s="457">
        <v>0</v>
      </c>
      <c r="AA88" s="20">
        <f>SUM(Y88:Z88)</f>
        <v>8687311</v>
      </c>
      <c r="AB88" s="21">
        <f>ABRIL!AD88</f>
        <v>8687311</v>
      </c>
      <c r="AC88" s="457">
        <v>0</v>
      </c>
      <c r="AD88" s="20">
        <f>SUM(AB88:AC88)</f>
        <v>8687311</v>
      </c>
      <c r="AE88" s="21">
        <f>ABRIL!AG88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+IF(ABRIL!A89=0,"",ABRIL!A89)</f>
        <v>1130204</v>
      </c>
      <c r="B89" s="55" t="str">
        <f>+IF(ABRIL!B89=0,"",ABRIL!B89)</f>
        <v>CONVENIOS CON EL DEPARTAMENTO LIGADOS A LA VTA SERVICIOS</v>
      </c>
      <c r="C89" s="456">
        <f>+ENERO!C89</f>
        <v>0</v>
      </c>
      <c r="D89" s="456">
        <f>ABRIL!D89+MAYO!P89</f>
        <v>0</v>
      </c>
      <c r="E89" s="456">
        <f>ABRIL!E89+MAYO!Q89</f>
        <v>0</v>
      </c>
      <c r="F89" s="170">
        <f t="shared" si="85"/>
        <v>0</v>
      </c>
      <c r="G89" s="283">
        <f>ABRIL!I89</f>
        <v>0</v>
      </c>
      <c r="H89" s="457">
        <v>0</v>
      </c>
      <c r="I89" s="170">
        <f t="shared" si="86"/>
        <v>0</v>
      </c>
      <c r="J89" s="283">
        <f>ABRIL!L89</f>
        <v>0</v>
      </c>
      <c r="K89" s="457">
        <v>0</v>
      </c>
      <c r="L89" s="170">
        <f t="shared" si="87"/>
        <v>0</v>
      </c>
      <c r="M89" s="283">
        <f t="shared" si="88"/>
        <v>0</v>
      </c>
      <c r="N89" s="170">
        <f t="shared" si="89"/>
        <v>0</v>
      </c>
      <c r="P89" s="455">
        <v>0</v>
      </c>
      <c r="Q89" s="458">
        <v>0</v>
      </c>
      <c r="R89" s="10"/>
      <c r="S89" s="448" t="str">
        <f>+IF(ABRIL!S89=0,"",ABRIL!S89)</f>
        <v/>
      </c>
      <c r="T89" s="649" t="str">
        <f>+IF(ABRIL!T89=0,"",ABRIL!T89)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+IF(ABRIL!A90=0,"",ABRIL!A90)</f>
        <v>1130205</v>
      </c>
      <c r="B90" s="55" t="str">
        <f>+IF(ABRIL!B90=0,"",ABRIL!B90)</f>
        <v>CONVENIOS CON EL MUNICIPIO LIGADOS A LA VTA DE SERVICIOS</v>
      </c>
      <c r="C90" s="456">
        <f>+ENERO!C90</f>
        <v>0</v>
      </c>
      <c r="D90" s="456">
        <f>ABRIL!D90+MAYO!P90</f>
        <v>0</v>
      </c>
      <c r="E90" s="456">
        <f>ABRIL!E90+MAYO!Q90</f>
        <v>0</v>
      </c>
      <c r="F90" s="170">
        <f t="shared" si="85"/>
        <v>0</v>
      </c>
      <c r="G90" s="283">
        <f>ABRIL!I90</f>
        <v>0</v>
      </c>
      <c r="H90" s="457">
        <v>0</v>
      </c>
      <c r="I90" s="170">
        <f t="shared" si="86"/>
        <v>0</v>
      </c>
      <c r="J90" s="283">
        <f>ABRIL!L90</f>
        <v>0</v>
      </c>
      <c r="K90" s="457">
        <v>0</v>
      </c>
      <c r="L90" s="170">
        <f t="shared" si="87"/>
        <v>0</v>
      </c>
      <c r="M90" s="283">
        <f t="shared" si="88"/>
        <v>0</v>
      </c>
      <c r="N90" s="170">
        <f t="shared" si="89"/>
        <v>0</v>
      </c>
      <c r="O90" s="467"/>
      <c r="P90" s="455">
        <v>0</v>
      </c>
      <c r="Q90" s="458">
        <v>0</v>
      </c>
      <c r="R90" s="32"/>
      <c r="S90" s="34">
        <f>+IF(ABRIL!S90=0,"",ABRIL!S90)</f>
        <v>1020300</v>
      </c>
      <c r="T90" s="158" t="str">
        <f>+IF(ABRIL!T90=0,"",ABRIL!T90)</f>
        <v>Contribuciones Inherentes nómina al Sector Privado</v>
      </c>
      <c r="U90" s="157">
        <f t="shared" ref="U90:AJ90" si="90">U91+U96+U102</f>
        <v>371241003</v>
      </c>
      <c r="V90" s="144">
        <f t="shared" si="90"/>
        <v>0</v>
      </c>
      <c r="W90" s="144">
        <f t="shared" si="90"/>
        <v>5352587</v>
      </c>
      <c r="X90" s="152">
        <f t="shared" si="90"/>
        <v>376593590</v>
      </c>
      <c r="Y90" s="151">
        <f t="shared" si="90"/>
        <v>143216083</v>
      </c>
      <c r="Z90" s="144">
        <f t="shared" si="90"/>
        <v>20527760</v>
      </c>
      <c r="AA90" s="152">
        <f t="shared" si="90"/>
        <v>163743843</v>
      </c>
      <c r="AB90" s="151">
        <f t="shared" si="90"/>
        <v>143216083</v>
      </c>
      <c r="AC90" s="144">
        <f t="shared" si="90"/>
        <v>20527760</v>
      </c>
      <c r="AD90" s="152">
        <f t="shared" si="90"/>
        <v>163743843</v>
      </c>
      <c r="AE90" s="151">
        <f t="shared" si="90"/>
        <v>132517362</v>
      </c>
      <c r="AF90" s="144">
        <f t="shared" si="90"/>
        <v>20553710</v>
      </c>
      <c r="AG90" s="152">
        <f t="shared" si="90"/>
        <v>153071072</v>
      </c>
      <c r="AH90" s="151">
        <f t="shared" si="90"/>
        <v>212849747</v>
      </c>
      <c r="AI90" s="144">
        <f t="shared" si="90"/>
        <v>212849747</v>
      </c>
      <c r="AJ90" s="153">
        <f t="shared" si="90"/>
        <v>223522518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+IF(ABRIL!A91=0,"",ABRIL!A91)</f>
        <v>1130206</v>
      </c>
      <c r="B91" s="55" t="str">
        <f>+IF(ABRIL!B91=0,"",ABRIL!B91)</f>
        <v>OTROS CONVENIOS LIGADOS A LA VTA DE SERVICIOS</v>
      </c>
      <c r="C91" s="456">
        <f>+ENERO!C91</f>
        <v>0</v>
      </c>
      <c r="D91" s="456">
        <f>ABRIL!D91+MAYO!P91</f>
        <v>0</v>
      </c>
      <c r="E91" s="456">
        <f>ABRIL!E91+MAYO!Q91</f>
        <v>0</v>
      </c>
      <c r="F91" s="170">
        <f t="shared" si="85"/>
        <v>0</v>
      </c>
      <c r="G91" s="283">
        <f>ABRIL!I91</f>
        <v>0</v>
      </c>
      <c r="H91" s="457">
        <v>0</v>
      </c>
      <c r="I91" s="170">
        <f t="shared" si="86"/>
        <v>0</v>
      </c>
      <c r="J91" s="283">
        <f>ABRIL!L91</f>
        <v>0</v>
      </c>
      <c r="K91" s="457">
        <v>0</v>
      </c>
      <c r="L91" s="170">
        <f t="shared" si="87"/>
        <v>0</v>
      </c>
      <c r="M91" s="283">
        <f t="shared" si="88"/>
        <v>0</v>
      </c>
      <c r="N91" s="170">
        <f t="shared" si="89"/>
        <v>0</v>
      </c>
      <c r="O91" s="467"/>
      <c r="P91" s="455">
        <v>0</v>
      </c>
      <c r="Q91" s="458">
        <v>0</v>
      </c>
      <c r="R91" s="32"/>
      <c r="S91" s="155">
        <f>+IF(ABRIL!S91=0,"",ABRIL!S91)</f>
        <v>1020301</v>
      </c>
      <c r="T91" s="159" t="str">
        <f>+IF(ABRIL!T91=0,"",ABRIL!T91)</f>
        <v>Contribuciones - Sin Situación de Fondos</v>
      </c>
      <c r="U91" s="29">
        <f t="shared" ref="U91:AJ91" si="91">SUM(U92:U95)</f>
        <v>165265755</v>
      </c>
      <c r="V91" s="17">
        <f t="shared" si="91"/>
        <v>0</v>
      </c>
      <c r="W91" s="17">
        <f t="shared" si="91"/>
        <v>0</v>
      </c>
      <c r="X91" s="20">
        <f t="shared" si="91"/>
        <v>165265755</v>
      </c>
      <c r="Y91" s="21">
        <f t="shared" si="91"/>
        <v>42035645</v>
      </c>
      <c r="Z91" s="169">
        <f t="shared" si="91"/>
        <v>9992460</v>
      </c>
      <c r="AA91" s="20">
        <f t="shared" si="91"/>
        <v>52028105</v>
      </c>
      <c r="AB91" s="21">
        <f t="shared" si="91"/>
        <v>42035645</v>
      </c>
      <c r="AC91" s="169">
        <f t="shared" si="91"/>
        <v>9992460</v>
      </c>
      <c r="AD91" s="20">
        <f t="shared" si="91"/>
        <v>52028105</v>
      </c>
      <c r="AE91" s="21">
        <f t="shared" si="91"/>
        <v>42035645</v>
      </c>
      <c r="AF91" s="169">
        <f t="shared" si="91"/>
        <v>9992460</v>
      </c>
      <c r="AG91" s="20">
        <f t="shared" si="91"/>
        <v>52028105</v>
      </c>
      <c r="AH91" s="21">
        <f t="shared" si="91"/>
        <v>113237650</v>
      </c>
      <c r="AI91" s="17">
        <f t="shared" si="91"/>
        <v>113237650</v>
      </c>
      <c r="AJ91" s="18">
        <f t="shared" si="91"/>
        <v>113237650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+IF(ABRIL!A92=0,"",ABRIL!A92)</f>
        <v>1130207</v>
      </c>
      <c r="B92" s="563" t="s">
        <v>482</v>
      </c>
      <c r="C92" s="456">
        <f>+ENERO!C92</f>
        <v>0</v>
      </c>
      <c r="D92" s="456">
        <f>ABRIL!D92+MAYO!P92</f>
        <v>0</v>
      </c>
      <c r="E92" s="456">
        <f>ABRIL!E92+MAYO!Q92</f>
        <v>0</v>
      </c>
      <c r="F92" s="170">
        <f t="shared" si="85"/>
        <v>0</v>
      </c>
      <c r="G92" s="283">
        <f>ABRIL!I92</f>
        <v>0</v>
      </c>
      <c r="H92" s="457">
        <v>0</v>
      </c>
      <c r="I92" s="170">
        <f t="shared" si="86"/>
        <v>0</v>
      </c>
      <c r="J92" s="283">
        <f>ABRIL!L92</f>
        <v>0</v>
      </c>
      <c r="K92" s="457">
        <v>0</v>
      </c>
      <c r="L92" s="170">
        <f t="shared" si="87"/>
        <v>0</v>
      </c>
      <c r="M92" s="283">
        <f t="shared" si="88"/>
        <v>0</v>
      </c>
      <c r="N92" s="170">
        <f t="shared" si="89"/>
        <v>0</v>
      </c>
      <c r="O92" s="467"/>
      <c r="P92" s="455">
        <v>0</v>
      </c>
      <c r="Q92" s="458">
        <v>0</v>
      </c>
      <c r="R92" s="32"/>
      <c r="S92" s="156" t="str">
        <f>+IF(ABRIL!S92=0,"",ABRIL!S92)</f>
        <v>1020301-1</v>
      </c>
      <c r="T92" s="55" t="str">
        <f>+IF(ABRIL!T92=0,"",ABRIL!T92)</f>
        <v>Aportes a E.P.S.- Sin sit. Fondos</v>
      </c>
      <c r="U92" s="29">
        <f>+ENERO!U92</f>
        <v>72234575</v>
      </c>
      <c r="V92" s="17">
        <f>ABRIL!V92+MAYO!AL92</f>
        <v>0</v>
      </c>
      <c r="W92" s="17">
        <f>ABRIL!W92+MAYO!AM92</f>
        <v>0</v>
      </c>
      <c r="X92" s="20">
        <f>SUM(U92:W92)</f>
        <v>72234575</v>
      </c>
      <c r="Y92" s="21">
        <f>ABRIL!AA92</f>
        <v>19087125</v>
      </c>
      <c r="Z92" s="457">
        <v>4998900</v>
      </c>
      <c r="AA92" s="20">
        <f>SUM(Y92:Z92)</f>
        <v>24086025</v>
      </c>
      <c r="AB92" s="21">
        <f>ABRIL!AD92</f>
        <v>19087125</v>
      </c>
      <c r="AC92" s="457">
        <v>4998900</v>
      </c>
      <c r="AD92" s="20">
        <f>SUM(AB92:AC92)</f>
        <v>24086025</v>
      </c>
      <c r="AE92" s="21">
        <f>ABRIL!AG92</f>
        <v>19087125</v>
      </c>
      <c r="AF92" s="457">
        <v>4998900</v>
      </c>
      <c r="AG92" s="20">
        <f>SUM(AE92:AF92)</f>
        <v>24086025</v>
      </c>
      <c r="AH92" s="21">
        <f>X92-AA92</f>
        <v>48148550</v>
      </c>
      <c r="AI92" s="17">
        <f>X92-AD92</f>
        <v>48148550</v>
      </c>
      <c r="AJ92" s="18">
        <f>X92-AG92</f>
        <v>48148550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+IF(ABRIL!A93=0,"",ABRIL!A93)</f>
        <v>1130209</v>
      </c>
      <c r="B93" s="170" t="str">
        <f>+IF(ABRIL!B93=0,"",ABRIL!B93)</f>
        <v>OTROS</v>
      </c>
      <c r="C93" s="172">
        <f t="shared" ref="C93:N93" si="92">SUM(C94:C97)</f>
        <v>111626604</v>
      </c>
      <c r="D93" s="172">
        <f t="shared" si="92"/>
        <v>0</v>
      </c>
      <c r="E93" s="172">
        <f t="shared" si="92"/>
        <v>0</v>
      </c>
      <c r="F93" s="173">
        <f t="shared" si="92"/>
        <v>111626604</v>
      </c>
      <c r="G93" s="171">
        <f t="shared" si="92"/>
        <v>68595637</v>
      </c>
      <c r="H93" s="172">
        <f t="shared" si="92"/>
        <v>265998</v>
      </c>
      <c r="I93" s="173">
        <f t="shared" si="92"/>
        <v>68861635</v>
      </c>
      <c r="J93" s="171">
        <f t="shared" si="92"/>
        <v>68595637</v>
      </c>
      <c r="K93" s="172">
        <f t="shared" si="92"/>
        <v>265998</v>
      </c>
      <c r="L93" s="173">
        <f t="shared" si="92"/>
        <v>68861635</v>
      </c>
      <c r="M93" s="171">
        <f t="shared" si="92"/>
        <v>42764969</v>
      </c>
      <c r="N93" s="173">
        <f t="shared" si="92"/>
        <v>42764969</v>
      </c>
      <c r="O93" s="467"/>
      <c r="P93" s="171">
        <f>SUM(P94:P97)</f>
        <v>0</v>
      </c>
      <c r="Q93" s="173">
        <f>SUM(Q94:Q97)</f>
        <v>0</v>
      </c>
      <c r="R93" s="32"/>
      <c r="S93" s="156" t="str">
        <f>+IF(ABRIL!S93=0,"",ABRIL!S93)</f>
        <v>1020301-2</v>
      </c>
      <c r="T93" s="55" t="str">
        <f>+IF(ABRIL!T93=0,"",ABRIL!T93)</f>
        <v>Aportes Fondos Pensionales - Sin Sit. Fondos</v>
      </c>
      <c r="U93" s="29">
        <f>+ENERO!U93</f>
        <v>78026691</v>
      </c>
      <c r="V93" s="17">
        <f>ABRIL!V93+MAYO!AL93</f>
        <v>0</v>
      </c>
      <c r="W93" s="17">
        <f>ABRIL!W93+MAYO!AM93</f>
        <v>0</v>
      </c>
      <c r="X93" s="20">
        <f>SUM(U93:W93)</f>
        <v>78026691</v>
      </c>
      <c r="Y93" s="21">
        <f>ABRIL!AA93</f>
        <v>22948520</v>
      </c>
      <c r="Z93" s="457">
        <v>4993560</v>
      </c>
      <c r="AA93" s="20">
        <f>SUM(Y93:Z93)</f>
        <v>27942080</v>
      </c>
      <c r="AB93" s="21">
        <f>ABRIL!AD93</f>
        <v>22948520</v>
      </c>
      <c r="AC93" s="457">
        <v>4993560</v>
      </c>
      <c r="AD93" s="20">
        <f>SUM(AB93:AC93)</f>
        <v>27942080</v>
      </c>
      <c r="AE93" s="21">
        <f>ABRIL!AG93</f>
        <v>22948520</v>
      </c>
      <c r="AF93" s="457">
        <v>4993560</v>
      </c>
      <c r="AG93" s="20">
        <f>SUM(AE93:AF93)</f>
        <v>27942080</v>
      </c>
      <c r="AH93" s="21">
        <f>X93-AA93</f>
        <v>50084611</v>
      </c>
      <c r="AI93" s="17">
        <f>X93-AD93</f>
        <v>50084611</v>
      </c>
      <c r="AJ93" s="18">
        <f>X93-AG93</f>
        <v>50084611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+IF(ABRIL!A94=0,"",ABRIL!A94)</f>
        <v>1130209 - 1</v>
      </c>
      <c r="B94" s="58" t="str">
        <f>+IF(ABRIL!B94=0,"",ABRIL!B94)</f>
        <v>Bienestar Social</v>
      </c>
      <c r="C94" s="456">
        <f>+ENERO!C94</f>
        <v>6347410</v>
      </c>
      <c r="D94" s="456">
        <f>ABRIL!D94+MAYO!P94</f>
        <v>0</v>
      </c>
      <c r="E94" s="456">
        <f>ABRIL!E94+MAYO!Q94</f>
        <v>0</v>
      </c>
      <c r="F94" s="170">
        <f>SUM(C94:E94)</f>
        <v>6347410</v>
      </c>
      <c r="G94" s="283">
        <f>ABRIL!I94</f>
        <v>0</v>
      </c>
      <c r="H94" s="457">
        <v>0</v>
      </c>
      <c r="I94" s="170">
        <f>SUM(G94:H94)</f>
        <v>0</v>
      </c>
      <c r="J94" s="283">
        <f>ABRIL!L94</f>
        <v>0</v>
      </c>
      <c r="K94" s="457">
        <v>0</v>
      </c>
      <c r="L94" s="170">
        <f>SUM(J94:K94)</f>
        <v>0</v>
      </c>
      <c r="M94" s="283">
        <f>F94-I94</f>
        <v>6347410</v>
      </c>
      <c r="N94" s="170">
        <f>F94-L94</f>
        <v>6347410</v>
      </c>
      <c r="O94" s="467"/>
      <c r="P94" s="455">
        <v>0</v>
      </c>
      <c r="Q94" s="458">
        <v>0</v>
      </c>
      <c r="R94" s="32"/>
      <c r="S94" s="156" t="str">
        <f>+IF(ABRIL!S94=0,"",ABRIL!S94)</f>
        <v>1020301-3</v>
      </c>
      <c r="T94" s="55" t="str">
        <f>+IF(ABRIL!T94=0,"",ABRIL!T94)</f>
        <v xml:space="preserve">Aportes a Fondos de Cesantia - Sin Sit. de Fondos </v>
      </c>
      <c r="U94" s="29">
        <f>+ENERO!U94</f>
        <v>15004488</v>
      </c>
      <c r="V94" s="17">
        <f>ABRIL!V94+MAYO!AL94</f>
        <v>0</v>
      </c>
      <c r="W94" s="17">
        <f>ABRIL!W94+MAYO!AM94</f>
        <v>0</v>
      </c>
      <c r="X94" s="20">
        <f>SUM(U94:W94)</f>
        <v>15004488</v>
      </c>
      <c r="Y94" s="21">
        <f>ABRIL!AA94</f>
        <v>0</v>
      </c>
      <c r="Z94" s="457">
        <v>0</v>
      </c>
      <c r="AA94" s="20">
        <f>SUM(Y94:Z94)</f>
        <v>0</v>
      </c>
      <c r="AB94" s="21">
        <f>ABRIL!AD94</f>
        <v>0</v>
      </c>
      <c r="AC94" s="457">
        <v>0</v>
      </c>
      <c r="AD94" s="20">
        <f>SUM(AB94:AC94)</f>
        <v>0</v>
      </c>
      <c r="AE94" s="21">
        <f>ABRIL!AG94</f>
        <v>0</v>
      </c>
      <c r="AF94" s="457">
        <v>0</v>
      </c>
      <c r="AG94" s="20">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+IF(ABRIL!A95=0,"",ABRIL!A95)</f>
        <v>1130209 - 2</v>
      </c>
      <c r="B95" s="58" t="str">
        <f>+IF(ABRIL!B95=0,"",ABRIL!B95)</f>
        <v>Fondo de la Vivienda</v>
      </c>
      <c r="C95" s="456">
        <f>+ENERO!C95</f>
        <v>0</v>
      </c>
      <c r="D95" s="456">
        <f>ABRIL!D95+MAYO!P95</f>
        <v>0</v>
      </c>
      <c r="E95" s="456">
        <f>ABRIL!E95+MAYO!Q95</f>
        <v>0</v>
      </c>
      <c r="F95" s="170">
        <f>SUM(C95:E95)</f>
        <v>0</v>
      </c>
      <c r="G95" s="283">
        <f>ABRIL!I95</f>
        <v>0</v>
      </c>
      <c r="H95" s="457">
        <v>0</v>
      </c>
      <c r="I95" s="170">
        <f>SUM(G95:H95)</f>
        <v>0</v>
      </c>
      <c r="J95" s="283">
        <f>ABRIL!L95</f>
        <v>0</v>
      </c>
      <c r="K95" s="457">
        <v>0</v>
      </c>
      <c r="L95" s="170">
        <f>SUM(J95:K95)</f>
        <v>0</v>
      </c>
      <c r="M95" s="283">
        <f>F95-I95</f>
        <v>0</v>
      </c>
      <c r="N95" s="170">
        <f>F95-L95</f>
        <v>0</v>
      </c>
      <c r="O95" s="467"/>
      <c r="P95" s="455">
        <v>0</v>
      </c>
      <c r="Q95" s="458">
        <v>0</v>
      </c>
      <c r="R95" s="32"/>
      <c r="S95" s="156" t="str">
        <f>+IF(ABRIL!S95=0,"",ABRIL!S95)</f>
        <v>1020301-4</v>
      </c>
      <c r="T95" s="55" t="str">
        <f>+IF(ABRIL!T95=0,"",ABRIL!T95)</f>
        <v>Aporte a ARL. - Sin Sit. de Fondos</v>
      </c>
      <c r="U95" s="29">
        <f>+ENERO!U95</f>
        <v>1</v>
      </c>
      <c r="V95" s="17">
        <f>ABRIL!V95+MAYO!AL95</f>
        <v>0</v>
      </c>
      <c r="W95" s="17">
        <f>ABRIL!W95+MAYO!AM95</f>
        <v>0</v>
      </c>
      <c r="X95" s="20">
        <f>SUM(U95:W95)</f>
        <v>1</v>
      </c>
      <c r="Y95" s="21">
        <f>ABRIL!AA95</f>
        <v>0</v>
      </c>
      <c r="Z95" s="457">
        <v>0</v>
      </c>
      <c r="AA95" s="20">
        <f>SUM(Y95:Z95)</f>
        <v>0</v>
      </c>
      <c r="AB95" s="21">
        <f>ABRIL!AD95</f>
        <v>0</v>
      </c>
      <c r="AC95" s="457">
        <v>0</v>
      </c>
      <c r="AD95" s="20">
        <f>SUM(AB95:AC95)</f>
        <v>0</v>
      </c>
      <c r="AE95" s="21">
        <f>ABRIL!AG95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+IF(ABRIL!A96=0,"",ABRIL!A96)</f>
        <v>1130209 - 3</v>
      </c>
      <c r="B96" s="58" t="str">
        <f>+IF(ABRIL!B96=0,"",ABRIL!B96)</f>
        <v xml:space="preserve">Aprovechamientos </v>
      </c>
      <c r="C96" s="456">
        <f>+ENERO!C96</f>
        <v>105279194</v>
      </c>
      <c r="D96" s="456">
        <f>ABRIL!D96+MAYO!P96</f>
        <v>0</v>
      </c>
      <c r="E96" s="456">
        <f>ABRIL!E96+MAYO!Q96</f>
        <v>0</v>
      </c>
      <c r="F96" s="170">
        <f>SUM(C96:E96)</f>
        <v>105279194</v>
      </c>
      <c r="G96" s="283">
        <f>ABRIL!I96</f>
        <v>68595637</v>
      </c>
      <c r="H96" s="457">
        <v>265998</v>
      </c>
      <c r="I96" s="170">
        <f>SUM(G96:H96)</f>
        <v>68861635</v>
      </c>
      <c r="J96" s="283">
        <f>ABRIL!L96</f>
        <v>68595637</v>
      </c>
      <c r="K96" s="457">
        <v>265998</v>
      </c>
      <c r="L96" s="170">
        <f>SUM(J96:K96)</f>
        <v>68861635</v>
      </c>
      <c r="M96" s="283">
        <f>F96-I96</f>
        <v>36417559</v>
      </c>
      <c r="N96" s="170">
        <f>F96-L96</f>
        <v>36417559</v>
      </c>
      <c r="O96" s="467"/>
      <c r="P96" s="455">
        <v>0</v>
      </c>
      <c r="Q96" s="458">
        <v>0</v>
      </c>
      <c r="S96" s="155">
        <f>+IF(ABRIL!S96=0,"",ABRIL!S96)</f>
        <v>1020302</v>
      </c>
      <c r="T96" s="159" t="str">
        <f>+IF(ABRIL!T96=0,"",ABRIL!T96)</f>
        <v>Contribuciones - Otros</v>
      </c>
      <c r="U96" s="29">
        <f t="shared" ref="U96:AJ96" si="93">SUM(U97:U101)</f>
        <v>205975248</v>
      </c>
      <c r="V96" s="17">
        <f t="shared" si="93"/>
        <v>0</v>
      </c>
      <c r="W96" s="17">
        <f t="shared" si="93"/>
        <v>0</v>
      </c>
      <c r="X96" s="20">
        <f t="shared" si="93"/>
        <v>205975248</v>
      </c>
      <c r="Y96" s="21">
        <f t="shared" si="93"/>
        <v>95827851</v>
      </c>
      <c r="Z96" s="169">
        <f t="shared" si="93"/>
        <v>10535300</v>
      </c>
      <c r="AA96" s="20">
        <f t="shared" si="93"/>
        <v>106363151</v>
      </c>
      <c r="AB96" s="21">
        <f t="shared" si="93"/>
        <v>95827851</v>
      </c>
      <c r="AC96" s="169">
        <f t="shared" si="93"/>
        <v>10535300</v>
      </c>
      <c r="AD96" s="20">
        <f t="shared" si="93"/>
        <v>106363151</v>
      </c>
      <c r="AE96" s="21">
        <f t="shared" si="93"/>
        <v>85129130</v>
      </c>
      <c r="AF96" s="169">
        <f t="shared" si="93"/>
        <v>10561250</v>
      </c>
      <c r="AG96" s="20">
        <f t="shared" si="93"/>
        <v>95690380</v>
      </c>
      <c r="AH96" s="21">
        <f t="shared" si="93"/>
        <v>99612097</v>
      </c>
      <c r="AI96" s="17">
        <f t="shared" si="93"/>
        <v>99612097</v>
      </c>
      <c r="AJ96" s="18">
        <f t="shared" si="93"/>
        <v>110284868</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x14ac:dyDescent="0.25">
      <c r="A97" s="218" t="str">
        <f>+IF(ABRIL!A97=0,"",ABRIL!A97)</f>
        <v>1130209 - 4</v>
      </c>
      <c r="B97" s="219" t="str">
        <f>+IF(ABRIL!B97=0,"",ABRIL!B97)</f>
        <v>Otros</v>
      </c>
      <c r="C97" s="564">
        <f>+ENERO!C97</f>
        <v>0</v>
      </c>
      <c r="D97" s="564">
        <f>ABRIL!D97+MAYO!P97</f>
        <v>0</v>
      </c>
      <c r="E97" s="564">
        <f>ABRIL!E97+MAYO!Q97</f>
        <v>0</v>
      </c>
      <c r="F97" s="565">
        <f>SUM(C97:E97)</f>
        <v>0</v>
      </c>
      <c r="G97" s="566">
        <f>ABRIL!I97</f>
        <v>0</v>
      </c>
      <c r="H97" s="475">
        <v>0</v>
      </c>
      <c r="I97" s="565">
        <f>SUM(G97:H97)</f>
        <v>0</v>
      </c>
      <c r="J97" s="566">
        <f>ABRIL!L97</f>
        <v>0</v>
      </c>
      <c r="K97" s="475">
        <v>0</v>
      </c>
      <c r="L97" s="565">
        <f>SUM(J97:K97)</f>
        <v>0</v>
      </c>
      <c r="M97" s="566">
        <f>F97-I97</f>
        <v>0</v>
      </c>
      <c r="N97" s="565">
        <f>F97-L97</f>
        <v>0</v>
      </c>
      <c r="O97" s="467"/>
      <c r="P97" s="471">
        <v>0</v>
      </c>
      <c r="Q97" s="476">
        <v>0</v>
      </c>
      <c r="R97" s="32"/>
      <c r="S97" s="156" t="str">
        <f>+IF(ABRIL!S97=0,"",ABRIL!S97)</f>
        <v>1020302-1</v>
      </c>
      <c r="T97" s="55" t="str">
        <f>+IF(ABRIL!T97=0,"",ABRIL!T97)</f>
        <v>Aportes a E.P.S.- Con sit. Fondos</v>
      </c>
      <c r="U97" s="29">
        <f>+ENERO!U97</f>
        <v>13794433</v>
      </c>
      <c r="V97" s="17">
        <f>ABRIL!V97+MAYO!AL97</f>
        <v>0</v>
      </c>
      <c r="W97" s="17">
        <f>ABRIL!W97+MAYO!AM97</f>
        <v>0</v>
      </c>
      <c r="X97" s="20">
        <f t="shared" ref="X97:X102" si="94">SUM(U97:W97)</f>
        <v>13794433</v>
      </c>
      <c r="Y97" s="21">
        <f>ABRIL!AA97</f>
        <v>9083660</v>
      </c>
      <c r="Z97" s="457">
        <v>3109400</v>
      </c>
      <c r="AA97" s="20">
        <f t="shared" ref="AA97:AA102" si="95">SUM(Y97:Z97)</f>
        <v>12193060</v>
      </c>
      <c r="AB97" s="21">
        <f>ABRIL!AD97</f>
        <v>9083660</v>
      </c>
      <c r="AC97" s="814">
        <v>3109400</v>
      </c>
      <c r="AD97" s="20">
        <f t="shared" ref="AD97:AD102" si="96">SUM(AB97:AC97)</f>
        <v>12193060</v>
      </c>
      <c r="AE97" s="21">
        <f>ABRIL!AG97</f>
        <v>6768160</v>
      </c>
      <c r="AF97" s="457">
        <v>2315500</v>
      </c>
      <c r="AG97" s="20">
        <f t="shared" ref="AG97:AG102" si="97">SUM(AE97:AF97)</f>
        <v>9083660</v>
      </c>
      <c r="AH97" s="21">
        <f t="shared" ref="AH97:AH102" si="98">X97-AA97</f>
        <v>1601373</v>
      </c>
      <c r="AI97" s="17">
        <f t="shared" ref="AI97:AI102" si="99">X97-AD97</f>
        <v>1601373</v>
      </c>
      <c r="AJ97" s="18">
        <f t="shared" ref="AJ97:AJ102" si="100">X97-AG97</f>
        <v>4710773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+IF(ABRIL!S98=0,"",ABRIL!S98)</f>
        <v>1020302-2</v>
      </c>
      <c r="T98" s="55" t="str">
        <f>+IF(ABRIL!T98=0,"",ABRIL!T98)</f>
        <v>Aportes Fondos Pensionales - Con Sit. Fondos</v>
      </c>
      <c r="U98" s="29">
        <f>+ENERO!U98</f>
        <v>43426005</v>
      </c>
      <c r="V98" s="17">
        <f>ABRIL!V98+MAYO!AL98</f>
        <v>0</v>
      </c>
      <c r="W98" s="17">
        <f>ABRIL!W98+MAYO!AM98</f>
        <v>0</v>
      </c>
      <c r="X98" s="20">
        <f t="shared" si="94"/>
        <v>43426005</v>
      </c>
      <c r="Y98" s="21">
        <f>ABRIL!AA98</f>
        <v>13420650</v>
      </c>
      <c r="Z98" s="457">
        <v>2477300</v>
      </c>
      <c r="AA98" s="20">
        <f t="shared" si="95"/>
        <v>15897950</v>
      </c>
      <c r="AB98" s="21">
        <f>ABRIL!AD98</f>
        <v>13420650</v>
      </c>
      <c r="AC98" s="814">
        <v>2477300</v>
      </c>
      <c r="AD98" s="20">
        <f t="shared" si="96"/>
        <v>15897950</v>
      </c>
      <c r="AE98" s="21">
        <f>ABRIL!AG98</f>
        <v>10151300</v>
      </c>
      <c r="AF98" s="457">
        <v>3269350</v>
      </c>
      <c r="AG98" s="20">
        <f t="shared" si="97"/>
        <v>13420650</v>
      </c>
      <c r="AH98" s="21">
        <f t="shared" si="98"/>
        <v>27528055</v>
      </c>
      <c r="AI98" s="17">
        <f t="shared" si="99"/>
        <v>27528055</v>
      </c>
      <c r="AJ98" s="18">
        <f t="shared" si="100"/>
        <v>30005355</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+IF(ABRIL!A99=0,"",ABRIL!A99)</f>
        <v>11303</v>
      </c>
      <c r="B99" s="570" t="str">
        <f>+IF(ABRIL!B99=0,"",ABRIL!B99)</f>
        <v>Aportes no ligados a venta servicios de salud</v>
      </c>
      <c r="C99" s="572">
        <f t="shared" ref="C99:N99" si="101">SUM(C100:C106)</f>
        <v>0</v>
      </c>
      <c r="D99" s="572">
        <f t="shared" si="101"/>
        <v>227076373</v>
      </c>
      <c r="E99" s="572">
        <f t="shared" si="101"/>
        <v>25449068</v>
      </c>
      <c r="F99" s="573">
        <f t="shared" si="101"/>
        <v>252525441</v>
      </c>
      <c r="G99" s="571">
        <f t="shared" si="101"/>
        <v>84175147</v>
      </c>
      <c r="H99" s="572">
        <f t="shared" si="101"/>
        <v>21043787</v>
      </c>
      <c r="I99" s="573">
        <f t="shared" si="101"/>
        <v>105218934</v>
      </c>
      <c r="J99" s="571">
        <f t="shared" si="101"/>
        <v>84175147</v>
      </c>
      <c r="K99" s="572">
        <f t="shared" si="101"/>
        <v>21043787</v>
      </c>
      <c r="L99" s="573">
        <f t="shared" si="101"/>
        <v>105218934</v>
      </c>
      <c r="M99" s="571">
        <f t="shared" si="101"/>
        <v>147306507</v>
      </c>
      <c r="N99" s="573">
        <f t="shared" si="101"/>
        <v>147306507</v>
      </c>
      <c r="P99" s="215">
        <f>SUM(P100:P106)</f>
        <v>0</v>
      </c>
      <c r="Q99" s="216">
        <f>SUM(Q100:Q106)</f>
        <v>0</v>
      </c>
      <c r="R99" s="32"/>
      <c r="S99" s="156" t="str">
        <f>+IF(ABRIL!S99=0,"",ABRIL!S99)</f>
        <v>1020302-3</v>
      </c>
      <c r="T99" s="55" t="str">
        <f>+IF(ABRIL!T99=0,"",ABRIL!T99)</f>
        <v xml:space="preserve">Aportes a Fondos de Cesantia - Con Sit. de Fondos </v>
      </c>
      <c r="U99" s="29">
        <f>+ENERO!U99</f>
        <v>78984976</v>
      </c>
      <c r="V99" s="17">
        <f>ABRIL!V99+MAYO!AL99</f>
        <v>0</v>
      </c>
      <c r="W99" s="17">
        <f>ABRIL!W99+MAYO!AM99</f>
        <v>0</v>
      </c>
      <c r="X99" s="20">
        <f t="shared" si="94"/>
        <v>78984976</v>
      </c>
      <c r="Y99" s="21">
        <f>ABRIL!AA99</f>
        <v>53304141</v>
      </c>
      <c r="Z99" s="457">
        <v>0</v>
      </c>
      <c r="AA99" s="20">
        <f t="shared" si="95"/>
        <v>53304141</v>
      </c>
      <c r="AB99" s="21">
        <f>ABRIL!AD99</f>
        <v>53304141</v>
      </c>
      <c r="AC99" s="457">
        <v>0</v>
      </c>
      <c r="AD99" s="20">
        <f t="shared" si="96"/>
        <v>53304141</v>
      </c>
      <c r="AE99" s="21">
        <f>ABRIL!AG99</f>
        <v>53166670</v>
      </c>
      <c r="AF99" s="457">
        <v>0</v>
      </c>
      <c r="AG99" s="20">
        <f t="shared" si="97"/>
        <v>53166670</v>
      </c>
      <c r="AH99" s="21">
        <f t="shared" si="98"/>
        <v>25680835</v>
      </c>
      <c r="AI99" s="17">
        <f t="shared" si="99"/>
        <v>25680835</v>
      </c>
      <c r="AJ99" s="18">
        <f t="shared" si="100"/>
        <v>25818306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+IF(ABRIL!A100=0,"",ABRIL!A100)</f>
        <v>11303-1</v>
      </c>
      <c r="B100" s="59" t="str">
        <f>+IF(ABRIL!B100=0,"",ABRIL!B100)</f>
        <v xml:space="preserve">NACION </v>
      </c>
      <c r="C100" s="574">
        <f>+ENERO!C100</f>
        <v>0</v>
      </c>
      <c r="D100" s="574">
        <f>ABRIL!D100+MAYO!P100</f>
        <v>0</v>
      </c>
      <c r="E100" s="574">
        <f>ABRIL!E100+MAYO!Q100</f>
        <v>0</v>
      </c>
      <c r="F100" s="575">
        <f t="shared" ref="F100:F106" si="102">SUM(C100:E100)</f>
        <v>0</v>
      </c>
      <c r="G100" s="576">
        <f>ABRIL!I100</f>
        <v>0</v>
      </c>
      <c r="H100" s="457">
        <v>0</v>
      </c>
      <c r="I100" s="575">
        <f t="shared" ref="I100:I106" si="103">SUM(G100:H100)</f>
        <v>0</v>
      </c>
      <c r="J100" s="576">
        <f>ABRIL!L100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+IF(ABRIL!S100=0,"",ABRIL!S100)</f>
        <v>1020302-4</v>
      </c>
      <c r="T100" s="55" t="str">
        <f>+IF(ABRIL!T100=0,"",ABRIL!T100)</f>
        <v>Aporte a ARL. - Con Sit. de Fondos</v>
      </c>
      <c r="U100" s="29">
        <f>+ENERO!U100</f>
        <v>24654894</v>
      </c>
      <c r="V100" s="17">
        <f>ABRIL!V100+MAYO!AL100</f>
        <v>0</v>
      </c>
      <c r="W100" s="17">
        <f>ABRIL!W100+MAYO!AM100</f>
        <v>0</v>
      </c>
      <c r="X100" s="20">
        <f t="shared" si="94"/>
        <v>24654894</v>
      </c>
      <c r="Y100" s="21">
        <f>ABRIL!AA100</f>
        <v>7362400</v>
      </c>
      <c r="Z100" s="457">
        <v>1864000</v>
      </c>
      <c r="AA100" s="20">
        <f t="shared" si="95"/>
        <v>9226400</v>
      </c>
      <c r="AB100" s="21">
        <f>ABRIL!AD100</f>
        <v>7362400</v>
      </c>
      <c r="AC100" s="814">
        <v>1864000</v>
      </c>
      <c r="AD100" s="20">
        <f t="shared" si="96"/>
        <v>9226400</v>
      </c>
      <c r="AE100" s="21">
        <f>ABRIL!AG100</f>
        <v>5473400</v>
      </c>
      <c r="AF100" s="457">
        <v>1889000</v>
      </c>
      <c r="AG100" s="20">
        <f t="shared" si="97"/>
        <v>7362400</v>
      </c>
      <c r="AH100" s="21">
        <f t="shared" si="98"/>
        <v>15428494</v>
      </c>
      <c r="AI100" s="17">
        <f t="shared" si="99"/>
        <v>15428494</v>
      </c>
      <c r="AJ100" s="18">
        <f t="shared" si="100"/>
        <v>17292494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+IF(ABRIL!A101=0,"",ABRIL!A101)</f>
        <v>11303-2</v>
      </c>
      <c r="B101" s="59" t="str">
        <f>+IF(ABRIL!B101=0,"",ABRIL!B101)</f>
        <v>DEPARTAMENTO</v>
      </c>
      <c r="C101" s="574">
        <f>+ENERO!C101</f>
        <v>0</v>
      </c>
      <c r="D101" s="574">
        <f>ABRIL!D101+MAYO!P101</f>
        <v>0</v>
      </c>
      <c r="E101" s="574">
        <f>ABRIL!E101+MAYO!Q101</f>
        <v>0</v>
      </c>
      <c r="F101" s="575">
        <f t="shared" si="102"/>
        <v>0</v>
      </c>
      <c r="G101" s="576">
        <f>ABRIL!I101</f>
        <v>0</v>
      </c>
      <c r="H101" s="457">
        <v>0</v>
      </c>
      <c r="I101" s="575">
        <f t="shared" si="103"/>
        <v>0</v>
      </c>
      <c r="J101" s="576">
        <f>ABRIL!L101</f>
        <v>0</v>
      </c>
      <c r="K101" s="457">
        <v>0</v>
      </c>
      <c r="L101" s="575">
        <f t="shared" si="104"/>
        <v>0</v>
      </c>
      <c r="M101" s="576">
        <f t="shared" si="105"/>
        <v>0</v>
      </c>
      <c r="N101" s="575">
        <f t="shared" si="106"/>
        <v>0</v>
      </c>
      <c r="O101" s="562"/>
      <c r="P101" s="455">
        <v>0</v>
      </c>
      <c r="Q101" s="458">
        <v>0</v>
      </c>
      <c r="R101" s="10"/>
      <c r="S101" s="156" t="str">
        <f>+IF(ABRIL!S101=0,"",ABRIL!S101)</f>
        <v>1020302-5</v>
      </c>
      <c r="T101" s="55" t="str">
        <f>+IF(ABRIL!T101=0,"",ABRIL!T101)</f>
        <v>Aporte a Caja Compensación Familiar</v>
      </c>
      <c r="U101" s="29">
        <f>+ENERO!U101</f>
        <v>45114940</v>
      </c>
      <c r="V101" s="17">
        <f>ABRIL!V101+MAYO!AL101</f>
        <v>0</v>
      </c>
      <c r="W101" s="17">
        <f>ABRIL!W101+MAYO!AM101</f>
        <v>0</v>
      </c>
      <c r="X101" s="20">
        <f t="shared" si="94"/>
        <v>45114940</v>
      </c>
      <c r="Y101" s="21">
        <f>ABRIL!AA101</f>
        <v>12657000</v>
      </c>
      <c r="Z101" s="457">
        <v>3084600</v>
      </c>
      <c r="AA101" s="20">
        <f t="shared" si="95"/>
        <v>15741600</v>
      </c>
      <c r="AB101" s="21">
        <f>ABRIL!AD101</f>
        <v>12657000</v>
      </c>
      <c r="AC101" s="814">
        <v>3084600</v>
      </c>
      <c r="AD101" s="20">
        <f t="shared" si="96"/>
        <v>15741600</v>
      </c>
      <c r="AE101" s="21">
        <f>ABRIL!AG101</f>
        <v>9569600</v>
      </c>
      <c r="AF101" s="457">
        <v>3087400</v>
      </c>
      <c r="AG101" s="20">
        <f t="shared" si="97"/>
        <v>12657000</v>
      </c>
      <c r="AH101" s="21">
        <f t="shared" si="98"/>
        <v>29373340</v>
      </c>
      <c r="AI101" s="17">
        <f t="shared" si="99"/>
        <v>29373340</v>
      </c>
      <c r="AJ101" s="18">
        <f t="shared" si="100"/>
        <v>32457940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+IF(ABRIL!A102=0,"",ABRIL!A102)</f>
        <v>11303-3</v>
      </c>
      <c r="B102" s="59" t="str">
        <f>+IF(ABRIL!B102=0,"",ABRIL!B102)</f>
        <v>MUNICIPIO</v>
      </c>
      <c r="C102" s="574">
        <f>+ENERO!C102</f>
        <v>0</v>
      </c>
      <c r="D102" s="574">
        <f>ABRIL!D102+MAYO!P102</f>
        <v>0</v>
      </c>
      <c r="E102" s="574">
        <f>ABRIL!E102+MAYO!Q102</f>
        <v>0</v>
      </c>
      <c r="F102" s="575">
        <f t="shared" si="102"/>
        <v>0</v>
      </c>
      <c r="G102" s="576">
        <f>ABRIL!I102</f>
        <v>0</v>
      </c>
      <c r="H102" s="457">
        <v>0</v>
      </c>
      <c r="I102" s="575">
        <f t="shared" si="103"/>
        <v>0</v>
      </c>
      <c r="J102" s="576">
        <f>ABRIL!L102</f>
        <v>0</v>
      </c>
      <c r="K102" s="457">
        <v>0</v>
      </c>
      <c r="L102" s="575">
        <f t="shared" si="104"/>
        <v>0</v>
      </c>
      <c r="M102" s="576">
        <f t="shared" si="105"/>
        <v>0</v>
      </c>
      <c r="N102" s="575">
        <f t="shared" si="106"/>
        <v>0</v>
      </c>
      <c r="O102" s="562"/>
      <c r="P102" s="455">
        <v>0</v>
      </c>
      <c r="Q102" s="458">
        <v>0</v>
      </c>
      <c r="R102" s="10"/>
      <c r="S102" s="155">
        <f>+IF(ABRIL!S102=0,"",ABRIL!S102)</f>
        <v>1020399</v>
      </c>
      <c r="T102" s="159" t="str">
        <f>+IF(ABRIL!T102=0,"",ABRIL!T102)</f>
        <v>Vigencias Anteriores</v>
      </c>
      <c r="U102" s="29">
        <f>+ENERO!U102</f>
        <v>0</v>
      </c>
      <c r="V102" s="17">
        <f>ABRIL!V102+MAYO!AL102</f>
        <v>0</v>
      </c>
      <c r="W102" s="17">
        <f>ABRIL!W102+MAYO!AM102</f>
        <v>5352587</v>
      </c>
      <c r="X102" s="20">
        <f t="shared" si="94"/>
        <v>5352587</v>
      </c>
      <c r="Y102" s="21">
        <f>ABRIL!AA102</f>
        <v>5352587</v>
      </c>
      <c r="Z102" s="457">
        <v>0</v>
      </c>
      <c r="AA102" s="20">
        <f t="shared" si="95"/>
        <v>5352587</v>
      </c>
      <c r="AB102" s="21">
        <f>ABRIL!AD102</f>
        <v>5352587</v>
      </c>
      <c r="AC102" s="457">
        <v>0</v>
      </c>
      <c r="AD102" s="20">
        <f t="shared" si="96"/>
        <v>5352587</v>
      </c>
      <c r="AE102" s="21">
        <f>ABRIL!AG102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+IF(ABRIL!A103=0,"",ABRIL!A103)</f>
        <v>11303-4</v>
      </c>
      <c r="B103" s="59" t="str">
        <f>+IF(ABRIL!B103=0,"",ABRIL!B103)</f>
        <v>CONVENIOS (EMPRESTITO)</v>
      </c>
      <c r="C103" s="574">
        <f>+ENERO!C103</f>
        <v>0</v>
      </c>
      <c r="D103" s="574">
        <f>ABRIL!D103+MAYO!P103</f>
        <v>0</v>
      </c>
      <c r="E103" s="574">
        <f>ABRIL!E103+MAYO!Q103</f>
        <v>0</v>
      </c>
      <c r="F103" s="575">
        <f t="shared" si="102"/>
        <v>0</v>
      </c>
      <c r="G103" s="576">
        <f>ABRIL!I103</f>
        <v>0</v>
      </c>
      <c r="H103" s="457">
        <v>0</v>
      </c>
      <c r="I103" s="575">
        <f t="shared" si="103"/>
        <v>0</v>
      </c>
      <c r="J103" s="576">
        <f>ABRIL!L103</f>
        <v>0</v>
      </c>
      <c r="K103" s="457">
        <v>0</v>
      </c>
      <c r="L103" s="575">
        <f t="shared" si="104"/>
        <v>0</v>
      </c>
      <c r="M103" s="576">
        <f t="shared" si="105"/>
        <v>0</v>
      </c>
      <c r="N103" s="575">
        <f t="shared" si="106"/>
        <v>0</v>
      </c>
      <c r="O103" s="562"/>
      <c r="P103" s="455">
        <v>0</v>
      </c>
      <c r="Q103" s="458">
        <v>0</v>
      </c>
      <c r="R103" s="10"/>
      <c r="S103" s="448" t="str">
        <f>+IF(ABRIL!S103=0,"",ABRIL!S103)</f>
        <v/>
      </c>
      <c r="T103" s="649" t="str">
        <f>+IF(ABRIL!T103=0,"",ABRIL!T103)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+IF(ABRIL!A104=0,"",ABRIL!A104)</f>
        <v>11303-5</v>
      </c>
      <c r="B104" s="59" t="str">
        <f>+IF(ABRIL!B104=0,"",ABRIL!B104)</f>
        <v>OTROS CONVENIOS</v>
      </c>
      <c r="C104" s="574">
        <f>+ENERO!C104</f>
        <v>0</v>
      </c>
      <c r="D104" s="574">
        <f>ABRIL!D104+MAYO!P104</f>
        <v>0</v>
      </c>
      <c r="E104" s="574">
        <f>ABRIL!E104+MAYO!Q104</f>
        <v>0</v>
      </c>
      <c r="F104" s="575">
        <f t="shared" si="102"/>
        <v>0</v>
      </c>
      <c r="G104" s="576">
        <f>ABRIL!I104</f>
        <v>0</v>
      </c>
      <c r="H104" s="457">
        <v>0</v>
      </c>
      <c r="I104" s="575">
        <f t="shared" si="103"/>
        <v>0</v>
      </c>
      <c r="J104" s="576">
        <f>ABRIL!L104</f>
        <v>0</v>
      </c>
      <c r="K104" s="457">
        <v>0</v>
      </c>
      <c r="L104" s="575">
        <f t="shared" si="104"/>
        <v>0</v>
      </c>
      <c r="M104" s="576">
        <f t="shared" si="105"/>
        <v>0</v>
      </c>
      <c r="N104" s="575">
        <f t="shared" si="106"/>
        <v>0</v>
      </c>
      <c r="O104" s="562"/>
      <c r="P104" s="455">
        <v>0</v>
      </c>
      <c r="Q104" s="458">
        <v>0</v>
      </c>
      <c r="R104" s="10"/>
      <c r="S104" s="34">
        <f>+IF(ABRIL!S104=0,"",ABRIL!S104)</f>
        <v>1020400</v>
      </c>
      <c r="T104" s="158" t="str">
        <f>+IF(ABRIL!T104=0,"",ABRIL!T104)</f>
        <v>Contribuciones Inherentes nómina del Sector Publico</v>
      </c>
      <c r="U104" s="157">
        <f t="shared" ref="U104:AJ104" si="107">U105+U108</f>
        <v>56393675</v>
      </c>
      <c r="V104" s="144">
        <f t="shared" si="107"/>
        <v>0</v>
      </c>
      <c r="W104" s="144">
        <f t="shared" si="107"/>
        <v>0</v>
      </c>
      <c r="X104" s="152">
        <f t="shared" si="107"/>
        <v>56393675</v>
      </c>
      <c r="Y104" s="151">
        <f t="shared" si="107"/>
        <v>15671000</v>
      </c>
      <c r="Z104" s="144">
        <f t="shared" si="107"/>
        <v>3854800</v>
      </c>
      <c r="AA104" s="152">
        <f t="shared" si="107"/>
        <v>19525800</v>
      </c>
      <c r="AB104" s="151">
        <f t="shared" si="107"/>
        <v>15671000</v>
      </c>
      <c r="AC104" s="144">
        <f t="shared" si="107"/>
        <v>3854800</v>
      </c>
      <c r="AD104" s="152">
        <f t="shared" si="107"/>
        <v>19525800</v>
      </c>
      <c r="AE104" s="151">
        <f t="shared" si="107"/>
        <v>11812400</v>
      </c>
      <c r="AF104" s="144">
        <f t="shared" si="107"/>
        <v>3858600</v>
      </c>
      <c r="AG104" s="152">
        <f t="shared" si="107"/>
        <v>15671000</v>
      </c>
      <c r="AH104" s="151">
        <f t="shared" si="107"/>
        <v>36867875</v>
      </c>
      <c r="AI104" s="144">
        <f t="shared" si="107"/>
        <v>36867875</v>
      </c>
      <c r="AJ104" s="153">
        <f t="shared" si="107"/>
        <v>40722675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+IF(ABRIL!A105=0,"",ABRIL!A105)</f>
        <v>11303-6</v>
      </c>
      <c r="B105" s="59" t="str">
        <f>+IF(ABRIL!B105=0,"",ABRIL!B105)</f>
        <v>APORTES PATRONALES MUNICIPIO / DEPARTAMENTO</v>
      </c>
      <c r="C105" s="574">
        <f>+ENERO!C105</f>
        <v>0</v>
      </c>
      <c r="D105" s="574">
        <f>ABRIL!D105+MAYO!P105</f>
        <v>227076373</v>
      </c>
      <c r="E105" s="574">
        <f>ABRIL!E105+MAYO!Q105</f>
        <v>25449068</v>
      </c>
      <c r="F105" s="575">
        <f t="shared" si="102"/>
        <v>252525441</v>
      </c>
      <c r="G105" s="576">
        <f>ABRIL!I105</f>
        <v>84175147</v>
      </c>
      <c r="H105" s="457">
        <v>21043787</v>
      </c>
      <c r="I105" s="575">
        <f t="shared" si="103"/>
        <v>105218934</v>
      </c>
      <c r="J105" s="576">
        <f>ABRIL!L105</f>
        <v>84175147</v>
      </c>
      <c r="K105" s="457">
        <v>21043787</v>
      </c>
      <c r="L105" s="575">
        <f t="shared" si="104"/>
        <v>105218934</v>
      </c>
      <c r="M105" s="576">
        <f t="shared" si="105"/>
        <v>147306507</v>
      </c>
      <c r="N105" s="575">
        <f t="shared" si="106"/>
        <v>147306507</v>
      </c>
      <c r="O105" s="562"/>
      <c r="P105" s="455">
        <v>0</v>
      </c>
      <c r="Q105" s="458">
        <v>0</v>
      </c>
      <c r="R105" s="10"/>
      <c r="S105" s="155">
        <f>+IF(ABRIL!S105=0,"",ABRIL!S105)</f>
        <v>1020402</v>
      </c>
      <c r="T105" s="159" t="str">
        <f>+IF(ABRIL!T105=0,"",ABRIL!T105)</f>
        <v>Contribuciones - Otros</v>
      </c>
      <c r="U105" s="29">
        <f t="shared" ref="U105:AJ105" si="108">SUM(U106:U107)</f>
        <v>56393675</v>
      </c>
      <c r="V105" s="17">
        <f t="shared" si="108"/>
        <v>0</v>
      </c>
      <c r="W105" s="17">
        <f t="shared" si="108"/>
        <v>0</v>
      </c>
      <c r="X105" s="20">
        <f t="shared" si="108"/>
        <v>56393675</v>
      </c>
      <c r="Y105" s="21">
        <f t="shared" si="108"/>
        <v>15671000</v>
      </c>
      <c r="Z105" s="169">
        <f t="shared" si="108"/>
        <v>3854800</v>
      </c>
      <c r="AA105" s="20">
        <f t="shared" si="108"/>
        <v>19525800</v>
      </c>
      <c r="AB105" s="21">
        <f t="shared" si="108"/>
        <v>15671000</v>
      </c>
      <c r="AC105" s="169">
        <f t="shared" si="108"/>
        <v>3854800</v>
      </c>
      <c r="AD105" s="20">
        <f t="shared" si="108"/>
        <v>19525800</v>
      </c>
      <c r="AE105" s="21">
        <f t="shared" si="108"/>
        <v>11812400</v>
      </c>
      <c r="AF105" s="169">
        <f t="shared" si="108"/>
        <v>3858600</v>
      </c>
      <c r="AG105" s="20">
        <f t="shared" si="108"/>
        <v>15671000</v>
      </c>
      <c r="AH105" s="21">
        <f t="shared" si="108"/>
        <v>36867875</v>
      </c>
      <c r="AI105" s="17">
        <f t="shared" si="108"/>
        <v>36867875</v>
      </c>
      <c r="AJ105" s="18">
        <f t="shared" si="108"/>
        <v>40722675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+IF(ABRIL!A106=0,"",ABRIL!A106)</f>
        <v>11303-5</v>
      </c>
      <c r="B106" s="578" t="str">
        <f>+IF(ABRIL!B106=0,"",ABRIL!B106)</f>
        <v>Vigencias Anteriores</v>
      </c>
      <c r="C106" s="564">
        <f>+ENERO!C106</f>
        <v>0</v>
      </c>
      <c r="D106" s="564">
        <f>ABRIL!D106+MAYO!P106</f>
        <v>0</v>
      </c>
      <c r="E106" s="564">
        <f>ABRIL!E106+MAYO!Q106</f>
        <v>0</v>
      </c>
      <c r="F106" s="565">
        <f t="shared" si="102"/>
        <v>0</v>
      </c>
      <c r="G106" s="566">
        <f>ABRIL!I106</f>
        <v>0</v>
      </c>
      <c r="H106" s="475">
        <v>0</v>
      </c>
      <c r="I106" s="565">
        <f t="shared" si="103"/>
        <v>0</v>
      </c>
      <c r="J106" s="566">
        <f>ABRIL!L106</f>
        <v>0</v>
      </c>
      <c r="K106" s="475">
        <v>0</v>
      </c>
      <c r="L106" s="565">
        <f t="shared" si="104"/>
        <v>0</v>
      </c>
      <c r="M106" s="566">
        <f t="shared" si="105"/>
        <v>0</v>
      </c>
      <c r="N106" s="565">
        <f t="shared" si="106"/>
        <v>0</v>
      </c>
      <c r="O106" s="562"/>
      <c r="P106" s="471">
        <v>0</v>
      </c>
      <c r="Q106" s="476">
        <v>0</v>
      </c>
      <c r="R106" s="10"/>
      <c r="S106" s="156" t="str">
        <f>+IF(ABRIL!S106=0,"",ABRIL!S106)</f>
        <v>1020402-1</v>
      </c>
      <c r="T106" s="159" t="str">
        <f>+IF(ABRIL!T106=0,"",ABRIL!T106)</f>
        <v>S.E.N.A.</v>
      </c>
      <c r="U106" s="29">
        <f>+ENERO!U106</f>
        <v>22557470</v>
      </c>
      <c r="V106" s="17">
        <f>ABRIL!V106+MAYO!AL106</f>
        <v>0</v>
      </c>
      <c r="W106" s="17">
        <f>ABRIL!W106+MAYO!AM106</f>
        <v>0</v>
      </c>
      <c r="X106" s="20">
        <f>SUM(U106:W106)</f>
        <v>22557470</v>
      </c>
      <c r="Y106" s="21">
        <f>ABRIL!AA106</f>
        <v>6309900</v>
      </c>
      <c r="Z106" s="457">
        <v>1541800</v>
      </c>
      <c r="AA106" s="20">
        <f>SUM(Y106:Z106)</f>
        <v>7851700</v>
      </c>
      <c r="AB106" s="21">
        <f>ABRIL!AD106</f>
        <v>6309900</v>
      </c>
      <c r="AC106" s="814">
        <v>1541800</v>
      </c>
      <c r="AD106" s="20">
        <f>SUM(AB106:AC106)</f>
        <v>7851700</v>
      </c>
      <c r="AE106" s="21">
        <f>ABRIL!AG106</f>
        <v>4766500</v>
      </c>
      <c r="AF106" s="457">
        <v>1543400</v>
      </c>
      <c r="AG106" s="20">
        <f>SUM(AE106:AF106)</f>
        <v>6309900</v>
      </c>
      <c r="AH106" s="21">
        <f>X106-AA106</f>
        <v>14705770</v>
      </c>
      <c r="AI106" s="17">
        <f>X106-AD106</f>
        <v>14705770</v>
      </c>
      <c r="AJ106" s="18">
        <f>X106-AG106</f>
        <v>16247570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579"/>
      <c r="Q107" s="479"/>
      <c r="R107" s="10"/>
      <c r="S107" s="156" t="str">
        <f>+IF(ABRIL!S107=0,"",ABRIL!S107)</f>
        <v>1020402-2</v>
      </c>
      <c r="T107" s="159" t="str">
        <f>+IF(ABRIL!T107=0,"",ABRIL!T107)</f>
        <v>I.C.B.F.</v>
      </c>
      <c r="U107" s="29">
        <f>+ENERO!U107</f>
        <v>33836205</v>
      </c>
      <c r="V107" s="17">
        <f>ABRIL!V107+MAYO!AL107</f>
        <v>0</v>
      </c>
      <c r="W107" s="17">
        <f>ABRIL!W107+MAYO!AM107</f>
        <v>0</v>
      </c>
      <c r="X107" s="20">
        <f>SUM(U107:W107)</f>
        <v>33836205</v>
      </c>
      <c r="Y107" s="21">
        <f>ABRIL!AA107</f>
        <v>9361100</v>
      </c>
      <c r="Z107" s="457">
        <v>2313000</v>
      </c>
      <c r="AA107" s="20">
        <f>SUM(Y107:Z107)</f>
        <v>11674100</v>
      </c>
      <c r="AB107" s="21">
        <f>ABRIL!AD107</f>
        <v>9361100</v>
      </c>
      <c r="AC107" s="814">
        <v>2313000</v>
      </c>
      <c r="AD107" s="20">
        <f>SUM(AB107:AC107)</f>
        <v>11674100</v>
      </c>
      <c r="AE107" s="21">
        <f>ABRIL!AG107</f>
        <v>7045900</v>
      </c>
      <c r="AF107" s="457">
        <v>2315200</v>
      </c>
      <c r="AG107" s="20">
        <f>SUM(AE107:AF107)</f>
        <v>9361100</v>
      </c>
      <c r="AH107" s="21">
        <f>X107-AA107</f>
        <v>22162105</v>
      </c>
      <c r="AI107" s="17">
        <f>X107-AD107</f>
        <v>22162105</v>
      </c>
      <c r="AJ107" s="18">
        <f>X107-AG107</f>
        <v>24475105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+IF(ABRIL!A108=0,"",ABRIL!A108)</f>
        <v>2000</v>
      </c>
      <c r="B108" s="439" t="str">
        <f>+IF(ABRIL!B108=0,"",ABRIL!B108)</f>
        <v>INGRESOS DE CAPITAL</v>
      </c>
      <c r="C108" s="215">
        <f t="shared" ref="C108:N108" si="109">SUM(C109:C117)</f>
        <v>1452387</v>
      </c>
      <c r="D108" s="435">
        <f t="shared" si="109"/>
        <v>0</v>
      </c>
      <c r="E108" s="435">
        <f t="shared" si="109"/>
        <v>0</v>
      </c>
      <c r="F108" s="216">
        <f t="shared" si="109"/>
        <v>1452387</v>
      </c>
      <c r="G108" s="215">
        <f t="shared" si="109"/>
        <v>1325599</v>
      </c>
      <c r="H108" s="435">
        <f t="shared" si="109"/>
        <v>205278</v>
      </c>
      <c r="I108" s="216">
        <f t="shared" si="109"/>
        <v>1530877</v>
      </c>
      <c r="J108" s="215">
        <f t="shared" si="109"/>
        <v>1325599</v>
      </c>
      <c r="K108" s="435">
        <f t="shared" si="109"/>
        <v>205278</v>
      </c>
      <c r="L108" s="216">
        <f t="shared" si="109"/>
        <v>1530877</v>
      </c>
      <c r="M108" s="215">
        <f t="shared" si="109"/>
        <v>-78490</v>
      </c>
      <c r="N108" s="216">
        <f t="shared" si="109"/>
        <v>-78490</v>
      </c>
      <c r="O108" s="562"/>
      <c r="P108" s="215">
        <f>SUM(P109:P117)</f>
        <v>0</v>
      </c>
      <c r="Q108" s="216">
        <f>SUM(Q109:Q117)</f>
        <v>0</v>
      </c>
      <c r="R108" s="10"/>
      <c r="S108" s="155">
        <f>+IF(ABRIL!S108=0,"",ABRIL!S108)</f>
        <v>1020499</v>
      </c>
      <c r="T108" s="159" t="str">
        <f>+IF(ABRIL!T108=0,"",ABRIL!T108)</f>
        <v>Vigencias Anteriores</v>
      </c>
      <c r="U108" s="29">
        <f>+ENERO!U108</f>
        <v>0</v>
      </c>
      <c r="V108" s="17">
        <f>ABRIL!V108+MAYO!AL108</f>
        <v>0</v>
      </c>
      <c r="W108" s="17">
        <f>ABRIL!W108+MAYO!AM108</f>
        <v>0</v>
      </c>
      <c r="X108" s="20">
        <f>SUM(U108:W108)</f>
        <v>0</v>
      </c>
      <c r="Y108" s="21">
        <f>ABRIL!AA108</f>
        <v>0</v>
      </c>
      <c r="Z108" s="457">
        <v>0</v>
      </c>
      <c r="AA108" s="20">
        <f>SUM(Y108:Z108)</f>
        <v>0</v>
      </c>
      <c r="AB108" s="21">
        <f>ABRIL!AD108</f>
        <v>0</v>
      </c>
      <c r="AC108" s="457">
        <v>0</v>
      </c>
      <c r="AD108" s="20">
        <f>SUM(AB108:AC108)</f>
        <v>0</v>
      </c>
      <c r="AE108" s="21">
        <f>ABRIL!AG108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+IF(ABRIL!A109=0,"",ABRIL!A109)</f>
        <v>2100</v>
      </c>
      <c r="B109" s="56" t="str">
        <f>+IF(ABRIL!B109=0,"",ABRIL!B109)</f>
        <v>CREDITO INTERNO</v>
      </c>
      <c r="C109" s="576">
        <f>+ENERO!C109</f>
        <v>0</v>
      </c>
      <c r="D109" s="574">
        <f>ABRIL!D109+MAYO!P109</f>
        <v>0</v>
      </c>
      <c r="E109" s="574">
        <f>ABRIL!E109+MAYO!Q109</f>
        <v>0</v>
      </c>
      <c r="F109" s="575">
        <f t="shared" ref="F109:F116" si="110">SUM(C109:E109)</f>
        <v>0</v>
      </c>
      <c r="G109" s="576">
        <f>ABRIL!I109</f>
        <v>0</v>
      </c>
      <c r="H109" s="457">
        <v>0</v>
      </c>
      <c r="I109" s="575">
        <f t="shared" ref="I109:I116" si="111">SUM(G109:H109)</f>
        <v>0</v>
      </c>
      <c r="J109" s="576">
        <f>ABRIL!L109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+IF(ABRIL!S109=0,"",ABRIL!S109)</f>
        <v/>
      </c>
      <c r="T109" s="649" t="str">
        <f>+IF(ABRIL!T109=0,"",ABRIL!T109)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+IF(ABRIL!A110=0,"",ABRIL!A110)</f>
        <v>2100-1</v>
      </c>
      <c r="B110" s="563" t="s">
        <v>482</v>
      </c>
      <c r="C110" s="576">
        <f>+ENERO!C110</f>
        <v>0</v>
      </c>
      <c r="D110" s="574">
        <f>ABRIL!D110+MAYO!P110</f>
        <v>0</v>
      </c>
      <c r="E110" s="574">
        <f>ABRIL!E110+MAYO!Q110</f>
        <v>0</v>
      </c>
      <c r="F110" s="575">
        <f t="shared" si="110"/>
        <v>0</v>
      </c>
      <c r="G110" s="576">
        <f>ABRIL!I110</f>
        <v>0</v>
      </c>
      <c r="H110" s="457">
        <v>0</v>
      </c>
      <c r="I110" s="575">
        <f t="shared" si="111"/>
        <v>0</v>
      </c>
      <c r="J110" s="576">
        <f>ABRIL!L110</f>
        <v>0</v>
      </c>
      <c r="K110" s="457">
        <v>0</v>
      </c>
      <c r="L110" s="575">
        <f t="shared" si="112"/>
        <v>0</v>
      </c>
      <c r="M110" s="576">
        <f t="shared" si="113"/>
        <v>0</v>
      </c>
      <c r="N110" s="575">
        <f t="shared" si="114"/>
        <v>0</v>
      </c>
      <c r="O110" s="562"/>
      <c r="P110" s="455">
        <v>0</v>
      </c>
      <c r="Q110" s="458">
        <v>0</v>
      </c>
      <c r="R110" s="10"/>
      <c r="S110" s="469">
        <f>+IF(ABRIL!S110=0,"",ABRIL!S110)</f>
        <v>2000000</v>
      </c>
      <c r="T110" s="588" t="str">
        <f>+IF(ABRIL!T110=0,"",ABRIL!T110)</f>
        <v>GASTOS GENERALES</v>
      </c>
      <c r="U110" s="589">
        <f t="shared" ref="U110:AJ110" si="115">U112+U145</f>
        <v>576550123</v>
      </c>
      <c r="V110" s="590">
        <f t="shared" si="115"/>
        <v>-746499</v>
      </c>
      <c r="W110" s="590">
        <f t="shared" si="115"/>
        <v>20751005</v>
      </c>
      <c r="X110" s="591">
        <f t="shared" si="115"/>
        <v>596554629</v>
      </c>
      <c r="Y110" s="464">
        <f t="shared" si="115"/>
        <v>188277930</v>
      </c>
      <c r="Z110" s="590">
        <f t="shared" si="115"/>
        <v>87890281</v>
      </c>
      <c r="AA110" s="591">
        <f t="shared" si="115"/>
        <v>276168211</v>
      </c>
      <c r="AB110" s="464">
        <f t="shared" si="115"/>
        <v>188277929</v>
      </c>
      <c r="AC110" s="590">
        <f t="shared" si="115"/>
        <v>87890281</v>
      </c>
      <c r="AD110" s="591">
        <f t="shared" si="115"/>
        <v>276168210</v>
      </c>
      <c r="AE110" s="464">
        <f t="shared" si="115"/>
        <v>137923992</v>
      </c>
      <c r="AF110" s="590">
        <f t="shared" si="115"/>
        <v>81118113</v>
      </c>
      <c r="AG110" s="591">
        <f t="shared" si="115"/>
        <v>219042105</v>
      </c>
      <c r="AH110" s="464">
        <f t="shared" si="115"/>
        <v>320386418</v>
      </c>
      <c r="AI110" s="590">
        <f t="shared" si="115"/>
        <v>320386419</v>
      </c>
      <c r="AJ110" s="465">
        <f t="shared" si="115"/>
        <v>377512524</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+IF(ABRIL!A111=0,"",ABRIL!A111)</f>
        <v>2200</v>
      </c>
      <c r="B111" s="56" t="str">
        <f>+IF(ABRIL!B111=0,"",ABRIL!B111)</f>
        <v>CREDITO EXTERNO</v>
      </c>
      <c r="C111" s="576">
        <f>+ENERO!C111</f>
        <v>0</v>
      </c>
      <c r="D111" s="574">
        <f>ABRIL!D111+MAYO!P111</f>
        <v>0</v>
      </c>
      <c r="E111" s="574">
        <f>ABRIL!E111+MAYO!Q111</f>
        <v>0</v>
      </c>
      <c r="F111" s="575">
        <f t="shared" si="110"/>
        <v>0</v>
      </c>
      <c r="G111" s="576">
        <f>ABRIL!I111</f>
        <v>0</v>
      </c>
      <c r="H111" s="457">
        <v>0</v>
      </c>
      <c r="I111" s="575">
        <f t="shared" si="111"/>
        <v>0</v>
      </c>
      <c r="J111" s="576">
        <f>ABRIL!L111</f>
        <v>0</v>
      </c>
      <c r="K111" s="457">
        <v>0</v>
      </c>
      <c r="L111" s="575">
        <f t="shared" si="112"/>
        <v>0</v>
      </c>
      <c r="M111" s="576">
        <f t="shared" si="113"/>
        <v>0</v>
      </c>
      <c r="N111" s="575">
        <f t="shared" si="114"/>
        <v>0</v>
      </c>
      <c r="O111" s="562"/>
      <c r="P111" s="455">
        <v>0</v>
      </c>
      <c r="Q111" s="458">
        <v>0</v>
      </c>
      <c r="R111" s="10"/>
      <c r="S111" s="448" t="str">
        <f>+IF(ABRIL!S111=0,"",ABRIL!S111)</f>
        <v/>
      </c>
      <c r="T111" s="649" t="str">
        <f>+IF(ABRIL!T111=0,"",ABRIL!T111)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+IF(ABRIL!A112=0,"",ABRIL!A112)</f>
        <v>2200-1</v>
      </c>
      <c r="B112" s="563" t="s">
        <v>482</v>
      </c>
      <c r="C112" s="576">
        <f>+ENERO!C112</f>
        <v>0</v>
      </c>
      <c r="D112" s="574">
        <f>ABRIL!D112+MAYO!P112</f>
        <v>0</v>
      </c>
      <c r="E112" s="574">
        <f>ABRIL!E112+MAYO!Q112</f>
        <v>0</v>
      </c>
      <c r="F112" s="575">
        <f t="shared" si="110"/>
        <v>0</v>
      </c>
      <c r="G112" s="576">
        <f>ABRIL!I112</f>
        <v>0</v>
      </c>
      <c r="H112" s="457">
        <v>0</v>
      </c>
      <c r="I112" s="575">
        <f t="shared" si="111"/>
        <v>0</v>
      </c>
      <c r="J112" s="576">
        <f>ABRIL!L112</f>
        <v>0</v>
      </c>
      <c r="K112" s="457">
        <v>0</v>
      </c>
      <c r="L112" s="575">
        <f t="shared" si="112"/>
        <v>0</v>
      </c>
      <c r="M112" s="576">
        <f t="shared" si="113"/>
        <v>0</v>
      </c>
      <c r="N112" s="575">
        <f t="shared" si="114"/>
        <v>0</v>
      </c>
      <c r="O112" s="562"/>
      <c r="P112" s="455">
        <v>0</v>
      </c>
      <c r="Q112" s="458">
        <v>0</v>
      </c>
      <c r="R112" s="10"/>
      <c r="S112" s="469">
        <f>+IF(ABRIL!S112=0,"",ABRIL!S112)</f>
        <v>2010000</v>
      </c>
      <c r="T112" s="470" t="str">
        <f>+IF(ABRIL!T112=0,"",ABRIL!T112)</f>
        <v>Gastos de Administración</v>
      </c>
      <c r="U112" s="157">
        <f t="shared" ref="U112:AJ112" si="116">U114+U123+U141</f>
        <v>198386660</v>
      </c>
      <c r="V112" s="144">
        <f t="shared" si="116"/>
        <v>0</v>
      </c>
      <c r="W112" s="144">
        <f t="shared" si="116"/>
        <v>6463473</v>
      </c>
      <c r="X112" s="152">
        <f t="shared" si="116"/>
        <v>204850133</v>
      </c>
      <c r="Y112" s="151">
        <f t="shared" si="116"/>
        <v>74490749</v>
      </c>
      <c r="Z112" s="144">
        <f t="shared" si="116"/>
        <v>44790933</v>
      </c>
      <c r="AA112" s="152">
        <f t="shared" si="116"/>
        <v>119281682</v>
      </c>
      <c r="AB112" s="151">
        <f t="shared" si="116"/>
        <v>74490748</v>
      </c>
      <c r="AC112" s="144">
        <f t="shared" si="116"/>
        <v>44790933</v>
      </c>
      <c r="AD112" s="152">
        <f t="shared" si="116"/>
        <v>119281681</v>
      </c>
      <c r="AE112" s="151">
        <f t="shared" si="116"/>
        <v>62890858</v>
      </c>
      <c r="AF112" s="144">
        <f t="shared" si="116"/>
        <v>48226505</v>
      </c>
      <c r="AG112" s="152">
        <f t="shared" si="116"/>
        <v>111117363</v>
      </c>
      <c r="AH112" s="151">
        <f t="shared" si="116"/>
        <v>85568451</v>
      </c>
      <c r="AI112" s="144">
        <f t="shared" si="116"/>
        <v>85568452</v>
      </c>
      <c r="AJ112" s="153">
        <f t="shared" si="116"/>
        <v>93732770</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+IF(ABRIL!A113=0,"",ABRIL!A113)</f>
        <v>2300</v>
      </c>
      <c r="B113" s="56" t="str">
        <f>+IF(ABRIL!B113=0,"",ABRIL!B113)</f>
        <v>RENDIMIENTOS FINANCIEROS</v>
      </c>
      <c r="C113" s="576">
        <f>+ENERO!C113</f>
        <v>305317</v>
      </c>
      <c r="D113" s="574">
        <f>ABRIL!D113+MAYO!P113</f>
        <v>0</v>
      </c>
      <c r="E113" s="574">
        <f>ABRIL!E113+MAYO!Q113</f>
        <v>0</v>
      </c>
      <c r="F113" s="575">
        <f t="shared" si="110"/>
        <v>305317</v>
      </c>
      <c r="G113" s="576">
        <f>ABRIL!I113</f>
        <v>171731</v>
      </c>
      <c r="H113" s="457">
        <v>30878</v>
      </c>
      <c r="I113" s="575">
        <f t="shared" si="111"/>
        <v>202609</v>
      </c>
      <c r="J113" s="576">
        <f>ABRIL!L113</f>
        <v>171731</v>
      </c>
      <c r="K113" s="457">
        <v>30878</v>
      </c>
      <c r="L113" s="575">
        <f t="shared" si="112"/>
        <v>202609</v>
      </c>
      <c r="M113" s="576">
        <f t="shared" si="113"/>
        <v>102708</v>
      </c>
      <c r="N113" s="575">
        <f t="shared" si="114"/>
        <v>102708</v>
      </c>
      <c r="O113" s="562"/>
      <c r="P113" s="455">
        <v>0</v>
      </c>
      <c r="Q113" s="458">
        <v>0</v>
      </c>
      <c r="R113" s="10"/>
      <c r="S113" s="448" t="str">
        <f>+IF(ABRIL!S113=0,"",ABRIL!S113)</f>
        <v/>
      </c>
      <c r="T113" s="649" t="str">
        <f>+IF(ABRIL!T113=0,"",ABRIL!T113)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+IF(ABRIL!A114=0,"",ABRIL!A114)</f>
        <v>2400</v>
      </c>
      <c r="B114" s="55" t="str">
        <f>+IF(ABRIL!B114=0,"",ABRIL!B114)</f>
        <v>VENTA DE ACTIVOS</v>
      </c>
      <c r="C114" s="283">
        <f>+ENERO!C114</f>
        <v>0</v>
      </c>
      <c r="D114" s="456">
        <f>ABRIL!D114+MAYO!P114</f>
        <v>0</v>
      </c>
      <c r="E114" s="456">
        <f>ABRIL!E114+MAYO!Q114</f>
        <v>0</v>
      </c>
      <c r="F114" s="170">
        <f t="shared" si="110"/>
        <v>0</v>
      </c>
      <c r="G114" s="283">
        <f>ABRIL!I114</f>
        <v>0</v>
      </c>
      <c r="H114" s="457">
        <v>0</v>
      </c>
      <c r="I114" s="170">
        <f t="shared" si="111"/>
        <v>0</v>
      </c>
      <c r="J114" s="283">
        <f>ABRIL!L114</f>
        <v>0</v>
      </c>
      <c r="K114" s="457">
        <v>0</v>
      </c>
      <c r="L114" s="170">
        <f t="shared" si="112"/>
        <v>0</v>
      </c>
      <c r="M114" s="283">
        <f t="shared" si="113"/>
        <v>0</v>
      </c>
      <c r="N114" s="170">
        <f t="shared" si="114"/>
        <v>0</v>
      </c>
      <c r="O114" s="562"/>
      <c r="P114" s="455">
        <v>0</v>
      </c>
      <c r="Q114" s="458">
        <v>0</v>
      </c>
      <c r="R114" s="10"/>
      <c r="S114" s="34">
        <f>+IF(ABRIL!S114=0,"",ABRIL!S114)</f>
        <v>2010100</v>
      </c>
      <c r="T114" s="158" t="str">
        <f>+IF(ABRIL!T114=0,"",ABRIL!T114)</f>
        <v>Adquisición de bienes</v>
      </c>
      <c r="U114" s="157">
        <f t="shared" ref="U114:AJ114" si="117">SUM(U115:U121)</f>
        <v>67419307</v>
      </c>
      <c r="V114" s="144">
        <f t="shared" si="117"/>
        <v>0</v>
      </c>
      <c r="W114" s="144">
        <f t="shared" si="117"/>
        <v>1397432</v>
      </c>
      <c r="X114" s="152">
        <f t="shared" si="117"/>
        <v>68816739</v>
      </c>
      <c r="Y114" s="151">
        <f t="shared" si="117"/>
        <v>23406891</v>
      </c>
      <c r="Z114" s="144">
        <f t="shared" si="117"/>
        <v>38232622</v>
      </c>
      <c r="AA114" s="152">
        <f t="shared" si="117"/>
        <v>61639513</v>
      </c>
      <c r="AB114" s="151">
        <f t="shared" si="117"/>
        <v>23406890</v>
      </c>
      <c r="AC114" s="144">
        <f t="shared" si="117"/>
        <v>38232622</v>
      </c>
      <c r="AD114" s="152">
        <f t="shared" si="117"/>
        <v>61639512</v>
      </c>
      <c r="AE114" s="151">
        <f t="shared" si="117"/>
        <v>16008282</v>
      </c>
      <c r="AF114" s="144">
        <f t="shared" si="117"/>
        <v>41443970</v>
      </c>
      <c r="AG114" s="152">
        <f t="shared" si="117"/>
        <v>57452252</v>
      </c>
      <c r="AH114" s="151">
        <f t="shared" si="117"/>
        <v>7177226</v>
      </c>
      <c r="AI114" s="144">
        <f t="shared" si="117"/>
        <v>7177227</v>
      </c>
      <c r="AJ114" s="153">
        <f t="shared" si="117"/>
        <v>11364487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+IF(ABRIL!A115=0,"",ABRIL!A115)</f>
        <v>2500</v>
      </c>
      <c r="B115" s="55" t="str">
        <f>+IF(ABRIL!B115=0,"",ABRIL!B115)</f>
        <v>DONACIONES</v>
      </c>
      <c r="C115" s="283">
        <f>+ENERO!C115</f>
        <v>0</v>
      </c>
      <c r="D115" s="456">
        <f>ABRIL!D115+MAYO!P115</f>
        <v>0</v>
      </c>
      <c r="E115" s="456">
        <f>ABRIL!E115+MAYO!Q115</f>
        <v>0</v>
      </c>
      <c r="F115" s="170">
        <f t="shared" si="110"/>
        <v>0</v>
      </c>
      <c r="G115" s="283">
        <f>ABRIL!I115</f>
        <v>0</v>
      </c>
      <c r="H115" s="457">
        <v>0</v>
      </c>
      <c r="I115" s="170">
        <f t="shared" si="111"/>
        <v>0</v>
      </c>
      <c r="J115" s="283">
        <f>ABRIL!L115</f>
        <v>0</v>
      </c>
      <c r="K115" s="457">
        <v>0</v>
      </c>
      <c r="L115" s="170">
        <f t="shared" si="112"/>
        <v>0</v>
      </c>
      <c r="M115" s="283">
        <f t="shared" si="113"/>
        <v>0</v>
      </c>
      <c r="N115" s="170">
        <f t="shared" si="114"/>
        <v>0</v>
      </c>
      <c r="P115" s="455">
        <v>0</v>
      </c>
      <c r="Q115" s="458">
        <v>0</v>
      </c>
      <c r="R115" s="10"/>
      <c r="S115" s="155" t="str">
        <f>+IF(ABRIL!S115=0,"",ABRIL!S115)</f>
        <v>2010100-1</v>
      </c>
      <c r="T115" s="159" t="str">
        <f>+IF(ABRIL!T115=0,"",ABRIL!T115)</f>
        <v>Compra de Equipos</v>
      </c>
      <c r="U115" s="29">
        <f>+ENERO!U115</f>
        <v>42018487</v>
      </c>
      <c r="V115" s="17">
        <f>ABRIL!V115+MAYO!AL115</f>
        <v>0</v>
      </c>
      <c r="W115" s="17">
        <f>ABRIL!W115+MAYO!AM115</f>
        <v>0</v>
      </c>
      <c r="X115" s="20">
        <f t="shared" ref="X115:X121" si="118">SUM(U115:W115)</f>
        <v>42018487</v>
      </c>
      <c r="Y115" s="21">
        <f>ABRIL!AA115</f>
        <v>4625000</v>
      </c>
      <c r="Z115" s="457">
        <v>36625742</v>
      </c>
      <c r="AA115" s="20">
        <f t="shared" ref="AA115:AA121" si="119">SUM(Y115:Z115)</f>
        <v>41250742</v>
      </c>
      <c r="AB115" s="21">
        <f>ABRIL!AD115</f>
        <v>4625000</v>
      </c>
      <c r="AC115" s="457">
        <v>36625742</v>
      </c>
      <c r="AD115" s="20">
        <f t="shared" ref="AD115:AD121" si="120">SUM(AB115:AC115)</f>
        <v>41250742</v>
      </c>
      <c r="AE115" s="21">
        <f>ABRIL!AG115</f>
        <v>3336472</v>
      </c>
      <c r="AF115" s="457">
        <v>37414270</v>
      </c>
      <c r="AG115" s="20">
        <f t="shared" ref="AG115:AG121" si="121">SUM(AE115:AF115)</f>
        <v>40750742</v>
      </c>
      <c r="AH115" s="21">
        <f t="shared" ref="AH115:AH121" si="122">X115-AA115</f>
        <v>767745</v>
      </c>
      <c r="AI115" s="17">
        <f t="shared" ref="AI115:AI121" si="123">X115-AD115</f>
        <v>767745</v>
      </c>
      <c r="AJ115" s="18">
        <f t="shared" ref="AJ115:AJ121" si="124">X115-AG115</f>
        <v>1267745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+IF(ABRIL!A116=0,"",ABRIL!A116)</f>
        <v>2600</v>
      </c>
      <c r="B116" s="55" t="str">
        <f>+IF(ABRIL!B116=0,"",ABRIL!B116)</f>
        <v>RECUPERACIÓN DE CARTERA (AÑO 2012 Y ANTERIORES)</v>
      </c>
      <c r="C116" s="283">
        <f>+ENERO!C116</f>
        <v>1147070</v>
      </c>
      <c r="D116" s="456">
        <f>ABRIL!D116+MAYO!P116</f>
        <v>0</v>
      </c>
      <c r="E116" s="456">
        <f>ABRIL!E116+MAYO!Q116</f>
        <v>0</v>
      </c>
      <c r="F116" s="170">
        <f t="shared" si="110"/>
        <v>1147070</v>
      </c>
      <c r="G116" s="283">
        <f>ABRIL!I116</f>
        <v>1153868</v>
      </c>
      <c r="H116" s="457">
        <v>174400</v>
      </c>
      <c r="I116" s="170">
        <f t="shared" si="111"/>
        <v>1328268</v>
      </c>
      <c r="J116" s="283">
        <f>ABRIL!L116</f>
        <v>1153868</v>
      </c>
      <c r="K116" s="457">
        <v>174400</v>
      </c>
      <c r="L116" s="170">
        <f t="shared" si="112"/>
        <v>1328268</v>
      </c>
      <c r="M116" s="283">
        <f t="shared" si="113"/>
        <v>-181198</v>
      </c>
      <c r="N116" s="170">
        <f t="shared" si="114"/>
        <v>-181198</v>
      </c>
      <c r="P116" s="455">
        <v>0</v>
      </c>
      <c r="Q116" s="458">
        <v>0</v>
      </c>
      <c r="R116" s="10"/>
      <c r="S116" s="155" t="str">
        <f>+IF(ABRIL!S116=0,"",ABRIL!S116)</f>
        <v>2010100-2</v>
      </c>
      <c r="T116" s="159" t="str">
        <f>+IF(ABRIL!T116=0,"",ABRIL!T116)</f>
        <v>Materiales</v>
      </c>
      <c r="U116" s="29">
        <f>+ENERO!U116</f>
        <v>23400820</v>
      </c>
      <c r="V116" s="17">
        <f>ABRIL!V116+MAYO!AL116</f>
        <v>0</v>
      </c>
      <c r="W116" s="17">
        <f>ABRIL!W116+MAYO!AM116</f>
        <v>0</v>
      </c>
      <c r="X116" s="20">
        <f t="shared" si="118"/>
        <v>23400820</v>
      </c>
      <c r="Y116" s="21">
        <f>ABRIL!AA116</f>
        <v>15385459</v>
      </c>
      <c r="Z116" s="457">
        <v>1606880</v>
      </c>
      <c r="AA116" s="20">
        <f t="shared" si="119"/>
        <v>16992339</v>
      </c>
      <c r="AB116" s="21">
        <f>ABRIL!AD116</f>
        <v>15385458</v>
      </c>
      <c r="AC116" s="457">
        <v>1606880</v>
      </c>
      <c r="AD116" s="20">
        <f t="shared" si="120"/>
        <v>16992338</v>
      </c>
      <c r="AE116" s="21">
        <f>ABRIL!AG116</f>
        <v>9872778</v>
      </c>
      <c r="AF116" s="457">
        <v>3432300</v>
      </c>
      <c r="AG116" s="20">
        <f t="shared" si="121"/>
        <v>13305078</v>
      </c>
      <c r="AH116" s="21">
        <f t="shared" si="122"/>
        <v>6408481</v>
      </c>
      <c r="AI116" s="17">
        <f t="shared" si="123"/>
        <v>6408482</v>
      </c>
      <c r="AJ116" s="18">
        <f t="shared" si="124"/>
        <v>10095742</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+IF(ABRIL!A117=0,"",ABRIL!A117)</f>
        <v>2700</v>
      </c>
      <c r="B117" s="55" t="str">
        <f>+IF(ABRIL!B117=0,"",ABRIL!B117)</f>
        <v>OTROS INGRESOS DE CAPITAL</v>
      </c>
      <c r="C117" s="283">
        <f>SUM(C118:C119)</f>
        <v>0</v>
      </c>
      <c r="D117" s="456">
        <f t="shared" ref="D117:N117" si="125">SUM(D118:D119)</f>
        <v>0</v>
      </c>
      <c r="E117" s="456">
        <f t="shared" si="125"/>
        <v>0</v>
      </c>
      <c r="F117" s="170">
        <f t="shared" si="125"/>
        <v>0</v>
      </c>
      <c r="G117" s="283">
        <f t="shared" si="125"/>
        <v>0</v>
      </c>
      <c r="H117" s="154">
        <f t="shared" si="125"/>
        <v>0</v>
      </c>
      <c r="I117" s="170">
        <f t="shared" si="125"/>
        <v>0</v>
      </c>
      <c r="J117" s="283">
        <f t="shared" si="125"/>
        <v>0</v>
      </c>
      <c r="K117" s="154">
        <f t="shared" si="125"/>
        <v>0</v>
      </c>
      <c r="L117" s="170">
        <f t="shared" si="125"/>
        <v>0</v>
      </c>
      <c r="M117" s="283">
        <f t="shared" si="125"/>
        <v>0</v>
      </c>
      <c r="N117" s="170">
        <f t="shared" si="125"/>
        <v>0</v>
      </c>
      <c r="P117" s="36">
        <f>SUM(P118:P119)</f>
        <v>0</v>
      </c>
      <c r="Q117" s="37">
        <f>SUM(Q118:Q119)</f>
        <v>0</v>
      </c>
      <c r="R117" s="10"/>
      <c r="S117" s="155" t="str">
        <f>+IF(ABRIL!S117=0,"",ABRIL!S117)</f>
        <v>2010100-3</v>
      </c>
      <c r="T117" s="159" t="str">
        <f>+IF(ABRIL!T117=0,"",ABRIL!T117)</f>
        <v>Salud Ocupacional</v>
      </c>
      <c r="U117" s="29">
        <f>+ENERO!U117</f>
        <v>0</v>
      </c>
      <c r="V117" s="17">
        <f>ABRIL!V117+MAYO!AL117</f>
        <v>0</v>
      </c>
      <c r="W117" s="17">
        <f>ABRIL!W117+MAYO!AM117</f>
        <v>0</v>
      </c>
      <c r="X117" s="20">
        <f t="shared" si="118"/>
        <v>0</v>
      </c>
      <c r="Y117" s="21">
        <f>ABRIL!AA117</f>
        <v>0</v>
      </c>
      <c r="Z117" s="457">
        <v>0</v>
      </c>
      <c r="AA117" s="20">
        <f t="shared" si="119"/>
        <v>0</v>
      </c>
      <c r="AB117" s="21">
        <f>ABRIL!AD117</f>
        <v>0</v>
      </c>
      <c r="AC117" s="457">
        <v>0</v>
      </c>
      <c r="AD117" s="20">
        <f t="shared" si="120"/>
        <v>0</v>
      </c>
      <c r="AE117" s="21">
        <f>ABRIL!AG117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+IF(ABRIL!A118=0,"",ABRIL!A118)</f>
        <v>2700-1</v>
      </c>
      <c r="B118" s="58" t="str">
        <f>+IF(ABRIL!B118=0,"",ABRIL!B118)</f>
        <v>Descuentos por pronto pago</v>
      </c>
      <c r="C118" s="283">
        <f>+ENERO!C118</f>
        <v>0</v>
      </c>
      <c r="D118" s="456">
        <f>ABRIL!D118+MAYO!P118</f>
        <v>0</v>
      </c>
      <c r="E118" s="456">
        <f>ABRIL!E118+MAYO!Q118</f>
        <v>0</v>
      </c>
      <c r="F118" s="170">
        <f>SUM(C118:E118)</f>
        <v>0</v>
      </c>
      <c r="G118" s="283">
        <f>ABRIL!I118</f>
        <v>0</v>
      </c>
      <c r="H118" s="457">
        <v>0</v>
      </c>
      <c r="I118" s="170">
        <f>SUM(G118:H118)</f>
        <v>0</v>
      </c>
      <c r="J118" s="283">
        <f>ABRIL!L118</f>
        <v>0</v>
      </c>
      <c r="K118" s="457">
        <v>0</v>
      </c>
      <c r="L118" s="170">
        <f>SUM(J118:K118)</f>
        <v>0</v>
      </c>
      <c r="M118" s="283">
        <f>F118-I118</f>
        <v>0</v>
      </c>
      <c r="N118" s="170">
        <f>F118-L118</f>
        <v>0</v>
      </c>
      <c r="P118" s="455">
        <v>0</v>
      </c>
      <c r="Q118" s="458">
        <v>0</v>
      </c>
      <c r="R118" s="10"/>
      <c r="S118" s="155" t="str">
        <f>+IF(ABRIL!S118=0,"",ABRIL!S118)</f>
        <v>2010100-4</v>
      </c>
      <c r="T118" s="159" t="str">
        <f>+IF(ABRIL!T118=0,"",ABRIL!T118)</f>
        <v/>
      </c>
      <c r="U118" s="29">
        <f>+ENERO!U118</f>
        <v>0</v>
      </c>
      <c r="V118" s="17">
        <f>ABRIL!V118+MAYO!AL118</f>
        <v>0</v>
      </c>
      <c r="W118" s="17">
        <f>ABRIL!W118+MAYO!AM118</f>
        <v>0</v>
      </c>
      <c r="X118" s="20">
        <f t="shared" si="118"/>
        <v>0</v>
      </c>
      <c r="Y118" s="21">
        <f>ABRIL!AA118</f>
        <v>0</v>
      </c>
      <c r="Z118" s="457">
        <v>0</v>
      </c>
      <c r="AA118" s="20">
        <f t="shared" si="119"/>
        <v>0</v>
      </c>
      <c r="AB118" s="21">
        <f>ABRIL!AD118</f>
        <v>0</v>
      </c>
      <c r="AC118" s="457">
        <v>0</v>
      </c>
      <c r="AD118" s="20">
        <f t="shared" si="120"/>
        <v>0</v>
      </c>
      <c r="AE118" s="21">
        <f>ABRIL!AG118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+IF(ABRIL!A119=0,"",ABRIL!A119)</f>
        <v>2700-2</v>
      </c>
      <c r="B119" s="219" t="str">
        <f>+IF(ABRIL!B119=0,"",ABRIL!B119)</f>
        <v>Otros</v>
      </c>
      <c r="C119" s="474">
        <f>+ENERO!C119</f>
        <v>0</v>
      </c>
      <c r="D119" s="472">
        <f>ABRIL!D119+MAYO!P119</f>
        <v>0</v>
      </c>
      <c r="E119" s="472">
        <f>ABRIL!E119+MAYO!Q119</f>
        <v>0</v>
      </c>
      <c r="F119" s="473">
        <f>SUM(C119:E119)</f>
        <v>0</v>
      </c>
      <c r="G119" s="474">
        <f>ABRIL!I119</f>
        <v>0</v>
      </c>
      <c r="H119" s="475">
        <v>0</v>
      </c>
      <c r="I119" s="473">
        <f>SUM(G119:H119)</f>
        <v>0</v>
      </c>
      <c r="J119" s="474">
        <f>ABRIL!L119</f>
        <v>0</v>
      </c>
      <c r="K119" s="475">
        <v>0</v>
      </c>
      <c r="L119" s="473">
        <f>SUM(J119:K119)</f>
        <v>0</v>
      </c>
      <c r="M119" s="474">
        <f>F119-I119</f>
        <v>0</v>
      </c>
      <c r="N119" s="473">
        <f>F119-L119</f>
        <v>0</v>
      </c>
      <c r="P119" s="471">
        <v>0</v>
      </c>
      <c r="Q119" s="476">
        <v>0</v>
      </c>
      <c r="R119" s="10"/>
      <c r="S119" s="155" t="str">
        <f>+IF(ABRIL!S119=0,"",ABRIL!S119)</f>
        <v>2010100-5</v>
      </c>
      <c r="T119" s="159" t="str">
        <f>+IF(ABRIL!T119=0,"",ABRIL!T119)</f>
        <v/>
      </c>
      <c r="U119" s="29">
        <f>+ENERO!U119</f>
        <v>0</v>
      </c>
      <c r="V119" s="17">
        <f>ABRIL!V119+MAYO!AL119</f>
        <v>0</v>
      </c>
      <c r="W119" s="17">
        <f>ABRIL!W119+MAYO!AM119</f>
        <v>0</v>
      </c>
      <c r="X119" s="20">
        <f t="shared" si="118"/>
        <v>0</v>
      </c>
      <c r="Y119" s="21">
        <f>ABRIL!AA119</f>
        <v>0</v>
      </c>
      <c r="Z119" s="457">
        <v>0</v>
      </c>
      <c r="AA119" s="20">
        <f t="shared" si="119"/>
        <v>0</v>
      </c>
      <c r="AB119" s="21">
        <f>ABRIL!AD119</f>
        <v>0</v>
      </c>
      <c r="AC119" s="457">
        <v>0</v>
      </c>
      <c r="AD119" s="20">
        <f t="shared" si="120"/>
        <v>0</v>
      </c>
      <c r="AE119" s="21">
        <f>ABRIL!AG119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+IF(ABRIL!S120=0,"",ABRIL!S120)</f>
        <v>2010100-6</v>
      </c>
      <c r="T120" s="159" t="str">
        <f>+IF(ABRIL!T120=0,"",ABRIL!T120)</f>
        <v/>
      </c>
      <c r="U120" s="29">
        <f>+ENERO!U120</f>
        <v>0</v>
      </c>
      <c r="V120" s="17">
        <f>ABRIL!V120+MAYO!AL120</f>
        <v>0</v>
      </c>
      <c r="W120" s="17">
        <f>ABRIL!W120+MAYO!AM120</f>
        <v>0</v>
      </c>
      <c r="X120" s="20">
        <f t="shared" si="118"/>
        <v>0</v>
      </c>
      <c r="Y120" s="21">
        <f>ABRIL!AA120</f>
        <v>0</v>
      </c>
      <c r="Z120" s="457">
        <v>0</v>
      </c>
      <c r="AA120" s="20">
        <f t="shared" si="119"/>
        <v>0</v>
      </c>
      <c r="AB120" s="21">
        <f>ABRIL!AD120</f>
        <v>0</v>
      </c>
      <c r="AC120" s="457">
        <v>0</v>
      </c>
      <c r="AD120" s="20">
        <f t="shared" si="120"/>
        <v>0</v>
      </c>
      <c r="AE120" s="21">
        <f>ABRIL!AG120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+IF(ABRIL!A121=0,"",ABRIL!A121)</f>
        <v>TOTAL INGRESOS DIFERENTES A CUENTAS POR COBRAR</v>
      </c>
      <c r="B121" s="682"/>
      <c r="C121" s="605">
        <f t="shared" ref="C121:N121" si="126">C8-C123</f>
        <v>3465783837</v>
      </c>
      <c r="D121" s="603">
        <f t="shared" si="126"/>
        <v>0</v>
      </c>
      <c r="E121" s="603">
        <f t="shared" si="126"/>
        <v>58523183</v>
      </c>
      <c r="F121" s="604">
        <f t="shared" si="126"/>
        <v>3524307020</v>
      </c>
      <c r="G121" s="602">
        <f t="shared" si="126"/>
        <v>1283343832</v>
      </c>
      <c r="H121" s="603">
        <f t="shared" si="126"/>
        <v>285404735</v>
      </c>
      <c r="I121" s="604">
        <f t="shared" si="126"/>
        <v>1568748567</v>
      </c>
      <c r="J121" s="602">
        <f t="shared" si="126"/>
        <v>1031920836</v>
      </c>
      <c r="K121" s="603">
        <f t="shared" si="126"/>
        <v>228611190</v>
      </c>
      <c r="L121" s="604">
        <f t="shared" si="126"/>
        <v>1260532026</v>
      </c>
      <c r="M121" s="602">
        <f t="shared" si="126"/>
        <v>1955558453</v>
      </c>
      <c r="N121" s="604">
        <f t="shared" si="126"/>
        <v>2263774994</v>
      </c>
      <c r="P121" s="605">
        <f>P8-P123</f>
        <v>0</v>
      </c>
      <c r="Q121" s="606">
        <f>Q8-Q123</f>
        <v>0</v>
      </c>
      <c r="R121" s="10"/>
      <c r="S121" s="155">
        <f>+IF(ABRIL!S121=0,"",ABRIL!S121)</f>
        <v>2010199</v>
      </c>
      <c r="T121" s="159" t="str">
        <f>+IF(ABRIL!T121=0,"",ABRIL!T121)</f>
        <v>Vigencias Anteriores</v>
      </c>
      <c r="U121" s="29">
        <f>+ENERO!U121</f>
        <v>2000000</v>
      </c>
      <c r="V121" s="17">
        <f>ABRIL!V121+MAYO!AL121</f>
        <v>0</v>
      </c>
      <c r="W121" s="17">
        <f>ABRIL!W121+MAYO!AM121</f>
        <v>1397432</v>
      </c>
      <c r="X121" s="20">
        <f t="shared" si="118"/>
        <v>3397432</v>
      </c>
      <c r="Y121" s="21">
        <f>ABRIL!AA121</f>
        <v>3396432</v>
      </c>
      <c r="Z121" s="457">
        <v>0</v>
      </c>
      <c r="AA121" s="20">
        <f t="shared" si="119"/>
        <v>3396432</v>
      </c>
      <c r="AB121" s="21">
        <f>ABRIL!AD121</f>
        <v>3396432</v>
      </c>
      <c r="AC121" s="457">
        <v>0</v>
      </c>
      <c r="AD121" s="20">
        <f t="shared" si="120"/>
        <v>3396432</v>
      </c>
      <c r="AE121" s="21">
        <f>ABRIL!AG121</f>
        <v>2799032</v>
      </c>
      <c r="AF121" s="457">
        <v>597400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+IF(ABRIL!S122=0,"",ABRIL!S122)</f>
        <v/>
      </c>
      <c r="T122" s="649" t="str">
        <f>+IF(ABRIL!T122=0,"",ABRIL!T122)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+IF(ABRIL!A123=0,"",ABRIL!A123)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230516033</v>
      </c>
      <c r="H123" s="685">
        <f>SUMIF($B8:$B$117,$B$24,H8:H117)+H116</f>
        <v>41319767</v>
      </c>
      <c r="I123" s="686">
        <f>SUMIF($B8:$B$117,$B$24,I8:I117)+I116</f>
        <v>271835800</v>
      </c>
      <c r="J123" s="687">
        <f>SUMIF($B8:$B$117,$B$24,J8:J117)+J116</f>
        <v>230516033</v>
      </c>
      <c r="K123" s="685">
        <f>SUMIF($B8:$B$117,$B$24,K8:K117)+K116</f>
        <v>41319767</v>
      </c>
      <c r="L123" s="686">
        <f>SUMIF($B8:$B$117,$B$24,L8:L117)+L116</f>
        <v>271835800</v>
      </c>
      <c r="M123" s="687">
        <f>SUMIF($B8:$B$117,$B$24,M8:M117)+M116</f>
        <v>-106118625</v>
      </c>
      <c r="N123" s="686">
        <f>SUMIF($B8:$B$117,$B$24,N8:N117)+N116</f>
        <v>-106118625</v>
      </c>
      <c r="P123" s="687">
        <f>SUMIF($B8:$B$117,$B$24,P8:P117)+P116</f>
        <v>0</v>
      </c>
      <c r="Q123" s="686">
        <f>SUMIF($B8:$B$117,$B$24,Q8:Q117)+Q116</f>
        <v>0</v>
      </c>
      <c r="R123" s="10"/>
      <c r="S123" s="34">
        <f>+IF(ABRIL!S123=0,"",ABRIL!S123)</f>
        <v>2010200</v>
      </c>
      <c r="T123" s="158" t="str">
        <f>+IF(ABRIL!T123=0,"",ABRIL!T123)</f>
        <v>Adquisición de Servicios</v>
      </c>
      <c r="U123" s="157">
        <f t="shared" ref="U123:AJ123" si="127">SUM(U124:U139)</f>
        <v>130967353</v>
      </c>
      <c r="V123" s="144">
        <f t="shared" si="127"/>
        <v>0</v>
      </c>
      <c r="W123" s="144">
        <f t="shared" si="127"/>
        <v>4066041</v>
      </c>
      <c r="X123" s="152">
        <f t="shared" si="127"/>
        <v>135033394</v>
      </c>
      <c r="Y123" s="151">
        <f t="shared" si="127"/>
        <v>51083858</v>
      </c>
      <c r="Z123" s="144">
        <f t="shared" si="127"/>
        <v>6558311</v>
      </c>
      <c r="AA123" s="152">
        <f t="shared" si="127"/>
        <v>57642169</v>
      </c>
      <c r="AB123" s="151">
        <f t="shared" si="127"/>
        <v>51083858</v>
      </c>
      <c r="AC123" s="144">
        <f t="shared" si="127"/>
        <v>6558311</v>
      </c>
      <c r="AD123" s="152">
        <f t="shared" si="127"/>
        <v>57642169</v>
      </c>
      <c r="AE123" s="151">
        <f t="shared" si="127"/>
        <v>46882576</v>
      </c>
      <c r="AF123" s="144">
        <f t="shared" si="127"/>
        <v>6782535</v>
      </c>
      <c r="AG123" s="152">
        <f t="shared" si="127"/>
        <v>53665111</v>
      </c>
      <c r="AH123" s="151">
        <f t="shared" si="127"/>
        <v>77391225</v>
      </c>
      <c r="AI123" s="144">
        <f t="shared" si="127"/>
        <v>77391225</v>
      </c>
      <c r="AJ123" s="153">
        <f t="shared" si="127"/>
        <v>81368283</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+IF(ABRIL!S124=0,"",ABRIL!S124)</f>
        <v>2010200-1</v>
      </c>
      <c r="T124" s="159" t="str">
        <f>+IF(ABRIL!T124=0,"",ABRIL!T124)</f>
        <v>Seguros</v>
      </c>
      <c r="U124" s="29">
        <f>+ENERO!U124</f>
        <v>42767476</v>
      </c>
      <c r="V124" s="17">
        <f>ABRIL!V124+MAYO!AL124</f>
        <v>0</v>
      </c>
      <c r="W124" s="17">
        <f>ABRIL!W124+MAYO!AM124</f>
        <v>0</v>
      </c>
      <c r="X124" s="20">
        <f t="shared" ref="X124:X139" si="128">SUM(U124:W124)</f>
        <v>42767476</v>
      </c>
      <c r="Y124" s="21">
        <f>ABRIL!AA124</f>
        <v>22819107</v>
      </c>
      <c r="Z124" s="457">
        <v>0</v>
      </c>
      <c r="AA124" s="20">
        <f t="shared" ref="AA124:AA139" si="129">SUM(Y124:Z124)</f>
        <v>22819107</v>
      </c>
      <c r="AB124" s="21">
        <f>ABRIL!AD124</f>
        <v>22819107</v>
      </c>
      <c r="AC124" s="457">
        <v>0</v>
      </c>
      <c r="AD124" s="20">
        <f t="shared" ref="AD124:AD139" si="130">SUM(AB124:AC124)</f>
        <v>22819107</v>
      </c>
      <c r="AE124" s="21">
        <f>ABRIL!AG124</f>
        <v>22819107</v>
      </c>
      <c r="AF124" s="457">
        <v>0</v>
      </c>
      <c r="AG124" s="20">
        <f t="shared" ref="AG124:AG139" si="131">SUM(AE124:AF124)</f>
        <v>22819107</v>
      </c>
      <c r="AH124" s="21">
        <f t="shared" ref="AH124:AH139" si="132">X124-AA124</f>
        <v>19948369</v>
      </c>
      <c r="AI124" s="17">
        <f t="shared" ref="AI124:AI139" si="133">X124-AD124</f>
        <v>19948369</v>
      </c>
      <c r="AJ124" s="18">
        <f t="shared" ref="AJ124:AJ139" si="134">X124-AG124</f>
        <v>19948369</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+IF(ABRIL!A125=0,"",ABRIL!A125)</f>
        <v xml:space="preserve">TOTAL PRESUPUESTO DE INGRESOS </v>
      </c>
      <c r="B125" s="619"/>
      <c r="C125" s="605">
        <f t="shared" ref="C125:N125" si="135">C123+C121</f>
        <v>3631501012</v>
      </c>
      <c r="D125" s="621">
        <f t="shared" si="135"/>
        <v>0</v>
      </c>
      <c r="E125" s="621">
        <f t="shared" si="135"/>
        <v>58523183</v>
      </c>
      <c r="F125" s="622">
        <f t="shared" si="135"/>
        <v>3690024195</v>
      </c>
      <c r="G125" s="620">
        <f t="shared" si="135"/>
        <v>1513859865</v>
      </c>
      <c r="H125" s="621">
        <f t="shared" si="135"/>
        <v>326724502</v>
      </c>
      <c r="I125" s="622">
        <f t="shared" si="135"/>
        <v>1840584367</v>
      </c>
      <c r="J125" s="620">
        <f t="shared" si="135"/>
        <v>1262436869</v>
      </c>
      <c r="K125" s="621">
        <f t="shared" si="135"/>
        <v>269930957</v>
      </c>
      <c r="L125" s="622">
        <f t="shared" si="135"/>
        <v>1532367826</v>
      </c>
      <c r="M125" s="620">
        <f t="shared" si="135"/>
        <v>1849439828</v>
      </c>
      <c r="N125" s="622">
        <f t="shared" si="135"/>
        <v>2157656369</v>
      </c>
      <c r="P125" s="605">
        <f>P123+P121</f>
        <v>0</v>
      </c>
      <c r="Q125" s="606">
        <f>Q123+Q121</f>
        <v>0</v>
      </c>
      <c r="R125" s="10"/>
      <c r="S125" s="155" t="str">
        <f>+IF(ABRIL!S125=0,"",ABRIL!S125)</f>
        <v>2010200-2</v>
      </c>
      <c r="T125" s="159" t="str">
        <f>+IF(ABRIL!T125=0,"",ABRIL!T125)</f>
        <v>Impresos y Publicaciones</v>
      </c>
      <c r="U125" s="29">
        <f>+ENERO!U125</f>
        <v>10257367</v>
      </c>
      <c r="V125" s="17">
        <f>ABRIL!V125+MAYO!AL125</f>
        <v>0</v>
      </c>
      <c r="W125" s="17">
        <f>ABRIL!W125+MAYO!AM125</f>
        <v>0</v>
      </c>
      <c r="X125" s="20">
        <f t="shared" si="128"/>
        <v>10257367</v>
      </c>
      <c r="Y125" s="21">
        <f>ABRIL!AA125</f>
        <v>1158550</v>
      </c>
      <c r="Z125" s="457">
        <v>1564840</v>
      </c>
      <c r="AA125" s="20">
        <f t="shared" si="129"/>
        <v>2723390</v>
      </c>
      <c r="AB125" s="21">
        <f>ABRIL!AD125</f>
        <v>1158550</v>
      </c>
      <c r="AC125" s="457">
        <v>1564840</v>
      </c>
      <c r="AD125" s="20">
        <f t="shared" si="130"/>
        <v>2723390</v>
      </c>
      <c r="AE125" s="21">
        <f>ABRIL!AG125</f>
        <v>1158550</v>
      </c>
      <c r="AF125" s="457">
        <v>0</v>
      </c>
      <c r="AG125" s="20">
        <f t="shared" si="131"/>
        <v>1158550</v>
      </c>
      <c r="AH125" s="21">
        <f t="shared" si="132"/>
        <v>7533977</v>
      </c>
      <c r="AI125" s="17">
        <f t="shared" si="133"/>
        <v>7533977</v>
      </c>
      <c r="AJ125" s="18">
        <f t="shared" si="134"/>
        <v>9098817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+IF(ABRIL!S126=0,"",ABRIL!S126)</f>
        <v>2010200-3</v>
      </c>
      <c r="T126" s="159" t="str">
        <f>+IF(ABRIL!T126=0,"",ABRIL!T126)</f>
        <v xml:space="preserve">Servicios Públicos </v>
      </c>
      <c r="U126" s="29">
        <f>+ENERO!U126</f>
        <v>49280460</v>
      </c>
      <c r="V126" s="17">
        <f>ABRIL!V126+MAYO!AL126</f>
        <v>0</v>
      </c>
      <c r="W126" s="17">
        <f>ABRIL!W126+MAYO!AM126</f>
        <v>0</v>
      </c>
      <c r="X126" s="20">
        <f t="shared" si="128"/>
        <v>49280460</v>
      </c>
      <c r="Y126" s="21">
        <f>ABRIL!AA126</f>
        <v>18023791</v>
      </c>
      <c r="Z126" s="457">
        <v>4193051</v>
      </c>
      <c r="AA126" s="20">
        <f t="shared" si="129"/>
        <v>22216842</v>
      </c>
      <c r="AB126" s="21">
        <f>ABRIL!AD126</f>
        <v>18023791</v>
      </c>
      <c r="AC126" s="457">
        <v>4193051</v>
      </c>
      <c r="AD126" s="20">
        <f t="shared" si="130"/>
        <v>22216842</v>
      </c>
      <c r="AE126" s="21">
        <f>ABRIL!AG126</f>
        <v>15524553</v>
      </c>
      <c r="AF126" s="457">
        <v>5982115</v>
      </c>
      <c r="AG126" s="20">
        <f t="shared" si="131"/>
        <v>21506668</v>
      </c>
      <c r="AH126" s="21">
        <f t="shared" si="132"/>
        <v>27063618</v>
      </c>
      <c r="AI126" s="17">
        <f t="shared" si="133"/>
        <v>27063618</v>
      </c>
      <c r="AJ126" s="18">
        <f t="shared" si="134"/>
        <v>27773792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+IF(ABRIL!S127=0,"",ABRIL!S127)</f>
        <v>2010200-4</v>
      </c>
      <c r="T127" s="159" t="str">
        <f>+IF(ABRIL!T127=0,"",ABRIL!T127)</f>
        <v>Comunicaciones y Transportes</v>
      </c>
      <c r="U127" s="29">
        <f>+ENERO!U127</f>
        <v>8570980</v>
      </c>
      <c r="V127" s="17">
        <f>ABRIL!V127+MAYO!AL127</f>
        <v>0</v>
      </c>
      <c r="W127" s="17">
        <f>ABRIL!W127+MAYO!AM127</f>
        <v>0</v>
      </c>
      <c r="X127" s="20">
        <f t="shared" si="128"/>
        <v>8570980</v>
      </c>
      <c r="Y127" s="21">
        <f>ABRIL!AA127</f>
        <v>747000</v>
      </c>
      <c r="Z127" s="457">
        <v>0</v>
      </c>
      <c r="AA127" s="20">
        <f t="shared" si="129"/>
        <v>747000</v>
      </c>
      <c r="AB127" s="21">
        <f>ABRIL!AD127</f>
        <v>747000</v>
      </c>
      <c r="AC127" s="457">
        <v>0</v>
      </c>
      <c r="AD127" s="20">
        <f t="shared" si="130"/>
        <v>747000</v>
      </c>
      <c r="AE127" s="21">
        <f>ABRIL!AG127</f>
        <v>52000</v>
      </c>
      <c r="AF127" s="457">
        <v>0</v>
      </c>
      <c r="AG127" s="20">
        <f t="shared" si="131"/>
        <v>52000</v>
      </c>
      <c r="AH127" s="21">
        <f t="shared" si="132"/>
        <v>7823980</v>
      </c>
      <c r="AI127" s="17">
        <f t="shared" si="133"/>
        <v>7823980</v>
      </c>
      <c r="AJ127" s="18">
        <f t="shared" si="134"/>
        <v>8518980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+IF(ABRIL!S128=0,"",ABRIL!S128)</f>
        <v>2010200-5</v>
      </c>
      <c r="T128" s="159" t="str">
        <f>+IF(ABRIL!T128=0,"",ABRIL!T128)</f>
        <v>Viáticos y Gastos de Viaje</v>
      </c>
      <c r="U128" s="29">
        <f>+ENERO!U128</f>
        <v>4306574</v>
      </c>
      <c r="V128" s="17">
        <f>ABRIL!V128+MAYO!AL128</f>
        <v>0</v>
      </c>
      <c r="W128" s="17">
        <f>ABRIL!W128+MAYO!AM128</f>
        <v>0</v>
      </c>
      <c r="X128" s="20">
        <f t="shared" si="128"/>
        <v>4306574</v>
      </c>
      <c r="Y128" s="21">
        <f>ABRIL!AA128</f>
        <v>378840</v>
      </c>
      <c r="Z128" s="457">
        <v>169400</v>
      </c>
      <c r="AA128" s="20">
        <f t="shared" si="129"/>
        <v>548240</v>
      </c>
      <c r="AB128" s="21">
        <f>ABRIL!AD128</f>
        <v>378840</v>
      </c>
      <c r="AC128" s="457">
        <v>169400</v>
      </c>
      <c r="AD128" s="20">
        <f t="shared" si="130"/>
        <v>548240</v>
      </c>
      <c r="AE128" s="21">
        <f>ABRIL!AG128</f>
        <v>378840</v>
      </c>
      <c r="AF128" s="457">
        <v>169400</v>
      </c>
      <c r="AG128" s="20">
        <f t="shared" si="131"/>
        <v>548240</v>
      </c>
      <c r="AH128" s="21">
        <f t="shared" si="132"/>
        <v>3758334</v>
      </c>
      <c r="AI128" s="17">
        <f t="shared" si="133"/>
        <v>3758334</v>
      </c>
      <c r="AJ128" s="18">
        <f t="shared" si="134"/>
        <v>3758334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+IF(ABRIL!S129=0,"",ABRIL!S129)</f>
        <v>2010200-6</v>
      </c>
      <c r="T129" s="159" t="str">
        <f>+IF(ABRIL!T129=0,"",ABRIL!T129)</f>
        <v>Arrendamientos</v>
      </c>
      <c r="U129" s="29">
        <f>+ENERO!U129</f>
        <v>0</v>
      </c>
      <c r="V129" s="17">
        <f>ABRIL!V129+MAYO!AL129</f>
        <v>0</v>
      </c>
      <c r="W129" s="17">
        <f>ABRIL!W129+MAYO!AM129</f>
        <v>0</v>
      </c>
      <c r="X129" s="20">
        <f t="shared" si="128"/>
        <v>0</v>
      </c>
      <c r="Y129" s="21">
        <f>ABRIL!AA129</f>
        <v>0</v>
      </c>
      <c r="Z129" s="457">
        <v>0</v>
      </c>
      <c r="AA129" s="20">
        <f t="shared" si="129"/>
        <v>0</v>
      </c>
      <c r="AB129" s="21">
        <f>ABRIL!AD129</f>
        <v>0</v>
      </c>
      <c r="AC129" s="457">
        <v>0</v>
      </c>
      <c r="AD129" s="20">
        <f t="shared" si="130"/>
        <v>0</v>
      </c>
      <c r="AE129" s="21">
        <f>ABRIL!AG129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+IF(ABRIL!S130=0,"",ABRIL!S130)</f>
        <v>2010200-7</v>
      </c>
      <c r="T130" s="159" t="str">
        <f>+IF(ABRIL!T130=0,"",ABRIL!T130)</f>
        <v>Vigilancia y Aseo</v>
      </c>
      <c r="U130" s="29">
        <f>+ENERO!U130</f>
        <v>0</v>
      </c>
      <c r="V130" s="17">
        <f>ABRIL!V130+MAYO!AL130</f>
        <v>0</v>
      </c>
      <c r="W130" s="17">
        <f>ABRIL!W130+MAYO!AM130</f>
        <v>0</v>
      </c>
      <c r="X130" s="20">
        <f t="shared" si="128"/>
        <v>0</v>
      </c>
      <c r="Y130" s="21">
        <f>ABRIL!AA130</f>
        <v>0</v>
      </c>
      <c r="Z130" s="457">
        <v>0</v>
      </c>
      <c r="AA130" s="20">
        <f t="shared" si="129"/>
        <v>0</v>
      </c>
      <c r="AB130" s="21">
        <f>ABRIL!AD130</f>
        <v>0</v>
      </c>
      <c r="AC130" s="457">
        <v>0</v>
      </c>
      <c r="AD130" s="20">
        <f t="shared" si="130"/>
        <v>0</v>
      </c>
      <c r="AE130" s="21">
        <f>ABRIL!AG130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+IF(ABRIL!S131=0,"",ABRIL!S131)</f>
        <v>2010200-8</v>
      </c>
      <c r="T131" s="159" t="str">
        <f>+IF(ABRIL!T131=0,"",ABRIL!T131)</f>
        <v>Bienestar Social</v>
      </c>
      <c r="U131" s="29">
        <f>+ENERO!U131</f>
        <v>6347410</v>
      </c>
      <c r="V131" s="17">
        <f>ABRIL!V131+MAYO!AL131</f>
        <v>0</v>
      </c>
      <c r="W131" s="17">
        <f>ABRIL!W131+MAYO!AM131</f>
        <v>0</v>
      </c>
      <c r="X131" s="20">
        <f t="shared" si="128"/>
        <v>6347410</v>
      </c>
      <c r="Y131" s="21">
        <f>ABRIL!AA131</f>
        <v>0</v>
      </c>
      <c r="Z131" s="457">
        <v>0</v>
      </c>
      <c r="AA131" s="20">
        <f t="shared" si="129"/>
        <v>0</v>
      </c>
      <c r="AB131" s="21">
        <f>ABRIL!AD131</f>
        <v>0</v>
      </c>
      <c r="AC131" s="457">
        <v>0</v>
      </c>
      <c r="AD131" s="20">
        <f t="shared" si="130"/>
        <v>0</v>
      </c>
      <c r="AE131" s="21">
        <f>ABRIL!AG131</f>
        <v>0</v>
      </c>
      <c r="AF131" s="457">
        <v>0</v>
      </c>
      <c r="AG131" s="20">
        <f t="shared" si="131"/>
        <v>0</v>
      </c>
      <c r="AH131" s="21">
        <f t="shared" si="132"/>
        <v>6347410</v>
      </c>
      <c r="AI131" s="17">
        <f t="shared" si="133"/>
        <v>6347410</v>
      </c>
      <c r="AJ131" s="18">
        <f t="shared" si="13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+IF(ABRIL!S132=0,"",ABRIL!S132)</f>
        <v>2010200-9</v>
      </c>
      <c r="T132" s="159" t="str">
        <f>+IF(ABRIL!T132=0,"",ABRIL!T132)</f>
        <v>Capacitación, estimulos, incentivos, programa de calidad</v>
      </c>
      <c r="U132" s="29">
        <f>+ENERO!U132</f>
        <v>4142898</v>
      </c>
      <c r="V132" s="17">
        <f>ABRIL!V132+MAYO!AL132</f>
        <v>0</v>
      </c>
      <c r="W132" s="17">
        <f>ABRIL!W132+MAYO!AM132</f>
        <v>0</v>
      </c>
      <c r="X132" s="20">
        <f t="shared" si="128"/>
        <v>4142898</v>
      </c>
      <c r="Y132" s="21">
        <f>ABRIL!AA132</f>
        <v>1293400</v>
      </c>
      <c r="Z132" s="457">
        <v>0</v>
      </c>
      <c r="AA132" s="20">
        <f t="shared" si="129"/>
        <v>1293400</v>
      </c>
      <c r="AB132" s="21">
        <f>ABRIL!AD132</f>
        <v>1293400</v>
      </c>
      <c r="AC132" s="457">
        <v>0</v>
      </c>
      <c r="AD132" s="20">
        <f t="shared" si="130"/>
        <v>1293400</v>
      </c>
      <c r="AE132" s="21">
        <f>ABRIL!AG132</f>
        <v>545200</v>
      </c>
      <c r="AF132" s="457">
        <v>0</v>
      </c>
      <c r="AG132" s="20">
        <f t="shared" si="131"/>
        <v>545200</v>
      </c>
      <c r="AH132" s="21">
        <f t="shared" si="132"/>
        <v>2849498</v>
      </c>
      <c r="AI132" s="17">
        <f t="shared" si="133"/>
        <v>2849498</v>
      </c>
      <c r="AJ132" s="18">
        <f t="shared" si="134"/>
        <v>3597698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+IF(ABRIL!S133=0,"",ABRIL!S133)</f>
        <v>2010200-10</v>
      </c>
      <c r="T133" s="159" t="str">
        <f>+IF(ABRIL!T133=0,"",ABRIL!T133)</f>
        <v>Pagos otras IPS</v>
      </c>
      <c r="U133" s="29">
        <f>+ENERO!U133</f>
        <v>0</v>
      </c>
      <c r="V133" s="17">
        <f>ABRIL!V133+MAYO!AL133</f>
        <v>0</v>
      </c>
      <c r="W133" s="17">
        <f>ABRIL!W133+MAYO!AM133</f>
        <v>0</v>
      </c>
      <c r="X133" s="20">
        <f t="shared" si="128"/>
        <v>0</v>
      </c>
      <c r="Y133" s="21">
        <f>ABRIL!AA133</f>
        <v>0</v>
      </c>
      <c r="Z133" s="457">
        <v>0</v>
      </c>
      <c r="AA133" s="20">
        <f t="shared" si="129"/>
        <v>0</v>
      </c>
      <c r="AB133" s="21">
        <f>ABRIL!AD133</f>
        <v>0</v>
      </c>
      <c r="AC133" s="457">
        <v>0</v>
      </c>
      <c r="AD133" s="20">
        <f t="shared" si="130"/>
        <v>0</v>
      </c>
      <c r="AE133" s="21">
        <f>ABRIL!AG133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+IF(ABRIL!S134=0,"",ABRIL!S134)</f>
        <v>2010200-11</v>
      </c>
      <c r="T134" s="159" t="str">
        <f>+IF(ABRIL!T134=0,"",ABRIL!T134)</f>
        <v>Gastos financieros</v>
      </c>
      <c r="U134" s="29">
        <f>+ENERO!U134</f>
        <v>3294188</v>
      </c>
      <c r="V134" s="17">
        <f>ABRIL!V134+MAYO!AL134</f>
        <v>0</v>
      </c>
      <c r="W134" s="17">
        <f>ABRIL!W134+MAYO!AM134</f>
        <v>0</v>
      </c>
      <c r="X134" s="20">
        <f t="shared" si="128"/>
        <v>3294188</v>
      </c>
      <c r="Y134" s="21">
        <f>ABRIL!AA134</f>
        <v>597129</v>
      </c>
      <c r="Z134" s="457">
        <v>631020</v>
      </c>
      <c r="AA134" s="20">
        <f t="shared" si="129"/>
        <v>1228149</v>
      </c>
      <c r="AB134" s="21">
        <f>ABRIL!AD134</f>
        <v>597129</v>
      </c>
      <c r="AC134" s="457">
        <v>631020</v>
      </c>
      <c r="AD134" s="20">
        <f t="shared" si="130"/>
        <v>1228149</v>
      </c>
      <c r="AE134" s="21">
        <f>ABRIL!AG134</f>
        <v>597129</v>
      </c>
      <c r="AF134" s="457">
        <v>631020</v>
      </c>
      <c r="AG134" s="20">
        <f t="shared" si="131"/>
        <v>1228149</v>
      </c>
      <c r="AH134" s="21">
        <f t="shared" si="132"/>
        <v>2066039</v>
      </c>
      <c r="AI134" s="17">
        <f t="shared" si="133"/>
        <v>2066039</v>
      </c>
      <c r="AJ134" s="18">
        <f t="shared" si="134"/>
        <v>2066039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+IF(ABRIL!S135=0,"",ABRIL!S135)</f>
        <v>2010200-12</v>
      </c>
      <c r="T135" s="159" t="str">
        <f>+IF(ABRIL!T135=0,"",ABRIL!T135)</f>
        <v/>
      </c>
      <c r="U135" s="29">
        <f>+ENERO!U135</f>
        <v>0</v>
      </c>
      <c r="V135" s="17">
        <f>ABRIL!V135+MAYO!AL135</f>
        <v>0</v>
      </c>
      <c r="W135" s="17">
        <f>ABRIL!W135+MAYO!AM135</f>
        <v>0</v>
      </c>
      <c r="X135" s="20">
        <f t="shared" si="128"/>
        <v>0</v>
      </c>
      <c r="Y135" s="21">
        <f>ABRIL!AA135</f>
        <v>0</v>
      </c>
      <c r="Z135" s="457">
        <v>0</v>
      </c>
      <c r="AA135" s="20">
        <f t="shared" si="129"/>
        <v>0</v>
      </c>
      <c r="AB135" s="21">
        <f>ABRIL!AD135</f>
        <v>0</v>
      </c>
      <c r="AC135" s="457">
        <v>0</v>
      </c>
      <c r="AD135" s="20">
        <f t="shared" si="130"/>
        <v>0</v>
      </c>
      <c r="AE135" s="21">
        <f>ABRIL!AG135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+IF(ABRIL!S136=0,"",ABRIL!S136)</f>
        <v>2010200-13</v>
      </c>
      <c r="T136" s="159" t="str">
        <f>+IF(ABRIL!T136=0,"",ABRIL!T136)</f>
        <v/>
      </c>
      <c r="U136" s="29">
        <f>+ENERO!U136</f>
        <v>0</v>
      </c>
      <c r="V136" s="17">
        <f>ABRIL!V136+MAYO!AL136</f>
        <v>0</v>
      </c>
      <c r="W136" s="17">
        <f>ABRIL!W136+MAYO!AM136</f>
        <v>0</v>
      </c>
      <c r="X136" s="20">
        <f t="shared" si="128"/>
        <v>0</v>
      </c>
      <c r="Y136" s="21">
        <f>ABRIL!AA136</f>
        <v>0</v>
      </c>
      <c r="Z136" s="457">
        <v>0</v>
      </c>
      <c r="AA136" s="20">
        <f t="shared" si="129"/>
        <v>0</v>
      </c>
      <c r="AB136" s="21">
        <f>ABRIL!AD136</f>
        <v>0</v>
      </c>
      <c r="AC136" s="457">
        <v>0</v>
      </c>
      <c r="AD136" s="20">
        <f t="shared" si="130"/>
        <v>0</v>
      </c>
      <c r="AE136" s="21">
        <f>ABRIL!AG136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+IF(ABRIL!S137=0,"",ABRIL!S137)</f>
        <v>2010020-14</v>
      </c>
      <c r="T137" s="159" t="str">
        <f>+IF(ABRIL!T137=0,"",ABRIL!T137)</f>
        <v/>
      </c>
      <c r="U137" s="29">
        <f>+ENERO!U137</f>
        <v>0</v>
      </c>
      <c r="V137" s="17">
        <f>ABRIL!V137+MAYO!AL137</f>
        <v>0</v>
      </c>
      <c r="W137" s="17">
        <f>ABRIL!W137+MAYO!AM137</f>
        <v>0</v>
      </c>
      <c r="X137" s="20">
        <f t="shared" si="128"/>
        <v>0</v>
      </c>
      <c r="Y137" s="21">
        <f>ABRIL!AA137</f>
        <v>0</v>
      </c>
      <c r="Z137" s="457">
        <v>0</v>
      </c>
      <c r="AA137" s="20">
        <f t="shared" si="129"/>
        <v>0</v>
      </c>
      <c r="AB137" s="21">
        <f>ABRIL!AD137</f>
        <v>0</v>
      </c>
      <c r="AC137" s="457">
        <v>0</v>
      </c>
      <c r="AD137" s="20">
        <f t="shared" si="130"/>
        <v>0</v>
      </c>
      <c r="AE137" s="21">
        <f>ABRIL!AG137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+IF(ABRIL!S138=0,"",ABRIL!S138)</f>
        <v>2010200-15</v>
      </c>
      <c r="T138" s="159" t="str">
        <f>+IF(ABRIL!T138=0,"",ABRIL!T138)</f>
        <v/>
      </c>
      <c r="U138" s="29">
        <f>+ENERO!U138</f>
        <v>0</v>
      </c>
      <c r="V138" s="17">
        <f>ABRIL!V138+MAYO!AL138</f>
        <v>0</v>
      </c>
      <c r="W138" s="17">
        <f>ABRIL!W138+MAYO!AM138</f>
        <v>0</v>
      </c>
      <c r="X138" s="20">
        <f t="shared" si="128"/>
        <v>0</v>
      </c>
      <c r="Y138" s="21">
        <f>ABRIL!AA138</f>
        <v>0</v>
      </c>
      <c r="Z138" s="457">
        <v>0</v>
      </c>
      <c r="AA138" s="20">
        <f t="shared" si="129"/>
        <v>0</v>
      </c>
      <c r="AB138" s="21">
        <f>ABRIL!AD138</f>
        <v>0</v>
      </c>
      <c r="AC138" s="457">
        <v>0</v>
      </c>
      <c r="AD138" s="20">
        <f t="shared" si="130"/>
        <v>0</v>
      </c>
      <c r="AE138" s="21">
        <f>ABRIL!AG138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+IF(ABRIL!S139=0,"",ABRIL!S139)</f>
        <v>2010299</v>
      </c>
      <c r="T139" s="159" t="str">
        <f>+IF(ABRIL!T139=0,"",ABRIL!T139)</f>
        <v>Vigencias Anteriores</v>
      </c>
      <c r="U139" s="29">
        <f>+ENERO!U139</f>
        <v>2000000</v>
      </c>
      <c r="V139" s="17">
        <f>ABRIL!V139+MAYO!AL139</f>
        <v>0</v>
      </c>
      <c r="W139" s="17">
        <f>ABRIL!W139+MAYO!AM139</f>
        <v>4066041</v>
      </c>
      <c r="X139" s="20">
        <f t="shared" si="128"/>
        <v>6066041</v>
      </c>
      <c r="Y139" s="21">
        <f>ABRIL!AA139</f>
        <v>6066041</v>
      </c>
      <c r="Z139" s="457">
        <v>0</v>
      </c>
      <c r="AA139" s="20">
        <f t="shared" si="129"/>
        <v>6066041</v>
      </c>
      <c r="AB139" s="21">
        <f>ABRIL!AD139</f>
        <v>6066041</v>
      </c>
      <c r="AC139" s="457">
        <v>0</v>
      </c>
      <c r="AD139" s="20">
        <f t="shared" si="130"/>
        <v>6066041</v>
      </c>
      <c r="AE139" s="21">
        <f>ABRIL!AG139</f>
        <v>5807197</v>
      </c>
      <c r="AF139" s="457">
        <v>0</v>
      </c>
      <c r="AG139" s="20">
        <f t="shared" si="131"/>
        <v>5807197</v>
      </c>
      <c r="AH139" s="21">
        <f t="shared" si="132"/>
        <v>0</v>
      </c>
      <c r="AI139" s="17">
        <f t="shared" si="133"/>
        <v>0</v>
      </c>
      <c r="AJ139" s="18">
        <f t="shared" si="134"/>
        <v>258844</v>
      </c>
      <c r="AK139" s="10"/>
      <c r="AL139" s="455">
        <v>0</v>
      </c>
      <c r="AM139" s="458">
        <v>0</v>
      </c>
      <c r="AN139" s="10"/>
      <c r="AO139" s="365"/>
      <c r="AP139" s="365"/>
      <c r="AQ139" s="365"/>
    </row>
    <row r="140" spans="1:52" s="467" customFormat="1" ht="15.75" x14ac:dyDescent="0.2">
      <c r="A140" s="623"/>
      <c r="N140" s="10"/>
      <c r="R140" s="10"/>
      <c r="S140" s="448" t="str">
        <f>+IF(ABRIL!S140=0,"",ABRIL!S140)</f>
        <v/>
      </c>
      <c r="T140" s="649" t="str">
        <f>+IF(ABRIL!T140=0,"",ABRIL!T140)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+IF(ABRIL!S141=0,"",ABRIL!S141)</f>
        <v>2010300</v>
      </c>
      <c r="T141" s="158" t="str">
        <f>+IF(ABRIL!T141=0,"",ABRIL!T141)</f>
        <v>Impuestos y Multas</v>
      </c>
      <c r="U141" s="157">
        <f t="shared" ref="U141:AJ141" si="136">U142+U143</f>
        <v>0</v>
      </c>
      <c r="V141" s="144">
        <f t="shared" si="136"/>
        <v>0</v>
      </c>
      <c r="W141" s="144">
        <f t="shared" si="136"/>
        <v>1000000</v>
      </c>
      <c r="X141" s="152">
        <f t="shared" si="136"/>
        <v>1000000</v>
      </c>
      <c r="Y141" s="151">
        <f t="shared" si="136"/>
        <v>0</v>
      </c>
      <c r="Z141" s="144">
        <f t="shared" si="136"/>
        <v>0</v>
      </c>
      <c r="AA141" s="152">
        <f t="shared" si="136"/>
        <v>0</v>
      </c>
      <c r="AB141" s="151">
        <f t="shared" si="136"/>
        <v>0</v>
      </c>
      <c r="AC141" s="144">
        <f t="shared" si="136"/>
        <v>0</v>
      </c>
      <c r="AD141" s="152">
        <f t="shared" si="136"/>
        <v>0</v>
      </c>
      <c r="AE141" s="151">
        <f t="shared" si="136"/>
        <v>0</v>
      </c>
      <c r="AF141" s="144">
        <f t="shared" si="136"/>
        <v>0</v>
      </c>
      <c r="AG141" s="152">
        <f t="shared" si="136"/>
        <v>0</v>
      </c>
      <c r="AH141" s="151">
        <f t="shared" si="136"/>
        <v>1000000</v>
      </c>
      <c r="AI141" s="144">
        <f t="shared" si="136"/>
        <v>1000000</v>
      </c>
      <c r="AJ141" s="153">
        <f t="shared" si="136"/>
        <v>1000000</v>
      </c>
      <c r="AK141" s="12"/>
      <c r="AL141" s="151">
        <f>AL142+AL143</f>
        <v>0</v>
      </c>
      <c r="AM141" s="153">
        <f>AM142+AM143</f>
        <v>0</v>
      </c>
      <c r="AN141" s="10"/>
    </row>
    <row r="142" spans="1:52" s="467" customFormat="1" x14ac:dyDescent="0.2">
      <c r="A142" s="623"/>
      <c r="N142" s="10"/>
      <c r="R142" s="10"/>
      <c r="S142" s="155" t="str">
        <f>+IF(ABRIL!S142=0,"",ABRIL!S142)</f>
        <v>2010300-1</v>
      </c>
      <c r="T142" s="159" t="str">
        <f>+IF(ABRIL!T142=0,"",ABRIL!T142)</f>
        <v>Impuestos (Predial, Vehiculos, Otros)</v>
      </c>
      <c r="U142" s="29">
        <f>+ENERO!U142</f>
        <v>0</v>
      </c>
      <c r="V142" s="17">
        <f>ABRIL!V142+MAYO!AL142</f>
        <v>0</v>
      </c>
      <c r="W142" s="17">
        <f>ABRIL!W142+MAYO!AM142</f>
        <v>1000000</v>
      </c>
      <c r="X142" s="20">
        <f>SUM(U142:W142)</f>
        <v>1000000</v>
      </c>
      <c r="Y142" s="21">
        <f>ABRIL!AA142</f>
        <v>0</v>
      </c>
      <c r="Z142" s="457">
        <v>0</v>
      </c>
      <c r="AA142" s="20">
        <f>SUM(Y142:Z142)</f>
        <v>0</v>
      </c>
      <c r="AB142" s="21">
        <f>ABRIL!AD142</f>
        <v>0</v>
      </c>
      <c r="AC142" s="457">
        <v>0</v>
      </c>
      <c r="AD142" s="20">
        <f>SUM(AB142:AC142)</f>
        <v>0</v>
      </c>
      <c r="AE142" s="21">
        <f>ABRIL!AG142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N143" s="10"/>
      <c r="R143" s="10"/>
      <c r="S143" s="155">
        <f>+IF(ABRIL!S143=0,"",ABRIL!S143)</f>
        <v>2010399</v>
      </c>
      <c r="T143" s="159" t="str">
        <f>+IF(ABRIL!T143=0,"",ABRIL!T143)</f>
        <v>Vigencias Anteriores</v>
      </c>
      <c r="U143" s="29">
        <f>+ENERO!U143</f>
        <v>0</v>
      </c>
      <c r="V143" s="17">
        <f>ABRIL!V143+MAYO!AL143</f>
        <v>0</v>
      </c>
      <c r="W143" s="17">
        <f>ABRIL!W143+MAYO!AM143</f>
        <v>0</v>
      </c>
      <c r="X143" s="20">
        <f>SUM(U143:W143)</f>
        <v>0</v>
      </c>
      <c r="Y143" s="21">
        <f>ABRIL!AA143</f>
        <v>0</v>
      </c>
      <c r="Z143" s="457">
        <v>0</v>
      </c>
      <c r="AA143" s="20">
        <f>SUM(Y143:Z143)</f>
        <v>0</v>
      </c>
      <c r="AB143" s="21">
        <f>ABRIL!AD143</f>
        <v>0</v>
      </c>
      <c r="AC143" s="457">
        <v>0</v>
      </c>
      <c r="AD143" s="20">
        <f>SUM(AB143:AC143)</f>
        <v>0</v>
      </c>
      <c r="AE143" s="21">
        <f>ABRIL!AG143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+IF(ABRIL!S144=0,"",ABRIL!S144)</f>
        <v/>
      </c>
      <c r="T144" s="649" t="str">
        <f>+IF(ABRIL!T144=0,"",ABRIL!T144)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+IF(ABRIL!S145=0,"",ABRIL!S145)</f>
        <v>2020010</v>
      </c>
      <c r="T145" s="470" t="str">
        <f>+IF(ABRIL!T145=0,"",ABRIL!T145)</f>
        <v>Gastos de Operación</v>
      </c>
      <c r="U145" s="157">
        <f t="shared" ref="U145:AJ145" si="137">U147+U155</f>
        <v>378163463</v>
      </c>
      <c r="V145" s="144">
        <f t="shared" si="137"/>
        <v>-746499</v>
      </c>
      <c r="W145" s="144">
        <f t="shared" si="137"/>
        <v>14287532</v>
      </c>
      <c r="X145" s="152">
        <f t="shared" si="137"/>
        <v>391704496</v>
      </c>
      <c r="Y145" s="151">
        <f t="shared" si="137"/>
        <v>113787181</v>
      </c>
      <c r="Z145" s="144">
        <f t="shared" si="137"/>
        <v>43099348</v>
      </c>
      <c r="AA145" s="152">
        <f t="shared" si="137"/>
        <v>156886529</v>
      </c>
      <c r="AB145" s="151">
        <f t="shared" si="137"/>
        <v>113787181</v>
      </c>
      <c r="AC145" s="144">
        <f t="shared" si="137"/>
        <v>43099348</v>
      </c>
      <c r="AD145" s="152">
        <f t="shared" si="137"/>
        <v>156886529</v>
      </c>
      <c r="AE145" s="151">
        <f t="shared" si="137"/>
        <v>75033134</v>
      </c>
      <c r="AF145" s="144">
        <f t="shared" si="137"/>
        <v>32891608</v>
      </c>
      <c r="AG145" s="152">
        <f t="shared" si="137"/>
        <v>107924742</v>
      </c>
      <c r="AH145" s="151">
        <f t="shared" si="137"/>
        <v>234817967</v>
      </c>
      <c r="AI145" s="144">
        <f t="shared" si="137"/>
        <v>234817967</v>
      </c>
      <c r="AJ145" s="153">
        <f t="shared" si="137"/>
        <v>283779754</v>
      </c>
      <c r="AK145" s="12"/>
      <c r="AL145" s="151">
        <f>AL147+AL155</f>
        <v>0</v>
      </c>
      <c r="AM145" s="153">
        <f>AM147+AM155</f>
        <v>0</v>
      </c>
      <c r="AN145" s="10"/>
    </row>
    <row r="146" spans="1:40" s="467" customFormat="1" x14ac:dyDescent="0.2">
      <c r="A146" s="623"/>
      <c r="N146" s="10"/>
      <c r="R146" s="10"/>
      <c r="S146" s="11" t="str">
        <f>+IF(ABRIL!S146=0,"",ABRIL!S146)</f>
        <v/>
      </c>
      <c r="T146" s="55" t="str">
        <f>+IF(ABRIL!T146=0,"",ABRIL!T146)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+IF(ABRIL!S147=0,"",ABRIL!S147)</f>
        <v>2020100</v>
      </c>
      <c r="T147" s="158" t="str">
        <f>+IF(ABRIL!T147=0,"",ABRIL!T147)</f>
        <v>Adquisición de bienes</v>
      </c>
      <c r="U147" s="157">
        <f t="shared" ref="U147:AJ147" si="138">SUM(U148:U149)+U153</f>
        <v>164034265</v>
      </c>
      <c r="V147" s="144">
        <f t="shared" si="138"/>
        <v>1294826</v>
      </c>
      <c r="W147" s="144">
        <f t="shared" si="138"/>
        <v>14287532</v>
      </c>
      <c r="X147" s="152">
        <f t="shared" si="138"/>
        <v>179616623</v>
      </c>
      <c r="Y147" s="151">
        <f t="shared" si="138"/>
        <v>61431103</v>
      </c>
      <c r="Z147" s="144">
        <f t="shared" si="138"/>
        <v>18628475</v>
      </c>
      <c r="AA147" s="152">
        <f t="shared" si="138"/>
        <v>80059578</v>
      </c>
      <c r="AB147" s="151">
        <f t="shared" si="138"/>
        <v>61431103</v>
      </c>
      <c r="AC147" s="144">
        <f t="shared" si="138"/>
        <v>18628475</v>
      </c>
      <c r="AD147" s="152">
        <f t="shared" si="138"/>
        <v>80059578</v>
      </c>
      <c r="AE147" s="151">
        <f t="shared" si="138"/>
        <v>44679003</v>
      </c>
      <c r="AF147" s="144">
        <f t="shared" si="138"/>
        <v>9293818</v>
      </c>
      <c r="AG147" s="152">
        <f t="shared" si="138"/>
        <v>53972821</v>
      </c>
      <c r="AH147" s="151">
        <f t="shared" si="138"/>
        <v>99557045</v>
      </c>
      <c r="AI147" s="144">
        <f t="shared" si="138"/>
        <v>99557045</v>
      </c>
      <c r="AJ147" s="153">
        <f t="shared" si="138"/>
        <v>125643802</v>
      </c>
      <c r="AK147" s="10"/>
      <c r="AL147" s="151">
        <f>SUM(AL148:AL149)+AL153</f>
        <v>0</v>
      </c>
      <c r="AM147" s="153">
        <f>SUM(AM148:AM149)+AM153</f>
        <v>0</v>
      </c>
      <c r="AN147" s="10"/>
    </row>
    <row r="148" spans="1:40" s="467" customFormat="1" x14ac:dyDescent="0.2">
      <c r="A148" s="623"/>
      <c r="N148" s="10"/>
      <c r="R148" s="10"/>
      <c r="S148" s="155">
        <f>+IF(ABRIL!S148=0,"",ABRIL!S148)</f>
        <v>2020101</v>
      </c>
      <c r="T148" s="159" t="str">
        <f>+IF(ABRIL!T148=0,"",ABRIL!T148)</f>
        <v>Mantenimiento Hospitalario</v>
      </c>
      <c r="U148" s="29">
        <f>+ENERO!U148</f>
        <v>73185858</v>
      </c>
      <c r="V148" s="17">
        <f>ABRIL!V148+MAYO!AL148</f>
        <v>0</v>
      </c>
      <c r="W148" s="17">
        <f>ABRIL!W148+MAYO!AM148</f>
        <v>0</v>
      </c>
      <c r="X148" s="20">
        <f>SUM(U148:W148)</f>
        <v>73185858</v>
      </c>
      <c r="Y148" s="21">
        <f>ABRIL!AA148</f>
        <v>12680329</v>
      </c>
      <c r="Z148" s="457">
        <v>11865419</v>
      </c>
      <c r="AA148" s="20">
        <f>SUM(Y148:Z148)</f>
        <v>24545748</v>
      </c>
      <c r="AB148" s="21">
        <f>ABRIL!AD148</f>
        <v>12680329</v>
      </c>
      <c r="AC148" s="457">
        <v>11865419</v>
      </c>
      <c r="AD148" s="20">
        <f>SUM(AB148:AC148)</f>
        <v>24545748</v>
      </c>
      <c r="AE148" s="21">
        <f>ABRIL!AG148</f>
        <v>8279433</v>
      </c>
      <c r="AF148" s="457">
        <v>6418700</v>
      </c>
      <c r="AG148" s="20">
        <f>SUM(AE148:AF148)</f>
        <v>14698133</v>
      </c>
      <c r="AH148" s="21">
        <f>X148-AA148</f>
        <v>48640110</v>
      </c>
      <c r="AI148" s="17">
        <f>X148-AD148</f>
        <v>48640110</v>
      </c>
      <c r="AJ148" s="18">
        <f>X148-AG148</f>
        <v>58487725</v>
      </c>
      <c r="AK148" s="10"/>
      <c r="AL148" s="455">
        <v>0</v>
      </c>
      <c r="AM148" s="458">
        <v>0</v>
      </c>
      <c r="AN148" s="10"/>
    </row>
    <row r="149" spans="1:40" s="467" customFormat="1" x14ac:dyDescent="0.2">
      <c r="A149" s="623"/>
      <c r="N149" s="10"/>
      <c r="R149" s="10"/>
      <c r="S149" s="155">
        <f>+IF(ABRIL!S149=0,"",ABRIL!S149)</f>
        <v>2020102</v>
      </c>
      <c r="T149" s="159" t="str">
        <f>+IF(ABRIL!T149=0,"",ABRIL!T149)</f>
        <v>Otros</v>
      </c>
      <c r="U149" s="29">
        <f t="shared" ref="U149:AJ149" si="139">SUM(U150:U152)</f>
        <v>86848407</v>
      </c>
      <c r="V149" s="17">
        <f t="shared" si="139"/>
        <v>-3075665</v>
      </c>
      <c r="W149" s="17">
        <f t="shared" si="139"/>
        <v>5000000</v>
      </c>
      <c r="X149" s="20">
        <f t="shared" si="139"/>
        <v>88772742</v>
      </c>
      <c r="Y149" s="21">
        <f t="shared" si="139"/>
        <v>31092751</v>
      </c>
      <c r="Z149" s="169">
        <f t="shared" si="139"/>
        <v>6763056</v>
      </c>
      <c r="AA149" s="20">
        <f t="shared" si="139"/>
        <v>37855807</v>
      </c>
      <c r="AB149" s="21">
        <f t="shared" si="139"/>
        <v>31092751</v>
      </c>
      <c r="AC149" s="169">
        <f t="shared" si="139"/>
        <v>6763056</v>
      </c>
      <c r="AD149" s="20">
        <f t="shared" si="139"/>
        <v>37855807</v>
      </c>
      <c r="AE149" s="21">
        <f t="shared" si="139"/>
        <v>19557911</v>
      </c>
      <c r="AF149" s="169">
        <f t="shared" si="139"/>
        <v>2875118</v>
      </c>
      <c r="AG149" s="20">
        <f t="shared" si="139"/>
        <v>22433029</v>
      </c>
      <c r="AH149" s="21">
        <f t="shared" si="139"/>
        <v>50916935</v>
      </c>
      <c r="AI149" s="17">
        <f t="shared" si="139"/>
        <v>50916935</v>
      </c>
      <c r="AJ149" s="18">
        <f t="shared" si="139"/>
        <v>66339713</v>
      </c>
      <c r="AK149" s="10"/>
      <c r="AL149" s="31">
        <f>SUM(AL150:AL152)</f>
        <v>0</v>
      </c>
      <c r="AM149" s="28">
        <f>SUM(AM150:AM152)</f>
        <v>0</v>
      </c>
      <c r="AN149" s="10"/>
    </row>
    <row r="150" spans="1:40" s="467" customFormat="1" x14ac:dyDescent="0.2">
      <c r="A150" s="623"/>
      <c r="N150" s="10"/>
      <c r="R150" s="10"/>
      <c r="S150" s="156" t="str">
        <f>+IF(ABRIL!S150=0,"",ABRIL!S150)</f>
        <v>2020102-1</v>
      </c>
      <c r="T150" s="159" t="str">
        <f>+IF(ABRIL!T150=0,"",ABRIL!T150)</f>
        <v>Compra de Equipo e Instr. Mco. y Laborat.</v>
      </c>
      <c r="U150" s="29">
        <f>+ENERO!U150</f>
        <v>36341462</v>
      </c>
      <c r="V150" s="17">
        <f>ABRIL!V150+MAYO!AL150</f>
        <v>-3075665</v>
      </c>
      <c r="W150" s="17">
        <f>ABRIL!W150+MAYO!AM150</f>
        <v>5000000</v>
      </c>
      <c r="X150" s="20">
        <f>SUM(U150:W150)</f>
        <v>38265797</v>
      </c>
      <c r="Y150" s="21">
        <f>ABRIL!AA150</f>
        <v>6213680</v>
      </c>
      <c r="Z150" s="457">
        <v>3108400</v>
      </c>
      <c r="AA150" s="20">
        <f>SUM(Y150:Z150)</f>
        <v>9322080</v>
      </c>
      <c r="AB150" s="21">
        <f>ABRIL!AD150</f>
        <v>6213680</v>
      </c>
      <c r="AC150" s="457">
        <v>3108400</v>
      </c>
      <c r="AD150" s="20">
        <f>SUM(AB150:AC150)</f>
        <v>9322080</v>
      </c>
      <c r="AE150" s="21">
        <f>ABRIL!AG150</f>
        <v>0</v>
      </c>
      <c r="AF150" s="457">
        <v>0</v>
      </c>
      <c r="AG150" s="20">
        <f>SUM(AE150:AF150)</f>
        <v>0</v>
      </c>
      <c r="AH150" s="21">
        <f>X150-AA150</f>
        <v>28943717</v>
      </c>
      <c r="AI150" s="17">
        <f>X150-AD150</f>
        <v>28943717</v>
      </c>
      <c r="AJ150" s="18">
        <f>X150-AG150</f>
        <v>38265797</v>
      </c>
      <c r="AK150" s="10"/>
      <c r="AL150" s="455">
        <v>0</v>
      </c>
      <c r="AM150" s="458">
        <v>0</v>
      </c>
      <c r="AN150" s="10"/>
    </row>
    <row r="151" spans="1:40" s="467" customFormat="1" x14ac:dyDescent="0.2">
      <c r="A151" s="623"/>
      <c r="N151" s="10"/>
      <c r="R151" s="10"/>
      <c r="S151" s="156" t="str">
        <f>+IF(ABRIL!S151=0,"",ABRIL!S151)</f>
        <v>2020102-2</v>
      </c>
      <c r="T151" s="159" t="str">
        <f>+IF(ABRIL!T151=0,"",ABRIL!T151)</f>
        <v>Materiales</v>
      </c>
      <c r="U151" s="29">
        <f>+ENERO!U151</f>
        <v>17885632</v>
      </c>
      <c r="V151" s="17">
        <f>ABRIL!V151+MAYO!AL151</f>
        <v>0</v>
      </c>
      <c r="W151" s="17">
        <f>ABRIL!W151+MAYO!AM151</f>
        <v>0</v>
      </c>
      <c r="X151" s="20">
        <f>SUM(U151:W151)</f>
        <v>17885632</v>
      </c>
      <c r="Y151" s="21">
        <f>ABRIL!AA151</f>
        <v>9717520</v>
      </c>
      <c r="Z151" s="457">
        <v>32000</v>
      </c>
      <c r="AA151" s="20">
        <f>SUM(Y151:Z151)</f>
        <v>9749520</v>
      </c>
      <c r="AB151" s="21">
        <f>ABRIL!AD151</f>
        <v>9717520</v>
      </c>
      <c r="AC151" s="457">
        <v>32000</v>
      </c>
      <c r="AD151" s="20">
        <f>SUM(AB151:AC151)</f>
        <v>9749520</v>
      </c>
      <c r="AE151" s="21">
        <f>ABRIL!AG151</f>
        <v>7271478</v>
      </c>
      <c r="AF151" s="457">
        <v>0</v>
      </c>
      <c r="AG151" s="20">
        <f>SUM(AE151:AF151)</f>
        <v>7271478</v>
      </c>
      <c r="AH151" s="21">
        <f>X151-AA151</f>
        <v>8136112</v>
      </c>
      <c r="AI151" s="17">
        <f>X151-AD151</f>
        <v>8136112</v>
      </c>
      <c r="AJ151" s="18">
        <f>X151-AG151</f>
        <v>10614154</v>
      </c>
      <c r="AK151" s="10"/>
      <c r="AL151" s="455">
        <v>0</v>
      </c>
      <c r="AM151" s="458">
        <v>0</v>
      </c>
      <c r="AN151" s="10"/>
    </row>
    <row r="152" spans="1:40" s="467" customFormat="1" x14ac:dyDescent="0.2">
      <c r="A152" s="623"/>
      <c r="N152" s="10"/>
      <c r="R152" s="10"/>
      <c r="S152" s="156" t="str">
        <f>+IF(ABRIL!S152=0,"",ABRIL!S152)</f>
        <v>2020102-3</v>
      </c>
      <c r="T152" s="159" t="str">
        <f>+IF(ABRIL!T152=0,"",ABRIL!T152)</f>
        <v>Combustible</v>
      </c>
      <c r="U152" s="29">
        <f>+ENERO!U152</f>
        <v>32621313</v>
      </c>
      <c r="V152" s="17">
        <f>ABRIL!V152+MAYO!AL152</f>
        <v>0</v>
      </c>
      <c r="W152" s="17">
        <f>ABRIL!W152+MAYO!AM152</f>
        <v>0</v>
      </c>
      <c r="X152" s="20">
        <f>SUM(U152:W152)</f>
        <v>32621313</v>
      </c>
      <c r="Y152" s="21">
        <f>ABRIL!AA152</f>
        <v>15161551</v>
      </c>
      <c r="Z152" s="457">
        <v>3622656</v>
      </c>
      <c r="AA152" s="20">
        <f>SUM(Y152:Z152)</f>
        <v>18784207</v>
      </c>
      <c r="AB152" s="21">
        <f>ABRIL!AD152</f>
        <v>15161551</v>
      </c>
      <c r="AC152" s="457">
        <v>3622656</v>
      </c>
      <c r="AD152" s="20">
        <f>SUM(AB152:AC152)</f>
        <v>18784207</v>
      </c>
      <c r="AE152" s="21">
        <f>ABRIL!AG152</f>
        <v>12286433</v>
      </c>
      <c r="AF152" s="457">
        <v>2875118</v>
      </c>
      <c r="AG152" s="20">
        <f>SUM(AE152:AF152)</f>
        <v>15161551</v>
      </c>
      <c r="AH152" s="21">
        <f>X152-AA152</f>
        <v>13837106</v>
      </c>
      <c r="AI152" s="17">
        <f>X152-AD152</f>
        <v>13837106</v>
      </c>
      <c r="AJ152" s="18">
        <f>X152-AG152</f>
        <v>17459762</v>
      </c>
      <c r="AK152" s="10"/>
      <c r="AL152" s="455">
        <v>0</v>
      </c>
      <c r="AM152" s="458">
        <v>0</v>
      </c>
      <c r="AN152" s="10"/>
    </row>
    <row r="153" spans="1:40" s="467" customFormat="1" x14ac:dyDescent="0.2">
      <c r="A153" s="623"/>
      <c r="N153" s="10"/>
      <c r="R153" s="10"/>
      <c r="S153" s="155">
        <f>+IF(ABRIL!S153=0,"",ABRIL!S153)</f>
        <v>2020199</v>
      </c>
      <c r="T153" s="159" t="str">
        <f>+IF(ABRIL!T153=0,"",ABRIL!T153)</f>
        <v>Vigencias Anteriores</v>
      </c>
      <c r="U153" s="29">
        <f>+ENERO!U153</f>
        <v>4000000</v>
      </c>
      <c r="V153" s="17">
        <f>ABRIL!V153+MAYO!AL153</f>
        <v>4370491</v>
      </c>
      <c r="W153" s="17">
        <f>ABRIL!W153+MAYO!AM153</f>
        <v>9287532</v>
      </c>
      <c r="X153" s="20">
        <f>SUM(U153:W153)</f>
        <v>17658023</v>
      </c>
      <c r="Y153" s="21">
        <f>ABRIL!AA153</f>
        <v>17658023</v>
      </c>
      <c r="Z153" s="457">
        <v>0</v>
      </c>
      <c r="AA153" s="20">
        <f>SUM(Y153:Z153)</f>
        <v>17658023</v>
      </c>
      <c r="AB153" s="21">
        <f>ABRIL!AD153</f>
        <v>17658023</v>
      </c>
      <c r="AC153" s="457">
        <v>0</v>
      </c>
      <c r="AD153" s="20">
        <f>SUM(AB153:AC153)</f>
        <v>17658023</v>
      </c>
      <c r="AE153" s="21">
        <f>ABRIL!AG153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+IF(ABRIL!S154=0,"",ABRIL!S154)</f>
        <v/>
      </c>
      <c r="T154" s="649" t="str">
        <f>+IF(ABRIL!T154=0,"",ABRIL!T154)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+IF(ABRIL!S155=0,"",ABRIL!S155)</f>
        <v>2020200</v>
      </c>
      <c r="T155" s="158" t="str">
        <f>+IF(ABRIL!T155=0,"",ABRIL!T155)</f>
        <v>Adquisición de Servicios</v>
      </c>
      <c r="U155" s="157">
        <f t="shared" ref="U155:AJ155" si="140">SUM(U156:U157)+U168</f>
        <v>214129198</v>
      </c>
      <c r="V155" s="144">
        <f t="shared" si="140"/>
        <v>-2041325</v>
      </c>
      <c r="W155" s="144">
        <f t="shared" si="140"/>
        <v>0</v>
      </c>
      <c r="X155" s="152">
        <f t="shared" si="140"/>
        <v>212087873</v>
      </c>
      <c r="Y155" s="151">
        <f t="shared" si="140"/>
        <v>52356078</v>
      </c>
      <c r="Z155" s="144">
        <f t="shared" si="140"/>
        <v>24470873</v>
      </c>
      <c r="AA155" s="152">
        <f t="shared" si="140"/>
        <v>76826951</v>
      </c>
      <c r="AB155" s="151">
        <f t="shared" si="140"/>
        <v>52356078</v>
      </c>
      <c r="AC155" s="144">
        <f t="shared" si="140"/>
        <v>24470873</v>
      </c>
      <c r="AD155" s="152">
        <f t="shared" si="140"/>
        <v>76826951</v>
      </c>
      <c r="AE155" s="151">
        <f t="shared" si="140"/>
        <v>30354131</v>
      </c>
      <c r="AF155" s="144">
        <f t="shared" si="140"/>
        <v>23597790</v>
      </c>
      <c r="AG155" s="152">
        <f t="shared" si="140"/>
        <v>53951921</v>
      </c>
      <c r="AH155" s="151">
        <f t="shared" si="140"/>
        <v>135260922</v>
      </c>
      <c r="AI155" s="144">
        <f t="shared" si="140"/>
        <v>135260922</v>
      </c>
      <c r="AJ155" s="153">
        <f t="shared" si="140"/>
        <v>158135952</v>
      </c>
      <c r="AK155" s="10"/>
      <c r="AL155" s="151">
        <f>SUM(AL156:AL157)+AL168</f>
        <v>0</v>
      </c>
      <c r="AM155" s="153">
        <f>SUM(AM156:AM157)+AM168</f>
        <v>0</v>
      </c>
      <c r="AN155" s="10"/>
    </row>
    <row r="156" spans="1:40" s="467" customFormat="1" x14ac:dyDescent="0.2">
      <c r="A156" s="623"/>
      <c r="N156" s="10"/>
      <c r="P156" s="10"/>
      <c r="Q156" s="10"/>
      <c r="R156" s="10"/>
      <c r="S156" s="155">
        <f>+IF(ABRIL!S156=0,"",ABRIL!S156)</f>
        <v>2020201</v>
      </c>
      <c r="T156" s="159" t="str">
        <f>+IF(ABRIL!T156=0,"",ABRIL!T156)</f>
        <v>Mantenimiento Hospitalario</v>
      </c>
      <c r="U156" s="29">
        <f>+ENERO!U156</f>
        <v>89449384</v>
      </c>
      <c r="V156" s="17">
        <f>ABRIL!V156+MAYO!AL156</f>
        <v>0</v>
      </c>
      <c r="W156" s="17">
        <f>ABRIL!W156+MAYO!AM156</f>
        <v>0</v>
      </c>
      <c r="X156" s="20">
        <f>SUM(U156:W156)</f>
        <v>89449384</v>
      </c>
      <c r="Y156" s="21">
        <f>ABRIL!AA156</f>
        <v>18015042</v>
      </c>
      <c r="Z156" s="457">
        <v>8231305</v>
      </c>
      <c r="AA156" s="20">
        <f>SUM(Y156:Z156)</f>
        <v>26246347</v>
      </c>
      <c r="AB156" s="21">
        <f>ABRIL!AD156</f>
        <v>18015042</v>
      </c>
      <c r="AC156" s="457">
        <v>8231305</v>
      </c>
      <c r="AD156" s="20">
        <f>SUM(AB156:AC156)</f>
        <v>26246347</v>
      </c>
      <c r="AE156" s="21">
        <f>ABRIL!AG156</f>
        <v>10402730</v>
      </c>
      <c r="AF156" s="457">
        <v>7750872</v>
      </c>
      <c r="AG156" s="20">
        <f>SUM(AE156:AF156)</f>
        <v>18153602</v>
      </c>
      <c r="AH156" s="21">
        <f>X156-AA156</f>
        <v>63203037</v>
      </c>
      <c r="AI156" s="17">
        <f>X156-AD156</f>
        <v>63203037</v>
      </c>
      <c r="AJ156" s="18">
        <f>X156-AG156</f>
        <v>71295782</v>
      </c>
      <c r="AK156" s="10"/>
      <c r="AL156" s="455">
        <v>0</v>
      </c>
      <c r="AM156" s="458">
        <v>0</v>
      </c>
      <c r="AN156" s="10"/>
    </row>
    <row r="157" spans="1:40" s="467" customFormat="1" x14ac:dyDescent="0.2">
      <c r="A157" s="623"/>
      <c r="N157" s="10"/>
      <c r="P157" s="10"/>
      <c r="Q157" s="10"/>
      <c r="R157" s="10"/>
      <c r="S157" s="155">
        <f>+IF(ABRIL!S157=0,"",ABRIL!S157)</f>
        <v>2020202</v>
      </c>
      <c r="T157" s="159" t="str">
        <f>+IF(ABRIL!T157=0,"",ABRIL!T157)</f>
        <v>Otros</v>
      </c>
      <c r="U157" s="29">
        <f t="shared" ref="U157:AJ157" si="141">SUM(U158:U167)</f>
        <v>111949655</v>
      </c>
      <c r="V157" s="17">
        <f t="shared" si="141"/>
        <v>0</v>
      </c>
      <c r="W157" s="17">
        <f t="shared" si="141"/>
        <v>0</v>
      </c>
      <c r="X157" s="20">
        <f t="shared" si="141"/>
        <v>111949655</v>
      </c>
      <c r="Y157" s="21">
        <f t="shared" si="141"/>
        <v>23652202</v>
      </c>
      <c r="Z157" s="169">
        <f t="shared" si="141"/>
        <v>16239568</v>
      </c>
      <c r="AA157" s="20">
        <f t="shared" si="141"/>
        <v>39891770</v>
      </c>
      <c r="AB157" s="21">
        <f t="shared" si="141"/>
        <v>23652202</v>
      </c>
      <c r="AC157" s="169">
        <f t="shared" si="141"/>
        <v>16239568</v>
      </c>
      <c r="AD157" s="20">
        <f t="shared" si="141"/>
        <v>39891770</v>
      </c>
      <c r="AE157" s="21">
        <f t="shared" si="141"/>
        <v>12509982</v>
      </c>
      <c r="AF157" s="169">
        <f t="shared" si="141"/>
        <v>14358653</v>
      </c>
      <c r="AG157" s="20">
        <f t="shared" si="141"/>
        <v>26868635</v>
      </c>
      <c r="AH157" s="21">
        <f t="shared" si="141"/>
        <v>72057885</v>
      </c>
      <c r="AI157" s="17">
        <f t="shared" si="141"/>
        <v>72057885</v>
      </c>
      <c r="AJ157" s="18">
        <f t="shared" si="141"/>
        <v>85081020</v>
      </c>
      <c r="AK157" s="12"/>
      <c r="AL157" s="31">
        <f>SUM(AL158:AL167)</f>
        <v>0</v>
      </c>
      <c r="AM157" s="28">
        <f>SUM(AM158:AM167)</f>
        <v>0</v>
      </c>
      <c r="AN157" s="10"/>
    </row>
    <row r="158" spans="1:40" s="467" customFormat="1" x14ac:dyDescent="0.2">
      <c r="A158" s="623"/>
      <c r="N158" s="10"/>
      <c r="P158" s="10"/>
      <c r="Q158" s="10"/>
      <c r="R158" s="10"/>
      <c r="S158" s="156" t="str">
        <f>+IF(ABRIL!S158=0,"",ABRIL!S158)</f>
        <v>2020202-1</v>
      </c>
      <c r="T158" s="55" t="str">
        <f>+IF(ABRIL!T158=0,"",ABRIL!T158)</f>
        <v>Seguros</v>
      </c>
      <c r="U158" s="29">
        <f>+ENERO!U158</f>
        <v>10500000</v>
      </c>
      <c r="V158" s="17">
        <f>ABRIL!V158+MAYO!AL158</f>
        <v>0</v>
      </c>
      <c r="W158" s="17">
        <f>ABRIL!W158+MAYO!AM158</f>
        <v>0</v>
      </c>
      <c r="X158" s="20">
        <f t="shared" ref="X158:X168" si="142">SUM(U158:W158)</f>
        <v>10500000</v>
      </c>
      <c r="Y158" s="21">
        <f>ABRIL!AA158</f>
        <v>782400</v>
      </c>
      <c r="Z158" s="457">
        <v>6808002</v>
      </c>
      <c r="AA158" s="20">
        <f t="shared" ref="AA158:AA168" si="143">SUM(Y158:Z158)</f>
        <v>7590402</v>
      </c>
      <c r="AB158" s="21">
        <f>ABRIL!AD158</f>
        <v>782400</v>
      </c>
      <c r="AC158" s="457">
        <v>6808002</v>
      </c>
      <c r="AD158" s="20">
        <f t="shared" ref="AD158:AD168" si="144">SUM(AB158:AC158)</f>
        <v>7590402</v>
      </c>
      <c r="AE158" s="21">
        <f>ABRIL!AG158</f>
        <v>782400</v>
      </c>
      <c r="AF158" s="457">
        <v>5706002</v>
      </c>
      <c r="AG158" s="20">
        <f t="shared" ref="AG158:AG168" si="145">SUM(AE158:AF158)</f>
        <v>6488402</v>
      </c>
      <c r="AH158" s="21">
        <f t="shared" ref="AH158:AH168" si="146">X158-AA158</f>
        <v>2909598</v>
      </c>
      <c r="AI158" s="17">
        <f t="shared" ref="AI158:AI168" si="147">X158-AD158</f>
        <v>2909598</v>
      </c>
      <c r="AJ158" s="18">
        <f t="shared" ref="AJ158:AJ168" si="148">X158-AG158</f>
        <v>4011598</v>
      </c>
      <c r="AK158" s="10"/>
      <c r="AL158" s="455">
        <v>0</v>
      </c>
      <c r="AM158" s="458">
        <v>0</v>
      </c>
      <c r="AN158" s="10"/>
    </row>
    <row r="159" spans="1:40" s="467" customFormat="1" x14ac:dyDescent="0.2">
      <c r="A159" s="623"/>
      <c r="N159" s="10"/>
      <c r="P159" s="10"/>
      <c r="Q159" s="10"/>
      <c r="R159" s="10"/>
      <c r="S159" s="156" t="str">
        <f>+IF(ABRIL!S159=0,"",ABRIL!S159)</f>
        <v>2020202-2</v>
      </c>
      <c r="T159" s="55" t="str">
        <f>+IF(ABRIL!T159=0,"",ABRIL!T159)</f>
        <v>Impresos y Publicaciones</v>
      </c>
      <c r="U159" s="29">
        <f>+ENERO!U159</f>
        <v>6697601</v>
      </c>
      <c r="V159" s="17">
        <f>ABRIL!V159+MAYO!AL159</f>
        <v>0</v>
      </c>
      <c r="W159" s="17">
        <f>ABRIL!W159+MAYO!AM159</f>
        <v>0</v>
      </c>
      <c r="X159" s="20">
        <f t="shared" si="142"/>
        <v>6697601</v>
      </c>
      <c r="Y159" s="21">
        <f>ABRIL!AA159</f>
        <v>428397</v>
      </c>
      <c r="Z159" s="457">
        <v>629376</v>
      </c>
      <c r="AA159" s="20">
        <f t="shared" si="143"/>
        <v>1057773</v>
      </c>
      <c r="AB159" s="21">
        <f>ABRIL!AD159</f>
        <v>428397</v>
      </c>
      <c r="AC159" s="457">
        <v>629376</v>
      </c>
      <c r="AD159" s="20">
        <f t="shared" si="144"/>
        <v>1057773</v>
      </c>
      <c r="AE159" s="21">
        <f>ABRIL!AG159</f>
        <v>132800</v>
      </c>
      <c r="AF159" s="457">
        <v>365597</v>
      </c>
      <c r="AG159" s="20">
        <f t="shared" si="145"/>
        <v>498397</v>
      </c>
      <c r="AH159" s="21">
        <f t="shared" si="146"/>
        <v>5639828</v>
      </c>
      <c r="AI159" s="17">
        <f t="shared" si="147"/>
        <v>5639828</v>
      </c>
      <c r="AJ159" s="18">
        <f t="shared" si="148"/>
        <v>6199204</v>
      </c>
      <c r="AK159" s="10"/>
      <c r="AL159" s="455">
        <v>0</v>
      </c>
      <c r="AM159" s="458">
        <v>0</v>
      </c>
      <c r="AN159" s="10"/>
    </row>
    <row r="160" spans="1:40" s="467" customFormat="1" x14ac:dyDescent="0.2">
      <c r="A160" s="623"/>
      <c r="N160" s="10"/>
      <c r="P160" s="10"/>
      <c r="Q160" s="10"/>
      <c r="R160" s="10"/>
      <c r="S160" s="156" t="str">
        <f>+IF(ABRIL!S160=0,"",ABRIL!S160)</f>
        <v>2020202-3</v>
      </c>
      <c r="T160" s="55" t="str">
        <f>+IF(ABRIL!T160=0,"",ABRIL!T160)</f>
        <v>Pago a otras IPS</v>
      </c>
      <c r="U160" s="29">
        <f>+ENERO!U160</f>
        <v>11458020</v>
      </c>
      <c r="V160" s="17">
        <f>ABRIL!V160+MAYO!AL160</f>
        <v>0</v>
      </c>
      <c r="W160" s="17">
        <f>ABRIL!W160+MAYO!AM160</f>
        <v>0</v>
      </c>
      <c r="X160" s="20">
        <f t="shared" si="142"/>
        <v>11458020</v>
      </c>
      <c r="Y160" s="21">
        <f>ABRIL!AA160</f>
        <v>499149</v>
      </c>
      <c r="Z160" s="457">
        <v>1546953</v>
      </c>
      <c r="AA160" s="20">
        <f t="shared" si="143"/>
        <v>2046102</v>
      </c>
      <c r="AB160" s="21">
        <f>ABRIL!AD160</f>
        <v>499149</v>
      </c>
      <c r="AC160" s="457">
        <v>1546953</v>
      </c>
      <c r="AD160" s="20">
        <f t="shared" si="144"/>
        <v>2046102</v>
      </c>
      <c r="AE160" s="21">
        <f>ABRIL!AG160</f>
        <v>0</v>
      </c>
      <c r="AF160" s="457">
        <v>0</v>
      </c>
      <c r="AG160" s="20">
        <f t="shared" si="145"/>
        <v>0</v>
      </c>
      <c r="AH160" s="21">
        <f t="shared" si="146"/>
        <v>9411918</v>
      </c>
      <c r="AI160" s="17">
        <f t="shared" si="147"/>
        <v>9411918</v>
      </c>
      <c r="AJ160" s="18">
        <f t="shared" si="148"/>
        <v>11458020</v>
      </c>
      <c r="AK160" s="10"/>
      <c r="AL160" s="455">
        <v>0</v>
      </c>
      <c r="AM160" s="458">
        <v>0</v>
      </c>
      <c r="AN160" s="10"/>
    </row>
    <row r="161" spans="1:40" s="467" customFormat="1" x14ac:dyDescent="0.2">
      <c r="A161" s="623"/>
      <c r="N161" s="10"/>
      <c r="P161" s="10"/>
      <c r="Q161" s="10"/>
      <c r="R161" s="10"/>
      <c r="S161" s="156" t="str">
        <f>+IF(ABRIL!S161=0,"",ABRIL!S161)</f>
        <v>2020202-4</v>
      </c>
      <c r="T161" s="55" t="str">
        <f>+IF(ABRIL!T161=0,"",ABRIL!T161)</f>
        <v>Comunicaciones y Transportes</v>
      </c>
      <c r="U161" s="29">
        <f>+ENERO!U161</f>
        <v>14340084</v>
      </c>
      <c r="V161" s="17">
        <f>ABRIL!V161+MAYO!AL161</f>
        <v>0</v>
      </c>
      <c r="W161" s="17">
        <f>ABRIL!W161+MAYO!AM161</f>
        <v>0</v>
      </c>
      <c r="X161" s="20">
        <f t="shared" si="142"/>
        <v>14340084</v>
      </c>
      <c r="Y161" s="21">
        <f>ABRIL!AA161</f>
        <v>4007400</v>
      </c>
      <c r="Z161" s="457">
        <v>1995600</v>
      </c>
      <c r="AA161" s="20">
        <f t="shared" si="143"/>
        <v>6003000</v>
      </c>
      <c r="AB161" s="21">
        <f>ABRIL!AD161</f>
        <v>4007400</v>
      </c>
      <c r="AC161" s="457">
        <v>1995600</v>
      </c>
      <c r="AD161" s="20">
        <f t="shared" si="144"/>
        <v>6003000</v>
      </c>
      <c r="AE161" s="21">
        <f>ABRIL!AG161</f>
        <v>2117200</v>
      </c>
      <c r="AF161" s="457">
        <v>3253200</v>
      </c>
      <c r="AG161" s="20">
        <f t="shared" si="145"/>
        <v>5370400</v>
      </c>
      <c r="AH161" s="21">
        <f t="shared" si="146"/>
        <v>8337084</v>
      </c>
      <c r="AI161" s="17">
        <f t="shared" si="147"/>
        <v>8337084</v>
      </c>
      <c r="AJ161" s="18">
        <f t="shared" si="148"/>
        <v>8969684</v>
      </c>
      <c r="AK161" s="10"/>
      <c r="AL161" s="455">
        <v>0</v>
      </c>
      <c r="AM161" s="458">
        <v>0</v>
      </c>
      <c r="AN161" s="10"/>
    </row>
    <row r="162" spans="1:40" s="467" customFormat="1" x14ac:dyDescent="0.2">
      <c r="A162" s="623"/>
      <c r="N162" s="10"/>
      <c r="P162" s="10"/>
      <c r="Q162" s="10"/>
      <c r="R162" s="10"/>
      <c r="S162" s="156" t="str">
        <f>+IF(ABRIL!S162=0,"",ABRIL!S162)</f>
        <v>2020202-5</v>
      </c>
      <c r="T162" s="55" t="str">
        <f>+IF(ABRIL!T162=0,"",ABRIL!T162)</f>
        <v>Viáticos y Gastos de Viaje</v>
      </c>
      <c r="U162" s="29">
        <f>+ENERO!U162</f>
        <v>23894636</v>
      </c>
      <c r="V162" s="17">
        <f>ABRIL!V162+MAYO!AL162</f>
        <v>0</v>
      </c>
      <c r="W162" s="17">
        <f>ABRIL!W162+MAYO!AM162</f>
        <v>0</v>
      </c>
      <c r="X162" s="20">
        <f t="shared" si="142"/>
        <v>23894636</v>
      </c>
      <c r="Y162" s="21">
        <f>ABRIL!AA162</f>
        <v>7891702</v>
      </c>
      <c r="Z162" s="457">
        <v>1830054</v>
      </c>
      <c r="AA162" s="20">
        <f t="shared" si="143"/>
        <v>9721756</v>
      </c>
      <c r="AB162" s="21">
        <f>ABRIL!AD162</f>
        <v>7891702</v>
      </c>
      <c r="AC162" s="457">
        <v>1830054</v>
      </c>
      <c r="AD162" s="20">
        <f t="shared" si="144"/>
        <v>9721756</v>
      </c>
      <c r="AE162" s="21">
        <f>ABRIL!AG162</f>
        <v>7865582</v>
      </c>
      <c r="AF162" s="457">
        <v>1830054</v>
      </c>
      <c r="AG162" s="20">
        <f t="shared" si="145"/>
        <v>9695636</v>
      </c>
      <c r="AH162" s="21">
        <f t="shared" si="146"/>
        <v>14172880</v>
      </c>
      <c r="AI162" s="17">
        <f t="shared" si="147"/>
        <v>14172880</v>
      </c>
      <c r="AJ162" s="18">
        <f t="shared" si="148"/>
        <v>14199000</v>
      </c>
      <c r="AK162" s="10"/>
      <c r="AL162" s="455">
        <v>0</v>
      </c>
      <c r="AM162" s="458">
        <v>0</v>
      </c>
      <c r="AN162" s="10"/>
    </row>
    <row r="163" spans="1:40" s="467" customFormat="1" x14ac:dyDescent="0.2">
      <c r="A163" s="623"/>
      <c r="N163" s="10"/>
      <c r="P163" s="10"/>
      <c r="Q163" s="10"/>
      <c r="R163" s="10"/>
      <c r="S163" s="156" t="str">
        <f>+IF(ABRIL!S163=0,"",ABRIL!S163)</f>
        <v>2020202-6</v>
      </c>
      <c r="T163" s="55" t="str">
        <f>+IF(ABRIL!T163=0,"",ABRIL!T163)</f>
        <v>Plan Integral de Manejo de Residuos Sólidos Hospitalarios</v>
      </c>
      <c r="U163" s="29">
        <f>+ENERO!U163</f>
        <v>8565804</v>
      </c>
      <c r="V163" s="17">
        <f>ABRIL!V163+MAYO!AL163</f>
        <v>0</v>
      </c>
      <c r="W163" s="17">
        <f>ABRIL!W163+MAYO!AM163</f>
        <v>0</v>
      </c>
      <c r="X163" s="20">
        <f t="shared" si="142"/>
        <v>8565804</v>
      </c>
      <c r="Y163" s="21">
        <f>ABRIL!AA163</f>
        <v>2389354</v>
      </c>
      <c r="Z163" s="457">
        <v>623816</v>
      </c>
      <c r="AA163" s="20">
        <f t="shared" si="143"/>
        <v>3013170</v>
      </c>
      <c r="AB163" s="21">
        <f>ABRIL!AD163</f>
        <v>2389354</v>
      </c>
      <c r="AC163" s="457">
        <v>623816</v>
      </c>
      <c r="AD163" s="20">
        <f t="shared" si="144"/>
        <v>3013170</v>
      </c>
      <c r="AE163" s="21">
        <f>ABRIL!AG163</f>
        <v>0</v>
      </c>
      <c r="AF163" s="457">
        <v>0</v>
      </c>
      <c r="AG163" s="20">
        <f t="shared" si="145"/>
        <v>0</v>
      </c>
      <c r="AH163" s="21">
        <f t="shared" si="146"/>
        <v>5552634</v>
      </c>
      <c r="AI163" s="17">
        <f t="shared" si="147"/>
        <v>5552634</v>
      </c>
      <c r="AJ163" s="18">
        <f t="shared" si="148"/>
        <v>8565804</v>
      </c>
      <c r="AK163" s="10"/>
      <c r="AL163" s="455">
        <v>0</v>
      </c>
      <c r="AM163" s="458">
        <v>0</v>
      </c>
      <c r="AN163" s="10"/>
    </row>
    <row r="164" spans="1:40" s="467" customFormat="1" x14ac:dyDescent="0.2">
      <c r="A164" s="623"/>
      <c r="N164" s="10"/>
      <c r="P164" s="10"/>
      <c r="Q164" s="10"/>
      <c r="R164" s="10"/>
      <c r="S164" s="156" t="str">
        <f>+IF(ABRIL!S164=0,"",ABRIL!S164)</f>
        <v>2020202-7</v>
      </c>
      <c r="T164" s="55" t="str">
        <f>+IF(ABRIL!T164=0,"",ABRIL!T164)</f>
        <v>Servicios de Laboratorio contratados con terceros</v>
      </c>
      <c r="U164" s="29">
        <f>+ENERO!U164</f>
        <v>12000000</v>
      </c>
      <c r="V164" s="17">
        <f>ABRIL!V164+MAYO!AL164</f>
        <v>0</v>
      </c>
      <c r="W164" s="17">
        <f>ABRIL!W164+MAYO!AM164</f>
        <v>0</v>
      </c>
      <c r="X164" s="20">
        <f t="shared" si="142"/>
        <v>12000000</v>
      </c>
      <c r="Y164" s="21">
        <f>ABRIL!AA164</f>
        <v>736800</v>
      </c>
      <c r="Z164" s="457">
        <v>252100</v>
      </c>
      <c r="AA164" s="20">
        <f t="shared" si="143"/>
        <v>988900</v>
      </c>
      <c r="AB164" s="21">
        <f>ABRIL!AD164</f>
        <v>736800</v>
      </c>
      <c r="AC164" s="457">
        <v>252100</v>
      </c>
      <c r="AD164" s="20">
        <f t="shared" si="144"/>
        <v>988900</v>
      </c>
      <c r="AE164" s="21">
        <f>ABRIL!AG164</f>
        <v>0</v>
      </c>
      <c r="AF164" s="457">
        <v>148800</v>
      </c>
      <c r="AG164" s="20">
        <f t="shared" si="145"/>
        <v>148800</v>
      </c>
      <c r="AH164" s="21">
        <f t="shared" si="146"/>
        <v>11011100</v>
      </c>
      <c r="AI164" s="17">
        <f t="shared" si="147"/>
        <v>11011100</v>
      </c>
      <c r="AJ164" s="18">
        <f t="shared" si="148"/>
        <v>11851200</v>
      </c>
      <c r="AK164" s="10"/>
      <c r="AL164" s="455">
        <v>0</v>
      </c>
      <c r="AM164" s="458">
        <v>0</v>
      </c>
      <c r="AN164" s="10"/>
    </row>
    <row r="165" spans="1:40" s="467" customFormat="1" x14ac:dyDescent="0.2">
      <c r="A165" s="623"/>
      <c r="N165" s="10"/>
      <c r="P165" s="10"/>
      <c r="Q165" s="10"/>
      <c r="R165" s="10"/>
      <c r="S165" s="156" t="str">
        <f>+IF(ABRIL!S165=0,"",ABRIL!S165)</f>
        <v>2020202-8</v>
      </c>
      <c r="T165" s="55" t="str">
        <f>+IF(ABRIL!T165=0,"",ABRIL!T165)</f>
        <v>Servicios de Rayos X e Imaginología contratado con terceros</v>
      </c>
      <c r="U165" s="29">
        <f>+ENERO!U165</f>
        <v>19000000</v>
      </c>
      <c r="V165" s="17">
        <f>ABRIL!V165+MAYO!AL165</f>
        <v>0</v>
      </c>
      <c r="W165" s="17">
        <f>ABRIL!W165+MAYO!AM165</f>
        <v>0</v>
      </c>
      <c r="X165" s="20">
        <f t="shared" si="142"/>
        <v>19000000</v>
      </c>
      <c r="Y165" s="21">
        <f>ABRIL!AA165</f>
        <v>4407000</v>
      </c>
      <c r="Z165" s="457">
        <v>1651000</v>
      </c>
      <c r="AA165" s="20">
        <f t="shared" si="143"/>
        <v>6058000</v>
      </c>
      <c r="AB165" s="21">
        <f>ABRIL!AD165</f>
        <v>4407000</v>
      </c>
      <c r="AC165" s="457">
        <v>1651000</v>
      </c>
      <c r="AD165" s="20">
        <f t="shared" si="144"/>
        <v>6058000</v>
      </c>
      <c r="AE165" s="21">
        <f>ABRIL!AG165</f>
        <v>1612000</v>
      </c>
      <c r="AF165" s="457">
        <v>2795000</v>
      </c>
      <c r="AG165" s="20">
        <f t="shared" si="145"/>
        <v>4407000</v>
      </c>
      <c r="AH165" s="21">
        <f t="shared" si="146"/>
        <v>12942000</v>
      </c>
      <c r="AI165" s="17">
        <f t="shared" si="147"/>
        <v>12942000</v>
      </c>
      <c r="AJ165" s="18">
        <f t="shared" si="148"/>
        <v>14593000</v>
      </c>
      <c r="AK165" s="10"/>
      <c r="AL165" s="455">
        <v>0</v>
      </c>
      <c r="AM165" s="458">
        <v>0</v>
      </c>
      <c r="AN165" s="10"/>
    </row>
    <row r="166" spans="1:40" s="467" customFormat="1" x14ac:dyDescent="0.2">
      <c r="A166" s="623"/>
      <c r="N166" s="10"/>
      <c r="P166" s="10"/>
      <c r="Q166" s="10"/>
      <c r="R166" s="10"/>
      <c r="S166" s="156" t="str">
        <f>+IF(ABRIL!S166=0,"",ABRIL!S166)</f>
        <v>2020202-9</v>
      </c>
      <c r="T166" s="55" t="str">
        <f>+IF(ABRIL!T166=0,"",ABRIL!T166)</f>
        <v>Arrendamientos</v>
      </c>
      <c r="U166" s="29">
        <f>+ENERO!U166</f>
        <v>5493510</v>
      </c>
      <c r="V166" s="17">
        <f>ABRIL!V166+MAYO!AL166</f>
        <v>0</v>
      </c>
      <c r="W166" s="17">
        <f>ABRIL!W166+MAYO!AM166</f>
        <v>0</v>
      </c>
      <c r="X166" s="20">
        <f t="shared" si="142"/>
        <v>5493510</v>
      </c>
      <c r="Y166" s="21">
        <f>ABRIL!AA166</f>
        <v>2510000</v>
      </c>
      <c r="Z166" s="457">
        <v>902667</v>
      </c>
      <c r="AA166" s="20">
        <f t="shared" si="143"/>
        <v>3412667</v>
      </c>
      <c r="AB166" s="21">
        <f>ABRIL!AD166</f>
        <v>2510000</v>
      </c>
      <c r="AC166" s="457">
        <v>902667</v>
      </c>
      <c r="AD166" s="20">
        <f t="shared" si="144"/>
        <v>3412667</v>
      </c>
      <c r="AE166" s="21">
        <f>ABRIL!AG166</f>
        <v>0</v>
      </c>
      <c r="AF166" s="457">
        <v>260000</v>
      </c>
      <c r="AG166" s="20">
        <f t="shared" si="145"/>
        <v>260000</v>
      </c>
      <c r="AH166" s="21">
        <f t="shared" si="146"/>
        <v>2080843</v>
      </c>
      <c r="AI166" s="17">
        <f t="shared" si="147"/>
        <v>2080843</v>
      </c>
      <c r="AJ166" s="18">
        <f t="shared" si="148"/>
        <v>5233510</v>
      </c>
      <c r="AK166" s="10"/>
      <c r="AL166" s="455">
        <v>0</v>
      </c>
      <c r="AM166" s="458">
        <v>0</v>
      </c>
      <c r="AN166" s="10"/>
    </row>
    <row r="167" spans="1:40" s="467" customFormat="1" x14ac:dyDescent="0.2">
      <c r="A167" s="623"/>
      <c r="N167" s="10"/>
      <c r="P167" s="10"/>
      <c r="Q167" s="10"/>
      <c r="R167" s="10"/>
      <c r="S167" s="156" t="str">
        <f>+IF(ABRIL!S167=0,"",ABRIL!S167)</f>
        <v>2020202-10</v>
      </c>
      <c r="T167" s="55" t="str">
        <f>+IF(ABRIL!T167=0,"",ABRIL!T167)</f>
        <v>Servicios Públicos</v>
      </c>
      <c r="U167" s="29">
        <f>+ENERO!U167</f>
        <v>0</v>
      </c>
      <c r="V167" s="17">
        <f>ABRIL!V167+MAYO!AL167</f>
        <v>0</v>
      </c>
      <c r="W167" s="17">
        <f>ABRIL!W167+MAYO!AM167</f>
        <v>0</v>
      </c>
      <c r="X167" s="20">
        <f>SUM(U167:W167)</f>
        <v>0</v>
      </c>
      <c r="Y167" s="21">
        <f>ABRIL!AA167</f>
        <v>0</v>
      </c>
      <c r="Z167" s="457">
        <v>0</v>
      </c>
      <c r="AA167" s="20">
        <f>SUM(Y167:Z167)</f>
        <v>0</v>
      </c>
      <c r="AB167" s="21">
        <f>ABRIL!AD167</f>
        <v>0</v>
      </c>
      <c r="AC167" s="457">
        <v>0</v>
      </c>
      <c r="AD167" s="20">
        <f>SUM(AB167:AC167)</f>
        <v>0</v>
      </c>
      <c r="AE167" s="21">
        <f>ABRIL!AG167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+IF(ABRIL!S168=0,"",ABRIL!S168)</f>
        <v>2020299</v>
      </c>
      <c r="T168" s="159" t="str">
        <f>+IF(ABRIL!T168=0,"",ABRIL!T168)</f>
        <v>Vigencias Anteriores</v>
      </c>
      <c r="U168" s="29">
        <f>+ENERO!U168</f>
        <v>12730159</v>
      </c>
      <c r="V168" s="17">
        <f>ABRIL!V168+MAYO!AL168</f>
        <v>-2041325</v>
      </c>
      <c r="W168" s="17">
        <f>ABRIL!W168+MAYO!AM168</f>
        <v>0</v>
      </c>
      <c r="X168" s="20">
        <f t="shared" si="142"/>
        <v>10688834</v>
      </c>
      <c r="Y168" s="21">
        <f>ABRIL!AA168</f>
        <v>10688834</v>
      </c>
      <c r="Z168" s="457">
        <v>0</v>
      </c>
      <c r="AA168" s="20">
        <f t="shared" si="143"/>
        <v>10688834</v>
      </c>
      <c r="AB168" s="21">
        <f>ABRIL!AD168</f>
        <v>10688834</v>
      </c>
      <c r="AC168" s="457">
        <v>0</v>
      </c>
      <c r="AD168" s="20">
        <f t="shared" si="144"/>
        <v>10688834</v>
      </c>
      <c r="AE168" s="21">
        <f>ABRIL!AG168</f>
        <v>7441419</v>
      </c>
      <c r="AF168" s="457">
        <v>1488265</v>
      </c>
      <c r="AG168" s="20">
        <f t="shared" si="145"/>
        <v>8929684</v>
      </c>
      <c r="AH168" s="21">
        <f t="shared" si="146"/>
        <v>0</v>
      </c>
      <c r="AI168" s="17">
        <f t="shared" si="147"/>
        <v>0</v>
      </c>
      <c r="AJ168" s="18">
        <f t="shared" si="148"/>
        <v>1759150</v>
      </c>
      <c r="AK168" s="10"/>
      <c r="AL168" s="455">
        <v>0</v>
      </c>
      <c r="AM168" s="458">
        <v>0</v>
      </c>
      <c r="AN168" s="10"/>
    </row>
    <row r="169" spans="1:40" s="467" customFormat="1" ht="15.75" x14ac:dyDescent="0.2">
      <c r="A169" s="623"/>
      <c r="N169" s="10"/>
      <c r="P169" s="10"/>
      <c r="Q169" s="10"/>
      <c r="R169" s="10"/>
      <c r="S169" s="448" t="str">
        <f>+IF(ABRIL!S169=0,"",ABRIL!S169)</f>
        <v/>
      </c>
      <c r="T169" s="649" t="str">
        <f>+IF(ABRIL!T169=0,"",ABRIL!T169)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x14ac:dyDescent="0.2">
      <c r="A170" s="623"/>
      <c r="N170" s="10"/>
      <c r="P170" s="10"/>
      <c r="Q170" s="10"/>
      <c r="R170" s="10"/>
      <c r="S170" s="469">
        <f>+IF(ABRIL!S170=0,"",ABRIL!S170)</f>
        <v>3000000</v>
      </c>
      <c r="T170" s="588" t="str">
        <f>+IF(ABRIL!T170=0,"",ABRIL!T170)</f>
        <v>TRANSFERENCIAS CORRIENTES</v>
      </c>
      <c r="U170" s="589">
        <f t="shared" ref="U170:AJ170" si="149">U172+U176+U185</f>
        <v>217489235</v>
      </c>
      <c r="V170" s="590">
        <f t="shared" si="149"/>
        <v>-12907692</v>
      </c>
      <c r="W170" s="590">
        <f t="shared" si="149"/>
        <v>0</v>
      </c>
      <c r="X170" s="591">
        <f t="shared" si="149"/>
        <v>204581543</v>
      </c>
      <c r="Y170" s="464">
        <f t="shared" si="149"/>
        <v>45346645</v>
      </c>
      <c r="Z170" s="590">
        <f t="shared" si="149"/>
        <v>18494000</v>
      </c>
      <c r="AA170" s="591">
        <f t="shared" si="149"/>
        <v>63840645</v>
      </c>
      <c r="AB170" s="464">
        <f t="shared" si="149"/>
        <v>45346645</v>
      </c>
      <c r="AC170" s="590">
        <f t="shared" si="149"/>
        <v>18494000</v>
      </c>
      <c r="AD170" s="591">
        <f t="shared" si="149"/>
        <v>63840645</v>
      </c>
      <c r="AE170" s="464">
        <f t="shared" si="149"/>
        <v>39135081</v>
      </c>
      <c r="AF170" s="590">
        <f t="shared" si="149"/>
        <v>19966105</v>
      </c>
      <c r="AG170" s="591">
        <f t="shared" si="149"/>
        <v>59101186</v>
      </c>
      <c r="AH170" s="464">
        <f t="shared" si="149"/>
        <v>140740898</v>
      </c>
      <c r="AI170" s="590">
        <f t="shared" si="149"/>
        <v>140740898</v>
      </c>
      <c r="AJ170" s="465">
        <f t="shared" si="149"/>
        <v>145480357</v>
      </c>
      <c r="AK170" s="10"/>
      <c r="AL170" s="151">
        <f>AL172+AL176+AL185</f>
        <v>0</v>
      </c>
      <c r="AM170" s="153">
        <f>AM172+AM176+AM185</f>
        <v>0</v>
      </c>
      <c r="AN170" s="10"/>
    </row>
    <row r="171" spans="1:40" s="467" customFormat="1" ht="15.75" x14ac:dyDescent="0.2">
      <c r="A171" s="623"/>
      <c r="N171" s="10"/>
      <c r="P171" s="10"/>
      <c r="Q171" s="10"/>
      <c r="R171" s="10"/>
      <c r="S171" s="448" t="str">
        <f>+IF(ABRIL!S171=0,"",ABRIL!S171)</f>
        <v/>
      </c>
      <c r="T171" s="649" t="str">
        <f>+IF(ABRIL!T171=0,"",ABRIL!T171)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+IF(ABRIL!S172=0,"",ABRIL!S172)</f>
        <v>3100000</v>
      </c>
      <c r="T172" s="158" t="str">
        <f>+IF(ABRIL!T172=0,"",ABRIL!T172)</f>
        <v>Transferencias al Sector Público</v>
      </c>
      <c r="U172" s="157">
        <f t="shared" ref="U172:AJ172" si="150">SUM(U173:U174)</f>
        <v>2689964</v>
      </c>
      <c r="V172" s="144">
        <f t="shared" si="150"/>
        <v>746499</v>
      </c>
      <c r="W172" s="144">
        <f t="shared" si="150"/>
        <v>0</v>
      </c>
      <c r="X172" s="152">
        <f t="shared" si="150"/>
        <v>3436463</v>
      </c>
      <c r="Y172" s="151">
        <f t="shared" si="150"/>
        <v>746499</v>
      </c>
      <c r="Z172" s="144">
        <f t="shared" si="150"/>
        <v>508915</v>
      </c>
      <c r="AA172" s="152">
        <f t="shared" si="150"/>
        <v>1255414</v>
      </c>
      <c r="AB172" s="151">
        <f t="shared" si="150"/>
        <v>746499</v>
      </c>
      <c r="AC172" s="144">
        <f t="shared" si="150"/>
        <v>508915</v>
      </c>
      <c r="AD172" s="152">
        <f t="shared" si="150"/>
        <v>1255414</v>
      </c>
      <c r="AE172" s="151">
        <f t="shared" si="150"/>
        <v>746499</v>
      </c>
      <c r="AF172" s="144">
        <f t="shared" si="150"/>
        <v>0</v>
      </c>
      <c r="AG172" s="152">
        <f t="shared" si="150"/>
        <v>746499</v>
      </c>
      <c r="AH172" s="151">
        <f t="shared" si="150"/>
        <v>2181049</v>
      </c>
      <c r="AI172" s="144">
        <f t="shared" si="150"/>
        <v>2181049</v>
      </c>
      <c r="AJ172" s="153">
        <f t="shared" si="150"/>
        <v>2689964</v>
      </c>
      <c r="AK172" s="10"/>
      <c r="AL172" s="151">
        <f>SUM(AL173:AL174)</f>
        <v>0</v>
      </c>
      <c r="AM172" s="153">
        <f>SUM(AM173:AM174)</f>
        <v>0</v>
      </c>
      <c r="AN172" s="10"/>
    </row>
    <row r="173" spans="1:40" s="467" customFormat="1" x14ac:dyDescent="0.2">
      <c r="A173" s="623"/>
      <c r="N173" s="10"/>
      <c r="P173" s="10"/>
      <c r="Q173" s="10"/>
      <c r="R173" s="10"/>
      <c r="S173" s="155">
        <f>+IF(ABRIL!S173=0,"",ABRIL!S173)</f>
        <v>3100003</v>
      </c>
      <c r="T173" s="159" t="str">
        <f>+IF(ABRIL!T173=0,"",ABRIL!T173)</f>
        <v>Entidades Públicas (Contraloria, Supersalud,…)</v>
      </c>
      <c r="U173" s="29">
        <f>+ENERO!U173</f>
        <v>2689964</v>
      </c>
      <c r="V173" s="17">
        <f>ABRIL!V173+MAYO!AL173</f>
        <v>0</v>
      </c>
      <c r="W173" s="17">
        <f>ABRIL!W173+MAYO!AM173</f>
        <v>0</v>
      </c>
      <c r="X173" s="20">
        <f>SUM(U173:W173)</f>
        <v>2689964</v>
      </c>
      <c r="Y173" s="21">
        <f>ABRIL!AA173</f>
        <v>0</v>
      </c>
      <c r="Z173" s="457">
        <v>508915</v>
      </c>
      <c r="AA173" s="20">
        <f>SUM(Y173:Z173)</f>
        <v>508915</v>
      </c>
      <c r="AB173" s="21">
        <f>ABRIL!AD173</f>
        <v>0</v>
      </c>
      <c r="AC173" s="457">
        <v>508915</v>
      </c>
      <c r="AD173" s="20">
        <f>SUM(AB173:AC173)</f>
        <v>508915</v>
      </c>
      <c r="AE173" s="21">
        <f>ABRIL!AG173</f>
        <v>0</v>
      </c>
      <c r="AF173" s="457">
        <v>0</v>
      </c>
      <c r="AG173" s="20">
        <f>SUM(AE173:AF173)</f>
        <v>0</v>
      </c>
      <c r="AH173" s="21">
        <f>X173-AA173</f>
        <v>2181049</v>
      </c>
      <c r="AI173" s="17">
        <f>X173-AD173</f>
        <v>2181049</v>
      </c>
      <c r="AJ173" s="18">
        <f>X173-AG173</f>
        <v>2689964</v>
      </c>
      <c r="AK173" s="10"/>
      <c r="AL173" s="455">
        <v>0</v>
      </c>
      <c r="AM173" s="458">
        <v>0</v>
      </c>
      <c r="AN173" s="10"/>
    </row>
    <row r="174" spans="1:40" s="467" customFormat="1" x14ac:dyDescent="0.2">
      <c r="A174" s="623"/>
      <c r="N174" s="10"/>
      <c r="P174" s="10"/>
      <c r="Q174" s="10"/>
      <c r="R174" s="10"/>
      <c r="S174" s="155">
        <f>+IF(ABRIL!S174=0,"",ABRIL!S174)</f>
        <v>3199999</v>
      </c>
      <c r="T174" s="159" t="str">
        <f>+IF(ABRIL!T174=0,"",ABRIL!T174)</f>
        <v>Vigencias Anteriores</v>
      </c>
      <c r="U174" s="29">
        <f>+ENERO!U174</f>
        <v>0</v>
      </c>
      <c r="V174" s="17">
        <f>ABRIL!V174+MAYO!AL174</f>
        <v>746499</v>
      </c>
      <c r="W174" s="17">
        <f>ABRIL!W174+MAYO!AM174</f>
        <v>0</v>
      </c>
      <c r="X174" s="20">
        <f>SUM(U174:W174)</f>
        <v>746499</v>
      </c>
      <c r="Y174" s="21">
        <f>ABRIL!AA174</f>
        <v>746499</v>
      </c>
      <c r="Z174" s="457">
        <v>0</v>
      </c>
      <c r="AA174" s="20">
        <f>SUM(Y174:Z174)</f>
        <v>746499</v>
      </c>
      <c r="AB174" s="21">
        <f>ABRIL!AD174</f>
        <v>746499</v>
      </c>
      <c r="AC174" s="457">
        <v>0</v>
      </c>
      <c r="AD174" s="20">
        <f>SUM(AB174:AC174)</f>
        <v>746499</v>
      </c>
      <c r="AE174" s="21">
        <f>ABRIL!AG174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+IF(ABRIL!S175=0,"",ABRIL!S175)</f>
        <v/>
      </c>
      <c r="T175" s="649" t="str">
        <f>+IF(ABRIL!T175=0,"",ABRIL!T175)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+IF(ABRIL!S176=0,"",ABRIL!S176)</f>
        <v>320000</v>
      </c>
      <c r="T176" s="158" t="str">
        <f>+IF(ABRIL!T176=0,"",ABRIL!T176)</f>
        <v>Transf. Previsión y Seguridad Social</v>
      </c>
      <c r="U176" s="157">
        <f t="shared" ref="U176:AJ176" si="151">SUM(U177:U183)</f>
        <v>213299271</v>
      </c>
      <c r="V176" s="144">
        <f t="shared" si="151"/>
        <v>-14130741</v>
      </c>
      <c r="W176" s="144">
        <f t="shared" si="151"/>
        <v>0</v>
      </c>
      <c r="X176" s="152">
        <f t="shared" si="151"/>
        <v>199168530</v>
      </c>
      <c r="Y176" s="151">
        <f t="shared" si="151"/>
        <v>43984396</v>
      </c>
      <c r="Z176" s="144">
        <f t="shared" si="151"/>
        <v>17985085</v>
      </c>
      <c r="AA176" s="152">
        <f t="shared" si="151"/>
        <v>61969481</v>
      </c>
      <c r="AB176" s="151">
        <f t="shared" si="151"/>
        <v>43984396</v>
      </c>
      <c r="AC176" s="144">
        <f t="shared" si="151"/>
        <v>17985085</v>
      </c>
      <c r="AD176" s="152">
        <f t="shared" si="151"/>
        <v>61969481</v>
      </c>
      <c r="AE176" s="151">
        <f t="shared" si="151"/>
        <v>37912032</v>
      </c>
      <c r="AF176" s="144">
        <f t="shared" si="151"/>
        <v>19966105</v>
      </c>
      <c r="AG176" s="152">
        <f t="shared" si="151"/>
        <v>57878137</v>
      </c>
      <c r="AH176" s="151">
        <f t="shared" si="151"/>
        <v>137199049</v>
      </c>
      <c r="AI176" s="144">
        <f t="shared" si="151"/>
        <v>137199049</v>
      </c>
      <c r="AJ176" s="153">
        <f t="shared" si="151"/>
        <v>141290393</v>
      </c>
      <c r="AK176" s="10"/>
      <c r="AL176" s="151">
        <f>SUM(AL177:AL183)</f>
        <v>0</v>
      </c>
      <c r="AM176" s="153">
        <f>SUM(AM177:AM183)</f>
        <v>0</v>
      </c>
      <c r="AN176" s="10"/>
    </row>
    <row r="177" spans="1:40" s="467" customFormat="1" x14ac:dyDescent="0.2">
      <c r="A177" s="623"/>
      <c r="N177" s="10"/>
      <c r="P177" s="10"/>
      <c r="Q177" s="10"/>
      <c r="R177" s="10"/>
      <c r="S177" s="155">
        <f>+IF(ABRIL!S177=0,"",ABRIL!S177)</f>
        <v>3200100</v>
      </c>
      <c r="T177" s="159" t="str">
        <f>+IF(ABRIL!T177=0,"",ABRIL!T177)</f>
        <v>Pensiones y Jubilaciones (Pago Directo)</v>
      </c>
      <c r="U177" s="29">
        <f>+ENERO!U177</f>
        <v>104106866</v>
      </c>
      <c r="V177" s="17">
        <f>ABRIL!V177+MAYO!AL177</f>
        <v>0</v>
      </c>
      <c r="W177" s="17">
        <f>ABRIL!W177+MAYO!AM177</f>
        <v>0</v>
      </c>
      <c r="X177" s="20">
        <f t="shared" ref="X177:X183" si="152">SUM(U177:W177)</f>
        <v>104106866</v>
      </c>
      <c r="Y177" s="21">
        <f>ABRIL!AA177</f>
        <v>29397489</v>
      </c>
      <c r="Z177" s="457">
        <v>7458862</v>
      </c>
      <c r="AA177" s="20">
        <f t="shared" ref="AA177:AA183" si="153">SUM(Y177:Z177)</f>
        <v>36856351</v>
      </c>
      <c r="AB177" s="21">
        <f>ABRIL!AD177</f>
        <v>29397489</v>
      </c>
      <c r="AC177" s="814">
        <v>7458862</v>
      </c>
      <c r="AD177" s="20">
        <f t="shared" ref="AD177:AD183" si="154">SUM(AB177:AC177)</f>
        <v>36856351</v>
      </c>
      <c r="AE177" s="21">
        <f>ABRIL!AG177</f>
        <v>28266097</v>
      </c>
      <c r="AF177" s="457">
        <v>7458862</v>
      </c>
      <c r="AG177" s="20">
        <f t="shared" ref="AG177:AG183" si="155">SUM(AE177:AF177)</f>
        <v>35724959</v>
      </c>
      <c r="AH177" s="21">
        <f t="shared" ref="AH177:AH183" si="156">X177-AA177</f>
        <v>67250515</v>
      </c>
      <c r="AI177" s="17">
        <f t="shared" ref="AI177:AI183" si="157">X177-AD177</f>
        <v>67250515</v>
      </c>
      <c r="AJ177" s="18">
        <f t="shared" ref="AJ177:AJ183" si="158">X177-AG177</f>
        <v>68381907</v>
      </c>
      <c r="AK177" s="10"/>
      <c r="AL177" s="455">
        <v>0</v>
      </c>
      <c r="AM177" s="458">
        <v>0</v>
      </c>
      <c r="AN177" s="10"/>
    </row>
    <row r="178" spans="1:40" s="467" customFormat="1" x14ac:dyDescent="0.2">
      <c r="A178" s="623"/>
      <c r="N178" s="10"/>
      <c r="P178" s="10"/>
      <c r="Q178" s="10"/>
      <c r="R178" s="10"/>
      <c r="S178" s="155">
        <f>+IF(ABRIL!S178=0,"",ABRIL!S178)</f>
        <v>3200200</v>
      </c>
      <c r="T178" s="159" t="str">
        <f>+IF(ABRIL!T178=0,"",ABRIL!T178)</f>
        <v>Cesantías Pago Directo (Pago Directo)</v>
      </c>
      <c r="U178" s="29">
        <f>+ENERO!U178</f>
        <v>22532311</v>
      </c>
      <c r="V178" s="17">
        <f>ABRIL!V178+MAYO!AL178</f>
        <v>0</v>
      </c>
      <c r="W178" s="17">
        <f>ABRIL!W178+MAYO!AM178</f>
        <v>0</v>
      </c>
      <c r="X178" s="20">
        <f t="shared" si="152"/>
        <v>22532311</v>
      </c>
      <c r="Y178" s="21">
        <f>ABRIL!AA178</f>
        <v>5000000</v>
      </c>
      <c r="Z178" s="457">
        <v>0</v>
      </c>
      <c r="AA178" s="20">
        <f t="shared" si="153"/>
        <v>5000000</v>
      </c>
      <c r="AB178" s="21">
        <f>ABRIL!AD178</f>
        <v>5000000</v>
      </c>
      <c r="AC178" s="457">
        <v>0</v>
      </c>
      <c r="AD178" s="20">
        <f t="shared" si="154"/>
        <v>5000000</v>
      </c>
      <c r="AE178" s="21">
        <f>ABRIL!AG178</f>
        <v>5000000</v>
      </c>
      <c r="AF178" s="457">
        <v>0</v>
      </c>
      <c r="AG178" s="20">
        <f t="shared" si="155"/>
        <v>5000000</v>
      </c>
      <c r="AH178" s="21">
        <f t="shared" si="156"/>
        <v>17532311</v>
      </c>
      <c r="AI178" s="17">
        <f t="shared" si="157"/>
        <v>17532311</v>
      </c>
      <c r="AJ178" s="18">
        <f t="shared" si="158"/>
        <v>17532311</v>
      </c>
      <c r="AK178" s="10"/>
      <c r="AL178" s="455">
        <v>0</v>
      </c>
      <c r="AM178" s="458">
        <v>0</v>
      </c>
      <c r="AN178" s="10"/>
    </row>
    <row r="179" spans="1:40" s="467" customFormat="1" x14ac:dyDescent="0.2">
      <c r="A179" s="623"/>
      <c r="N179" s="10"/>
      <c r="P179" s="10"/>
      <c r="Q179" s="10"/>
      <c r="R179" s="10"/>
      <c r="S179" s="155">
        <f>+IF(ABRIL!S179=0,"",ABRIL!S179)</f>
        <v>3200300</v>
      </c>
      <c r="T179" s="159" t="str">
        <f>+IF(ABRIL!T179=0,"",ABRIL!T179)</f>
        <v>Bonos, Cuotas de Bonos y cuotas partes jubilatorias</v>
      </c>
      <c r="U179" s="29">
        <f>+ENERO!U179</f>
        <v>70000000</v>
      </c>
      <c r="V179" s="17">
        <f>ABRIL!V179+MAYO!AL179</f>
        <v>-17721746</v>
      </c>
      <c r="W179" s="17">
        <f>ABRIL!W179+MAYO!AM179</f>
        <v>0</v>
      </c>
      <c r="X179" s="20">
        <f t="shared" si="152"/>
        <v>52278254</v>
      </c>
      <c r="Y179" s="21">
        <f>ABRIL!AA179</f>
        <v>3416959</v>
      </c>
      <c r="Z179" s="457">
        <v>0</v>
      </c>
      <c r="AA179" s="20">
        <f t="shared" si="153"/>
        <v>3416959</v>
      </c>
      <c r="AB179" s="21">
        <f>ABRIL!AD179</f>
        <v>3416959</v>
      </c>
      <c r="AC179" s="457">
        <v>0</v>
      </c>
      <c r="AD179" s="20">
        <f t="shared" si="154"/>
        <v>3416959</v>
      </c>
      <c r="AE179" s="21">
        <f>ABRIL!AG179</f>
        <v>0</v>
      </c>
      <c r="AF179" s="457">
        <v>1981020</v>
      </c>
      <c r="AG179" s="20">
        <f t="shared" si="155"/>
        <v>1981020</v>
      </c>
      <c r="AH179" s="21">
        <f t="shared" si="156"/>
        <v>48861295</v>
      </c>
      <c r="AI179" s="17">
        <f t="shared" si="157"/>
        <v>48861295</v>
      </c>
      <c r="AJ179" s="18">
        <f t="shared" si="158"/>
        <v>50297234</v>
      </c>
      <c r="AK179" s="10"/>
      <c r="AL179" s="455">
        <v>0</v>
      </c>
      <c r="AM179" s="458">
        <v>0</v>
      </c>
      <c r="AN179" s="10"/>
    </row>
    <row r="180" spans="1:40" s="467" customFormat="1" x14ac:dyDescent="0.2">
      <c r="A180" s="623"/>
      <c r="N180" s="10"/>
      <c r="P180" s="10"/>
      <c r="Q180" s="10"/>
      <c r="R180" s="10"/>
      <c r="S180" s="155">
        <f>+IF(ABRIL!S180=0,"",ABRIL!S180)</f>
        <v>3200400</v>
      </c>
      <c r="T180" s="159" t="str">
        <f>+IF(ABRIL!T180=0,"",ABRIL!T180)</f>
        <v>Intereses a las cesantias</v>
      </c>
      <c r="U180" s="29">
        <f>+ENERO!U180</f>
        <v>14660094</v>
      </c>
      <c r="V180" s="17">
        <f>ABRIL!V180+MAYO!AL180</f>
        <v>0</v>
      </c>
      <c r="W180" s="17">
        <f>ABRIL!W180+MAYO!AM180</f>
        <v>0</v>
      </c>
      <c r="X180" s="20">
        <f t="shared" si="152"/>
        <v>14660094</v>
      </c>
      <c r="Y180" s="21">
        <f>ABRIL!AA180</f>
        <v>578943</v>
      </c>
      <c r="Z180" s="457">
        <v>10526223</v>
      </c>
      <c r="AA180" s="20">
        <f t="shared" si="153"/>
        <v>11105166</v>
      </c>
      <c r="AB180" s="21">
        <f>ABRIL!AD180</f>
        <v>578943</v>
      </c>
      <c r="AC180" s="457">
        <v>10526223</v>
      </c>
      <c r="AD180" s="20">
        <f t="shared" si="154"/>
        <v>11105166</v>
      </c>
      <c r="AE180" s="21">
        <f>ABRIL!AG180</f>
        <v>0</v>
      </c>
      <c r="AF180" s="457">
        <v>10526223</v>
      </c>
      <c r="AG180" s="20">
        <f t="shared" si="155"/>
        <v>10526223</v>
      </c>
      <c r="AH180" s="21">
        <f t="shared" si="156"/>
        <v>3554928</v>
      </c>
      <c r="AI180" s="17">
        <f t="shared" si="157"/>
        <v>3554928</v>
      </c>
      <c r="AJ180" s="18">
        <f t="shared" si="158"/>
        <v>4133871</v>
      </c>
      <c r="AK180" s="10"/>
      <c r="AL180" s="455">
        <v>0</v>
      </c>
      <c r="AM180" s="458">
        <v>0</v>
      </c>
      <c r="AN180" s="10"/>
    </row>
    <row r="181" spans="1:40" s="467" customFormat="1" x14ac:dyDescent="0.2">
      <c r="A181" s="623"/>
      <c r="N181" s="10"/>
      <c r="P181" s="10"/>
      <c r="Q181" s="10"/>
      <c r="R181" s="10"/>
      <c r="S181" s="155" t="str">
        <f>+IF(ABRIL!S181=0,"",ABRIL!S181)</f>
        <v/>
      </c>
      <c r="T181" s="159" t="str">
        <f>+IF(ABRIL!T181=0,"",ABRIL!T181)</f>
        <v/>
      </c>
      <c r="U181" s="29">
        <f>+ENERO!U181</f>
        <v>0</v>
      </c>
      <c r="V181" s="17">
        <f>ABRIL!V181+MAYO!AL181</f>
        <v>0</v>
      </c>
      <c r="W181" s="17">
        <f>ABRIL!W181+MAYO!AM181</f>
        <v>0</v>
      </c>
      <c r="X181" s="20">
        <f t="shared" si="152"/>
        <v>0</v>
      </c>
      <c r="Y181" s="21">
        <f>ABRIL!AA181</f>
        <v>0</v>
      </c>
      <c r="Z181" s="457">
        <v>0</v>
      </c>
      <c r="AA181" s="20">
        <f t="shared" si="153"/>
        <v>0</v>
      </c>
      <c r="AB181" s="21">
        <f>ABRIL!AD181</f>
        <v>0</v>
      </c>
      <c r="AC181" s="457">
        <v>0</v>
      </c>
      <c r="AD181" s="20">
        <f t="shared" si="154"/>
        <v>0</v>
      </c>
      <c r="AE181" s="21">
        <f>ABRIL!AG181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N182" s="10"/>
      <c r="P182" s="10"/>
      <c r="Q182" s="10"/>
      <c r="R182" s="10"/>
      <c r="S182" s="155" t="str">
        <f>+IF(ABRIL!S182=0,"",ABRIL!S182)</f>
        <v/>
      </c>
      <c r="T182" s="159" t="str">
        <f>+IF(ABRIL!T182=0,"",ABRIL!T182)</f>
        <v/>
      </c>
      <c r="U182" s="29">
        <f>+ENERO!U182</f>
        <v>0</v>
      </c>
      <c r="V182" s="17">
        <f>ABRIL!V182+MAYO!AL182</f>
        <v>0</v>
      </c>
      <c r="W182" s="17">
        <f>ABRIL!W182+MAYO!AM182</f>
        <v>0</v>
      </c>
      <c r="X182" s="20">
        <f t="shared" si="152"/>
        <v>0</v>
      </c>
      <c r="Y182" s="21">
        <f>ABRIL!AA182</f>
        <v>0</v>
      </c>
      <c r="Z182" s="457">
        <v>0</v>
      </c>
      <c r="AA182" s="20">
        <f t="shared" si="153"/>
        <v>0</v>
      </c>
      <c r="AB182" s="21">
        <f>ABRIL!AD182</f>
        <v>0</v>
      </c>
      <c r="AC182" s="457">
        <v>0</v>
      </c>
      <c r="AD182" s="20">
        <f t="shared" si="154"/>
        <v>0</v>
      </c>
      <c r="AE182" s="21">
        <f>ABRIL!AG182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N183" s="10"/>
      <c r="P183" s="10"/>
      <c r="Q183" s="10"/>
      <c r="R183" s="10"/>
      <c r="S183" s="155">
        <f>+IF(ABRIL!S183=0,"",ABRIL!S183)</f>
        <v>3299999</v>
      </c>
      <c r="T183" s="159" t="str">
        <f>+IF(ABRIL!T183=0,"",ABRIL!T183)</f>
        <v>Vigencias Anteriores</v>
      </c>
      <c r="U183" s="29">
        <f>+ENERO!U183</f>
        <v>2000000</v>
      </c>
      <c r="V183" s="17">
        <f>ABRIL!V183+MAYO!AL183</f>
        <v>3591005</v>
      </c>
      <c r="W183" s="17">
        <f>ABRIL!W183+MAYO!AM183</f>
        <v>0</v>
      </c>
      <c r="X183" s="20">
        <f t="shared" si="152"/>
        <v>5591005</v>
      </c>
      <c r="Y183" s="21">
        <f>ABRIL!AA183</f>
        <v>5591005</v>
      </c>
      <c r="Z183" s="457">
        <v>0</v>
      </c>
      <c r="AA183" s="20">
        <f t="shared" si="153"/>
        <v>5591005</v>
      </c>
      <c r="AB183" s="21">
        <f>ABRIL!AD183</f>
        <v>5591005</v>
      </c>
      <c r="AC183" s="457">
        <v>0</v>
      </c>
      <c r="AD183" s="20">
        <f t="shared" si="154"/>
        <v>5591005</v>
      </c>
      <c r="AE183" s="21">
        <f>ABRIL!AG183</f>
        <v>4645935</v>
      </c>
      <c r="AF183" s="457">
        <v>0</v>
      </c>
      <c r="AG183" s="20">
        <f t="shared" si="155"/>
        <v>4645935</v>
      </c>
      <c r="AH183" s="21">
        <f t="shared" si="156"/>
        <v>0</v>
      </c>
      <c r="AI183" s="17">
        <f t="shared" si="157"/>
        <v>0</v>
      </c>
      <c r="AJ183" s="18">
        <f t="shared" si="158"/>
        <v>945070</v>
      </c>
      <c r="AK183" s="10"/>
      <c r="AL183" s="455">
        <v>0</v>
      </c>
      <c r="AM183" s="458">
        <v>0</v>
      </c>
      <c r="AN183" s="10"/>
    </row>
    <row r="184" spans="1:40" s="467" customFormat="1" ht="15.75" x14ac:dyDescent="0.2">
      <c r="A184" s="623"/>
      <c r="N184" s="10"/>
      <c r="P184" s="10"/>
      <c r="Q184" s="10"/>
      <c r="R184" s="10"/>
      <c r="S184" s="448" t="str">
        <f>+IF(ABRIL!S184=0,"",ABRIL!S184)</f>
        <v/>
      </c>
      <c r="T184" s="649" t="str">
        <f>+IF(ABRIL!T184=0,"",ABRIL!T184)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+IF(ABRIL!S185=0,"",ABRIL!S185)</f>
        <v>3300000</v>
      </c>
      <c r="T185" s="158" t="str">
        <f>+IF(ABRIL!T185=0,"",ABRIL!T185)</f>
        <v>Otras Transferencias</v>
      </c>
      <c r="U185" s="157">
        <f t="shared" ref="U185:AJ185" si="159">U186+U187+U191</f>
        <v>1500000</v>
      </c>
      <c r="V185" s="144">
        <f t="shared" si="159"/>
        <v>476550</v>
      </c>
      <c r="W185" s="144">
        <f t="shared" si="159"/>
        <v>0</v>
      </c>
      <c r="X185" s="152">
        <f t="shared" si="159"/>
        <v>1976550</v>
      </c>
      <c r="Y185" s="151">
        <f t="shared" si="159"/>
        <v>615750</v>
      </c>
      <c r="Z185" s="144">
        <f t="shared" si="159"/>
        <v>0</v>
      </c>
      <c r="AA185" s="152">
        <f t="shared" si="159"/>
        <v>615750</v>
      </c>
      <c r="AB185" s="151">
        <f t="shared" si="159"/>
        <v>615750</v>
      </c>
      <c r="AC185" s="144">
        <f t="shared" si="159"/>
        <v>0</v>
      </c>
      <c r="AD185" s="152">
        <f t="shared" si="159"/>
        <v>615750</v>
      </c>
      <c r="AE185" s="151">
        <f t="shared" si="159"/>
        <v>476550</v>
      </c>
      <c r="AF185" s="144">
        <f t="shared" si="159"/>
        <v>0</v>
      </c>
      <c r="AG185" s="152">
        <f t="shared" si="159"/>
        <v>476550</v>
      </c>
      <c r="AH185" s="151">
        <f t="shared" si="159"/>
        <v>1360800</v>
      </c>
      <c r="AI185" s="144">
        <f t="shared" si="159"/>
        <v>1360800</v>
      </c>
      <c r="AJ185" s="153">
        <f t="shared" si="159"/>
        <v>1500000</v>
      </c>
      <c r="AK185" s="10"/>
      <c r="AL185" s="151">
        <f>AL186+AL187+AL191</f>
        <v>0</v>
      </c>
      <c r="AM185" s="153">
        <f>AM186+AM187+AM191</f>
        <v>0</v>
      </c>
      <c r="AN185" s="10"/>
    </row>
    <row r="186" spans="1:40" s="467" customFormat="1" x14ac:dyDescent="0.2">
      <c r="A186" s="623"/>
      <c r="N186" s="10"/>
      <c r="P186" s="10"/>
      <c r="Q186" s="10"/>
      <c r="R186" s="10"/>
      <c r="S186" s="155">
        <f>+IF(ABRIL!S186=0,"",ABRIL!S186)</f>
        <v>3300100</v>
      </c>
      <c r="T186" s="159" t="str">
        <f>+IF(ABRIL!T186=0,"",ABRIL!T186)</f>
        <v>Sentencias y Conciliaciones</v>
      </c>
      <c r="U186" s="29">
        <f>+ENERO!U186</f>
        <v>0</v>
      </c>
      <c r="V186" s="17">
        <f>ABRIL!V186+MAYO!AL186</f>
        <v>0</v>
      </c>
      <c r="W186" s="17">
        <f>ABRIL!W186+MAYO!AM186</f>
        <v>0</v>
      </c>
      <c r="X186" s="20">
        <f>SUM(U186:W186)</f>
        <v>0</v>
      </c>
      <c r="Y186" s="21">
        <f>ABRIL!AA186</f>
        <v>0</v>
      </c>
      <c r="Z186" s="457">
        <v>0</v>
      </c>
      <c r="AA186" s="20">
        <f>SUM(Y186:Z186)</f>
        <v>0</v>
      </c>
      <c r="AB186" s="21">
        <f>ABRIL!AD186</f>
        <v>0</v>
      </c>
      <c r="AC186" s="457">
        <v>0</v>
      </c>
      <c r="AD186" s="20">
        <f>SUM(AB186:AC186)</f>
        <v>0</v>
      </c>
      <c r="AE186" s="21">
        <f>ABRIL!AG186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+IF(ABRIL!S187=0,"",ABRIL!S187)</f>
        <v>3300200</v>
      </c>
      <c r="T187" s="159" t="str">
        <f>+IF(ABRIL!T187=0,"",ABRIL!T187)</f>
        <v>Destinatarios de otras transferencias</v>
      </c>
      <c r="U187" s="29">
        <f t="shared" ref="U187:AM187" si="160">SUM(U188:U190)</f>
        <v>1500000</v>
      </c>
      <c r="V187" s="17">
        <f t="shared" si="160"/>
        <v>0</v>
      </c>
      <c r="W187" s="17">
        <f t="shared" si="160"/>
        <v>0</v>
      </c>
      <c r="X187" s="20">
        <f t="shared" si="160"/>
        <v>1500000</v>
      </c>
      <c r="Y187" s="21">
        <f t="shared" si="160"/>
        <v>139200</v>
      </c>
      <c r="Z187" s="169">
        <f t="shared" si="160"/>
        <v>0</v>
      </c>
      <c r="AA187" s="20">
        <f t="shared" si="160"/>
        <v>139200</v>
      </c>
      <c r="AB187" s="21">
        <f t="shared" si="160"/>
        <v>139200</v>
      </c>
      <c r="AC187" s="169">
        <f t="shared" si="160"/>
        <v>0</v>
      </c>
      <c r="AD187" s="20">
        <f t="shared" si="160"/>
        <v>139200</v>
      </c>
      <c r="AE187" s="21">
        <f t="shared" si="160"/>
        <v>0</v>
      </c>
      <c r="AF187" s="169">
        <f t="shared" si="160"/>
        <v>0</v>
      </c>
      <c r="AG187" s="20">
        <f t="shared" si="160"/>
        <v>0</v>
      </c>
      <c r="AH187" s="21">
        <f t="shared" si="160"/>
        <v>1360800</v>
      </c>
      <c r="AI187" s="17">
        <f t="shared" si="160"/>
        <v>1360800</v>
      </c>
      <c r="AJ187" s="18">
        <f t="shared" si="160"/>
        <v>1500000</v>
      </c>
      <c r="AK187" s="10"/>
      <c r="AL187" s="31">
        <f t="shared" si="160"/>
        <v>0</v>
      </c>
      <c r="AM187" s="28">
        <f t="shared" si="160"/>
        <v>0</v>
      </c>
      <c r="AN187" s="10"/>
    </row>
    <row r="188" spans="1:40" s="467" customFormat="1" x14ac:dyDescent="0.2">
      <c r="A188" s="623"/>
      <c r="B188" s="554"/>
      <c r="N188" s="10"/>
      <c r="P188" s="10"/>
      <c r="Q188" s="10"/>
      <c r="R188" s="10"/>
      <c r="S188" s="156" t="str">
        <f>+IF(ABRIL!S188=0,"",ABRIL!S188)</f>
        <v>3300200-1</v>
      </c>
      <c r="T188" s="159" t="str">
        <f>+IF(ABRIL!T188=0,"",ABRIL!T188)</f>
        <v>COHAN</v>
      </c>
      <c r="U188" s="29">
        <f>+ENERO!U188</f>
        <v>1500000</v>
      </c>
      <c r="V188" s="17">
        <f>ABRIL!V188+MAYO!AL188</f>
        <v>0</v>
      </c>
      <c r="W188" s="17">
        <f>ABRIL!W188+MAYO!AM188</f>
        <v>0</v>
      </c>
      <c r="X188" s="20">
        <f>SUM(U188:W188)</f>
        <v>1500000</v>
      </c>
      <c r="Y188" s="21">
        <f>ABRIL!AA188</f>
        <v>139200</v>
      </c>
      <c r="Z188" s="457">
        <v>0</v>
      </c>
      <c r="AA188" s="20">
        <f>SUM(Y188:Z188)</f>
        <v>139200</v>
      </c>
      <c r="AB188" s="21">
        <f>ABRIL!AD188</f>
        <v>139200</v>
      </c>
      <c r="AC188" s="457">
        <v>0</v>
      </c>
      <c r="AD188" s="20">
        <f>SUM(AB188:AC188)</f>
        <v>139200</v>
      </c>
      <c r="AE188" s="21">
        <f>ABRIL!AG188</f>
        <v>0</v>
      </c>
      <c r="AF188" s="457">
        <v>0</v>
      </c>
      <c r="AG188" s="20">
        <f>SUM(AE188:AF188)</f>
        <v>0</v>
      </c>
      <c r="AH188" s="21">
        <f>X188-AA188</f>
        <v>1360800</v>
      </c>
      <c r="AI188" s="17">
        <f>X188-AD188</f>
        <v>1360800</v>
      </c>
      <c r="AJ188" s="18">
        <f>X188-AG188</f>
        <v>1500000</v>
      </c>
      <c r="AK188" s="10"/>
      <c r="AL188" s="455">
        <v>0</v>
      </c>
      <c r="AM188" s="458">
        <v>0</v>
      </c>
      <c r="AN188" s="10"/>
    </row>
    <row r="189" spans="1:40" s="467" customFormat="1" x14ac:dyDescent="0.2">
      <c r="A189" s="623"/>
      <c r="B189" s="554"/>
      <c r="N189" s="10"/>
      <c r="P189" s="10"/>
      <c r="Q189" s="10"/>
      <c r="R189" s="10"/>
      <c r="S189" s="156" t="str">
        <f>+IF(ABRIL!S189=0,"",ABRIL!S189)</f>
        <v>3300200-2</v>
      </c>
      <c r="T189" s="159" t="str">
        <f>+IF(ABRIL!T189=0,"",ABRIL!T189)</f>
        <v>AESA</v>
      </c>
      <c r="U189" s="29">
        <f>+ENERO!U189</f>
        <v>0</v>
      </c>
      <c r="V189" s="17">
        <f>ABRIL!V189+MAYO!AL189</f>
        <v>0</v>
      </c>
      <c r="W189" s="17">
        <f>ABRIL!W189+MAYO!AM189</f>
        <v>0</v>
      </c>
      <c r="X189" s="20">
        <f>SUM(U189:W189)</f>
        <v>0</v>
      </c>
      <c r="Y189" s="21">
        <f>ABRIL!AA189</f>
        <v>0</v>
      </c>
      <c r="Z189" s="457">
        <v>0</v>
      </c>
      <c r="AA189" s="20">
        <f>SUM(Y189:Z189)</f>
        <v>0</v>
      </c>
      <c r="AB189" s="21">
        <f>ABRIL!AD189</f>
        <v>0</v>
      </c>
      <c r="AC189" s="457">
        <v>0</v>
      </c>
      <c r="AD189" s="20">
        <f>SUM(AB189:AC189)</f>
        <v>0</v>
      </c>
      <c r="AE189" s="21">
        <f>ABRIL!AG189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+IF(ABRIL!S190=0,"",ABRIL!S190)</f>
        <v>3300200-3</v>
      </c>
      <c r="T190" s="159" t="str">
        <f>+IF(ABRIL!T190=0,"",ABRIL!T190)</f>
        <v xml:space="preserve">OTRAS </v>
      </c>
      <c r="U190" s="29">
        <f>+ENERO!U190</f>
        <v>0</v>
      </c>
      <c r="V190" s="17">
        <f>ABRIL!V190+MAYO!AL190</f>
        <v>0</v>
      </c>
      <c r="W190" s="17">
        <f>ABRIL!W190+MAYO!AM190</f>
        <v>0</v>
      </c>
      <c r="X190" s="20">
        <f>SUM(U190:W190)</f>
        <v>0</v>
      </c>
      <c r="Y190" s="21">
        <f>ABRIL!AA190</f>
        <v>0</v>
      </c>
      <c r="Z190" s="457">
        <v>0</v>
      </c>
      <c r="AA190" s="20">
        <f>SUM(Y190:Z190)</f>
        <v>0</v>
      </c>
      <c r="AB190" s="21">
        <f>ABRIL!AD190</f>
        <v>0</v>
      </c>
      <c r="AC190" s="457">
        <v>0</v>
      </c>
      <c r="AD190" s="20">
        <f>SUM(AB190:AC190)</f>
        <v>0</v>
      </c>
      <c r="AE190" s="21">
        <f>ABRIL!AG190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+IF(ABRIL!S191=0,"",ABRIL!S191)</f>
        <v>3399999</v>
      </c>
      <c r="T191" s="159" t="str">
        <f>+IF(ABRIL!T191=0,"",ABRIL!T191)</f>
        <v>Vigencias Anteriores</v>
      </c>
      <c r="U191" s="29">
        <f>+ENERO!U191</f>
        <v>0</v>
      </c>
      <c r="V191" s="17">
        <f>ABRIL!V191+MAYO!AL191</f>
        <v>476550</v>
      </c>
      <c r="W191" s="17">
        <f>ABRIL!W191+MAYO!AM191</f>
        <v>0</v>
      </c>
      <c r="X191" s="20">
        <f>SUM(U191:W191)</f>
        <v>476550</v>
      </c>
      <c r="Y191" s="21">
        <f>ABRIL!AA191</f>
        <v>476550</v>
      </c>
      <c r="Z191" s="457">
        <v>0</v>
      </c>
      <c r="AA191" s="20">
        <f>SUM(Y191:Z191)</f>
        <v>476550</v>
      </c>
      <c r="AB191" s="21">
        <f>ABRIL!AD191</f>
        <v>476550</v>
      </c>
      <c r="AC191" s="457">
        <v>0</v>
      </c>
      <c r="AD191" s="20">
        <f>SUM(AB191:AC191)</f>
        <v>476550</v>
      </c>
      <c r="AE191" s="21">
        <f>ABRIL!AG191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+IF(ABRIL!S192=0,"",ABRIL!S192)</f>
        <v/>
      </c>
      <c r="T192" s="649" t="str">
        <f>+IF(ABRIL!T192=0,"",ABRIL!T192)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+IF(ABRIL!S193=0,"",ABRIL!S193)</f>
        <v>4000000</v>
      </c>
      <c r="T193" s="588" t="str">
        <f>+IF(ABRIL!T193=0,"",ABRIL!T193)</f>
        <v>GASTOS  DE PRESTACION DE SERVICIOS</v>
      </c>
      <c r="U193" s="589">
        <f t="shared" ref="U193:AJ193" si="161">U194</f>
        <v>355892858</v>
      </c>
      <c r="V193" s="590">
        <f t="shared" si="161"/>
        <v>15217291</v>
      </c>
      <c r="W193" s="590">
        <f t="shared" si="161"/>
        <v>17783068</v>
      </c>
      <c r="X193" s="591">
        <f t="shared" si="161"/>
        <v>388893217</v>
      </c>
      <c r="Y193" s="464">
        <f t="shared" si="161"/>
        <v>158764864</v>
      </c>
      <c r="Z193" s="590">
        <f t="shared" si="161"/>
        <v>9109159</v>
      </c>
      <c r="AA193" s="591">
        <f t="shared" si="161"/>
        <v>167874023</v>
      </c>
      <c r="AB193" s="464">
        <f t="shared" si="161"/>
        <v>158737863</v>
      </c>
      <c r="AC193" s="590">
        <f t="shared" si="161"/>
        <v>9109150</v>
      </c>
      <c r="AD193" s="591">
        <f t="shared" si="161"/>
        <v>167847013</v>
      </c>
      <c r="AE193" s="464">
        <f t="shared" si="161"/>
        <v>80289288</v>
      </c>
      <c r="AF193" s="590">
        <f t="shared" si="161"/>
        <v>21013827</v>
      </c>
      <c r="AG193" s="591">
        <f t="shared" si="161"/>
        <v>101303115</v>
      </c>
      <c r="AH193" s="464">
        <f t="shared" si="161"/>
        <v>221019194</v>
      </c>
      <c r="AI193" s="590">
        <f t="shared" si="161"/>
        <v>221046204</v>
      </c>
      <c r="AJ193" s="465">
        <f t="shared" si="161"/>
        <v>287590102</v>
      </c>
      <c r="AK193" s="10"/>
      <c r="AL193" s="151">
        <f>AL194</f>
        <v>0</v>
      </c>
      <c r="AM193" s="153">
        <f>AM194</f>
        <v>0</v>
      </c>
      <c r="AN193" s="10"/>
    </row>
    <row r="194" spans="1:40" s="467" customFormat="1" ht="15" x14ac:dyDescent="0.2">
      <c r="A194" s="623"/>
      <c r="B194" s="554"/>
      <c r="N194" s="10"/>
      <c r="P194" s="10"/>
      <c r="Q194" s="10"/>
      <c r="R194" s="10"/>
      <c r="S194" s="34">
        <f>+IF(ABRIL!S194=0,"",ABRIL!S194)</f>
        <v>4100000</v>
      </c>
      <c r="T194" s="158" t="str">
        <f>+IF(ABRIL!T194=0,"",ABRIL!T194)</f>
        <v>Insumos y Suministros Hospitalarios</v>
      </c>
      <c r="U194" s="157">
        <f t="shared" ref="U194:AJ194" si="162">U195+U203+U205</f>
        <v>355892858</v>
      </c>
      <c r="V194" s="144">
        <f t="shared" si="162"/>
        <v>15217291</v>
      </c>
      <c r="W194" s="144">
        <f t="shared" si="162"/>
        <v>17783068</v>
      </c>
      <c r="X194" s="152">
        <f t="shared" si="162"/>
        <v>388893217</v>
      </c>
      <c r="Y194" s="151">
        <f t="shared" si="162"/>
        <v>158764864</v>
      </c>
      <c r="Z194" s="144">
        <f t="shared" si="162"/>
        <v>9109159</v>
      </c>
      <c r="AA194" s="152">
        <f t="shared" si="162"/>
        <v>167874023</v>
      </c>
      <c r="AB194" s="151">
        <f t="shared" si="162"/>
        <v>158737863</v>
      </c>
      <c r="AC194" s="144">
        <f t="shared" si="162"/>
        <v>9109150</v>
      </c>
      <c r="AD194" s="152">
        <f t="shared" si="162"/>
        <v>167847013</v>
      </c>
      <c r="AE194" s="151">
        <f t="shared" si="162"/>
        <v>80289288</v>
      </c>
      <c r="AF194" s="144">
        <f t="shared" si="162"/>
        <v>21013827</v>
      </c>
      <c r="AG194" s="152">
        <f t="shared" si="162"/>
        <v>101303115</v>
      </c>
      <c r="AH194" s="151">
        <f t="shared" si="162"/>
        <v>221019194</v>
      </c>
      <c r="AI194" s="144">
        <f t="shared" si="162"/>
        <v>221046204</v>
      </c>
      <c r="AJ194" s="153">
        <f t="shared" si="162"/>
        <v>287590102</v>
      </c>
      <c r="AK194" s="12"/>
      <c r="AL194" s="151">
        <f>AL195+AL203+AL205</f>
        <v>0</v>
      </c>
      <c r="AM194" s="153">
        <f>AM195+AM203+AM205</f>
        <v>0</v>
      </c>
      <c r="AN194" s="10"/>
    </row>
    <row r="195" spans="1:40" s="467" customFormat="1" x14ac:dyDescent="0.2">
      <c r="A195" s="623"/>
      <c r="B195" s="554"/>
      <c r="N195" s="10"/>
      <c r="P195" s="10"/>
      <c r="Q195" s="10"/>
      <c r="R195" s="10"/>
      <c r="S195" s="155">
        <f>+IF(ABRIL!S195=0,"",ABRIL!S195)</f>
        <v>4100100</v>
      </c>
      <c r="T195" s="159" t="str">
        <f>+IF(ABRIL!T195=0,"",ABRIL!T195)</f>
        <v>Compra de Bienes para la Prestacion de servicios</v>
      </c>
      <c r="U195" s="29">
        <f t="shared" ref="U195:AJ195" si="163">SUM(U196:U202)</f>
        <v>282124359</v>
      </c>
      <c r="V195" s="17">
        <f t="shared" si="163"/>
        <v>0</v>
      </c>
      <c r="W195" s="17">
        <f t="shared" si="163"/>
        <v>17783068</v>
      </c>
      <c r="X195" s="20">
        <f t="shared" si="163"/>
        <v>299907427</v>
      </c>
      <c r="Y195" s="21">
        <f t="shared" si="163"/>
        <v>91772760</v>
      </c>
      <c r="Z195" s="169">
        <f t="shared" si="163"/>
        <v>7032893</v>
      </c>
      <c r="AA195" s="20">
        <f t="shared" si="163"/>
        <v>98805653</v>
      </c>
      <c r="AB195" s="21">
        <f t="shared" si="163"/>
        <v>91745759</v>
      </c>
      <c r="AC195" s="169">
        <f t="shared" si="163"/>
        <v>7032884</v>
      </c>
      <c r="AD195" s="20">
        <f t="shared" si="163"/>
        <v>98778643</v>
      </c>
      <c r="AE195" s="21">
        <f t="shared" si="163"/>
        <v>18355796</v>
      </c>
      <c r="AF195" s="169">
        <f t="shared" si="163"/>
        <v>17533963</v>
      </c>
      <c r="AG195" s="20">
        <f t="shared" si="163"/>
        <v>35889759</v>
      </c>
      <c r="AH195" s="21">
        <f t="shared" si="163"/>
        <v>201101774</v>
      </c>
      <c r="AI195" s="17">
        <f t="shared" si="163"/>
        <v>201128784</v>
      </c>
      <c r="AJ195" s="18">
        <f t="shared" si="163"/>
        <v>264017668</v>
      </c>
      <c r="AK195" s="10"/>
      <c r="AL195" s="31">
        <f>SUM(AL196:AL202)</f>
        <v>0</v>
      </c>
      <c r="AM195" s="28">
        <f>SUM(AM196:AM202)</f>
        <v>0</v>
      </c>
      <c r="AN195" s="10"/>
    </row>
    <row r="196" spans="1:40" s="467" customFormat="1" x14ac:dyDescent="0.2">
      <c r="A196" s="623"/>
      <c r="B196" s="554"/>
      <c r="N196" s="10"/>
      <c r="P196" s="10"/>
      <c r="Q196" s="10"/>
      <c r="R196" s="10"/>
      <c r="S196" s="156" t="str">
        <f>+IF(ABRIL!S196=0,"",ABRIL!S196)</f>
        <v>4100100-1</v>
      </c>
      <c r="T196" s="55" t="str">
        <f>+IF(ABRIL!T196=0,"",ABRIL!T196)</f>
        <v>Productos Farmaceuticos</v>
      </c>
      <c r="U196" s="29">
        <f>+ENERO!U196</f>
        <v>185254982</v>
      </c>
      <c r="V196" s="17">
        <f>ABRIL!V196+MAYO!AL196</f>
        <v>0</v>
      </c>
      <c r="W196" s="17">
        <f>ABRIL!W196+MAYO!AM196</f>
        <v>17783068</v>
      </c>
      <c r="X196" s="20">
        <f t="shared" ref="X196:X202" si="164">SUM(U196:W196)</f>
        <v>203038050</v>
      </c>
      <c r="Y196" s="21">
        <f>ABRIL!AA196</f>
        <v>59855664</v>
      </c>
      <c r="Z196" s="457">
        <v>4644381</v>
      </c>
      <c r="AA196" s="20">
        <f t="shared" ref="AA196:AA202" si="165">SUM(Y196:Z196)</f>
        <v>64500045</v>
      </c>
      <c r="AB196" s="21">
        <f>ABRIL!AD196</f>
        <v>59828664</v>
      </c>
      <c r="AC196" s="457">
        <v>4644372</v>
      </c>
      <c r="AD196" s="20">
        <f t="shared" ref="AD196:AD202" si="166">SUM(AB196:AC196)</f>
        <v>64473036</v>
      </c>
      <c r="AE196" s="21">
        <f>ABRIL!AG196</f>
        <v>14139281</v>
      </c>
      <c r="AF196" s="457">
        <v>12983720</v>
      </c>
      <c r="AG196" s="20">
        <f t="shared" ref="AG196:AG202" si="167">SUM(AE196:AF196)</f>
        <v>27123001</v>
      </c>
      <c r="AH196" s="21">
        <f t="shared" ref="AH196:AH202" si="168">X196-AA196</f>
        <v>138538005</v>
      </c>
      <c r="AI196" s="17">
        <f t="shared" ref="AI196:AI202" si="169">X196-AD196</f>
        <v>138565014</v>
      </c>
      <c r="AJ196" s="18">
        <f t="shared" ref="AJ196:AJ202" si="170">X196-AG196</f>
        <v>175915049</v>
      </c>
      <c r="AK196" s="10"/>
      <c r="AL196" s="455">
        <v>0</v>
      </c>
      <c r="AM196" s="458">
        <v>0</v>
      </c>
      <c r="AN196" s="10"/>
    </row>
    <row r="197" spans="1:40" s="467" customFormat="1" x14ac:dyDescent="0.2">
      <c r="A197" s="623"/>
      <c r="B197" s="554"/>
      <c r="N197" s="10"/>
      <c r="P197" s="10"/>
      <c r="Q197" s="10"/>
      <c r="R197" s="10"/>
      <c r="S197" s="156" t="str">
        <f>+IF(ABRIL!S197=0,"",ABRIL!S197)</f>
        <v>4100100-2</v>
      </c>
      <c r="T197" s="55" t="str">
        <f>+IF(ABRIL!T197=0,"",ABRIL!T197)</f>
        <v>Material Médico Quirúrgico</v>
      </c>
      <c r="U197" s="29">
        <f>+ENERO!U197</f>
        <v>45805235</v>
      </c>
      <c r="V197" s="17">
        <f>ABRIL!V197+MAYO!AL197</f>
        <v>0</v>
      </c>
      <c r="W197" s="17">
        <f>ABRIL!W197+MAYO!AM197</f>
        <v>0</v>
      </c>
      <c r="X197" s="20">
        <f t="shared" si="164"/>
        <v>45805235</v>
      </c>
      <c r="Y197" s="21">
        <f>ABRIL!AA197</f>
        <v>15784310</v>
      </c>
      <c r="Z197" s="457">
        <v>1902456</v>
      </c>
      <c r="AA197" s="20">
        <f t="shared" si="165"/>
        <v>17686766</v>
      </c>
      <c r="AB197" s="21">
        <f>ABRIL!AD197</f>
        <v>15784309</v>
      </c>
      <c r="AC197" s="457">
        <v>1902456</v>
      </c>
      <c r="AD197" s="20">
        <f t="shared" si="166"/>
        <v>17686765</v>
      </c>
      <c r="AE197" s="21">
        <f>ABRIL!AG197</f>
        <v>2867710</v>
      </c>
      <c r="AF197" s="457">
        <v>4190243</v>
      </c>
      <c r="AG197" s="20">
        <f t="shared" si="167"/>
        <v>7057953</v>
      </c>
      <c r="AH197" s="21">
        <f t="shared" si="168"/>
        <v>28118469</v>
      </c>
      <c r="AI197" s="17">
        <f t="shared" si="169"/>
        <v>28118470</v>
      </c>
      <c r="AJ197" s="18">
        <f t="shared" si="170"/>
        <v>38747282</v>
      </c>
      <c r="AK197" s="10"/>
      <c r="AL197" s="455">
        <v>0</v>
      </c>
      <c r="AM197" s="458">
        <v>0</v>
      </c>
      <c r="AN197" s="10"/>
    </row>
    <row r="198" spans="1:40" s="467" customFormat="1" x14ac:dyDescent="0.2">
      <c r="A198" s="623"/>
      <c r="B198" s="554"/>
      <c r="N198" s="10"/>
      <c r="P198" s="10"/>
      <c r="Q198" s="10"/>
      <c r="R198" s="10"/>
      <c r="S198" s="156" t="str">
        <f>+IF(ABRIL!S198=0,"",ABRIL!S198)</f>
        <v>4100100-3</v>
      </c>
      <c r="T198" s="55" t="str">
        <f>+IF(ABRIL!T198=0,"",ABRIL!T198)</f>
        <v>Material de Laboratorio</v>
      </c>
      <c r="U198" s="29">
        <f>+ENERO!U198</f>
        <v>28507645</v>
      </c>
      <c r="V198" s="17">
        <f>ABRIL!V198+MAYO!AL198</f>
        <v>0</v>
      </c>
      <c r="W198" s="17">
        <f>ABRIL!W198+MAYO!AM198</f>
        <v>0</v>
      </c>
      <c r="X198" s="20">
        <f t="shared" si="164"/>
        <v>28507645</v>
      </c>
      <c r="Y198" s="21">
        <f>ABRIL!AA198</f>
        <v>8846764</v>
      </c>
      <c r="Z198" s="457">
        <v>479406</v>
      </c>
      <c r="AA198" s="20">
        <f t="shared" si="165"/>
        <v>9326170</v>
      </c>
      <c r="AB198" s="21">
        <f>ABRIL!AD198</f>
        <v>8846764</v>
      </c>
      <c r="AC198" s="457">
        <v>479406</v>
      </c>
      <c r="AD198" s="20">
        <f t="shared" si="166"/>
        <v>9326170</v>
      </c>
      <c r="AE198" s="21">
        <f>ABRIL!AG198</f>
        <v>1110000</v>
      </c>
      <c r="AF198" s="457">
        <v>330000</v>
      </c>
      <c r="AG198" s="20">
        <f t="shared" si="167"/>
        <v>1440000</v>
      </c>
      <c r="AH198" s="21">
        <f t="shared" si="168"/>
        <v>19181475</v>
      </c>
      <c r="AI198" s="17">
        <f t="shared" si="169"/>
        <v>19181475</v>
      </c>
      <c r="AJ198" s="18">
        <f t="shared" si="170"/>
        <v>27067645</v>
      </c>
      <c r="AK198" s="10"/>
      <c r="AL198" s="455">
        <v>0</v>
      </c>
      <c r="AM198" s="458">
        <v>0</v>
      </c>
      <c r="AN198" s="10"/>
    </row>
    <row r="199" spans="1:40" s="467" customFormat="1" x14ac:dyDescent="0.2">
      <c r="A199" s="623"/>
      <c r="B199" s="554"/>
      <c r="N199" s="10"/>
      <c r="P199" s="10"/>
      <c r="Q199" s="10"/>
      <c r="R199" s="10"/>
      <c r="S199" s="156" t="str">
        <f>+IF(ABRIL!S199=0,"",ABRIL!S199)</f>
        <v>4100100-4</v>
      </c>
      <c r="T199" s="55" t="str">
        <f>+IF(ABRIL!T199=0,"",ABRIL!T199)</f>
        <v>Material para Odontologia</v>
      </c>
      <c r="U199" s="29">
        <f>+ENERO!U199</f>
        <v>13598841</v>
      </c>
      <c r="V199" s="17">
        <f>ABRIL!V199+MAYO!AL199</f>
        <v>0</v>
      </c>
      <c r="W199" s="17">
        <f>ABRIL!W199+MAYO!AM199</f>
        <v>0</v>
      </c>
      <c r="X199" s="20">
        <f t="shared" si="164"/>
        <v>13598841</v>
      </c>
      <c r="Y199" s="21">
        <f>ABRIL!AA199</f>
        <v>4970740</v>
      </c>
      <c r="Z199" s="457">
        <v>6650</v>
      </c>
      <c r="AA199" s="20">
        <f t="shared" si="165"/>
        <v>4977390</v>
      </c>
      <c r="AB199" s="21">
        <f>ABRIL!AD199</f>
        <v>4970740</v>
      </c>
      <c r="AC199" s="457">
        <v>6650</v>
      </c>
      <c r="AD199" s="20">
        <f t="shared" si="166"/>
        <v>4977390</v>
      </c>
      <c r="AE199" s="21">
        <f>ABRIL!AG199</f>
        <v>0</v>
      </c>
      <c r="AF199" s="457">
        <v>30000</v>
      </c>
      <c r="AG199" s="20">
        <f t="shared" si="167"/>
        <v>30000</v>
      </c>
      <c r="AH199" s="21">
        <f t="shared" si="168"/>
        <v>8621451</v>
      </c>
      <c r="AI199" s="17">
        <f t="shared" si="169"/>
        <v>8621451</v>
      </c>
      <c r="AJ199" s="18">
        <f t="shared" si="170"/>
        <v>13568841</v>
      </c>
      <c r="AK199" s="10"/>
      <c r="AL199" s="455">
        <v>0</v>
      </c>
      <c r="AM199" s="458">
        <v>0</v>
      </c>
      <c r="AN199" s="10"/>
    </row>
    <row r="200" spans="1:40" s="467" customFormat="1" x14ac:dyDescent="0.2">
      <c r="A200" s="623"/>
      <c r="B200" s="554"/>
      <c r="N200" s="10"/>
      <c r="P200" s="10"/>
      <c r="Q200" s="10"/>
      <c r="R200" s="10"/>
      <c r="S200" s="156" t="str">
        <f>+IF(ABRIL!S200=0,"",ABRIL!S200)</f>
        <v>4100100-5</v>
      </c>
      <c r="T200" s="55" t="str">
        <f>+IF(ABRIL!T200=0,"",ABRIL!T200)</f>
        <v>Material para Rayos X</v>
      </c>
      <c r="U200" s="29">
        <f>+ENERO!U200</f>
        <v>8957656</v>
      </c>
      <c r="V200" s="17">
        <f>ABRIL!V200+MAYO!AL200</f>
        <v>0</v>
      </c>
      <c r="W200" s="17">
        <f>ABRIL!W200+MAYO!AM200</f>
        <v>0</v>
      </c>
      <c r="X200" s="20">
        <f t="shared" si="164"/>
        <v>8957656</v>
      </c>
      <c r="Y200" s="21">
        <f>ABRIL!AA200</f>
        <v>2315282</v>
      </c>
      <c r="Z200" s="457">
        <v>0</v>
      </c>
      <c r="AA200" s="20">
        <f t="shared" si="165"/>
        <v>2315282</v>
      </c>
      <c r="AB200" s="21">
        <f>ABRIL!AD200</f>
        <v>2315282</v>
      </c>
      <c r="AC200" s="457">
        <v>0</v>
      </c>
      <c r="AD200" s="20">
        <f t="shared" si="166"/>
        <v>2315282</v>
      </c>
      <c r="AE200" s="21">
        <f>ABRIL!AG200</f>
        <v>238805</v>
      </c>
      <c r="AF200" s="457">
        <v>0</v>
      </c>
      <c r="AG200" s="20">
        <f t="shared" si="167"/>
        <v>238805</v>
      </c>
      <c r="AH200" s="21">
        <f t="shared" si="168"/>
        <v>6642374</v>
      </c>
      <c r="AI200" s="17">
        <f t="shared" si="169"/>
        <v>6642374</v>
      </c>
      <c r="AJ200" s="18">
        <f t="shared" si="170"/>
        <v>8718851</v>
      </c>
      <c r="AK200" s="10"/>
      <c r="AL200" s="455">
        <v>0</v>
      </c>
      <c r="AM200" s="458">
        <v>0</v>
      </c>
      <c r="AN200" s="10"/>
    </row>
    <row r="201" spans="1:40" s="467" customFormat="1" x14ac:dyDescent="0.2">
      <c r="A201" s="623"/>
      <c r="B201" s="554"/>
      <c r="N201" s="10"/>
      <c r="P201" s="10"/>
      <c r="Q201" s="10"/>
      <c r="R201" s="10"/>
      <c r="S201" s="156" t="str">
        <f>+IF(ABRIL!S201=0,"",ABRIL!S201)</f>
        <v/>
      </c>
      <c r="T201" s="55" t="str">
        <f>+IF(ABRIL!T201=0,"",ABRIL!T201)</f>
        <v/>
      </c>
      <c r="U201" s="29">
        <f>+ENERO!U201</f>
        <v>0</v>
      </c>
      <c r="V201" s="17">
        <f>ABRIL!V201+MAYO!AL201</f>
        <v>0</v>
      </c>
      <c r="W201" s="17">
        <f>ABRIL!W201+MAYO!AM201</f>
        <v>0</v>
      </c>
      <c r="X201" s="20">
        <f t="shared" si="164"/>
        <v>0</v>
      </c>
      <c r="Y201" s="21">
        <f>ABRIL!AA201</f>
        <v>0</v>
      </c>
      <c r="Z201" s="457">
        <v>0</v>
      </c>
      <c r="AA201" s="20">
        <f t="shared" si="165"/>
        <v>0</v>
      </c>
      <c r="AB201" s="21">
        <f>ABRIL!AD201</f>
        <v>0</v>
      </c>
      <c r="AC201" s="457">
        <v>0</v>
      </c>
      <c r="AD201" s="20">
        <f t="shared" si="166"/>
        <v>0</v>
      </c>
      <c r="AE201" s="21">
        <f>ABRIL!AG201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N202" s="10"/>
      <c r="P202" s="10"/>
      <c r="Q202" s="10"/>
      <c r="R202" s="10"/>
      <c r="S202" s="156" t="str">
        <f>+IF(ABRIL!S202=0,"",ABRIL!S202)</f>
        <v/>
      </c>
      <c r="T202" s="55" t="str">
        <f>+IF(ABRIL!T202=0,"",ABRIL!T202)</f>
        <v/>
      </c>
      <c r="U202" s="29">
        <f>+ENERO!U202</f>
        <v>0</v>
      </c>
      <c r="V202" s="17">
        <f>ABRIL!V202+MAYO!AL202</f>
        <v>0</v>
      </c>
      <c r="W202" s="17">
        <f>ABRIL!W202+MAYO!AM202</f>
        <v>0</v>
      </c>
      <c r="X202" s="20">
        <f t="shared" si="164"/>
        <v>0</v>
      </c>
      <c r="Y202" s="21">
        <f>ABRIL!AA202</f>
        <v>0</v>
      </c>
      <c r="Z202" s="457">
        <v>0</v>
      </c>
      <c r="AA202" s="20">
        <f t="shared" si="165"/>
        <v>0</v>
      </c>
      <c r="AB202" s="21">
        <f>ABRIL!AD202</f>
        <v>0</v>
      </c>
      <c r="AC202" s="457">
        <v>0</v>
      </c>
      <c r="AD202" s="20">
        <f t="shared" si="166"/>
        <v>0</v>
      </c>
      <c r="AE202" s="21">
        <f>ABRIL!AG202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N203" s="10"/>
      <c r="P203" s="10"/>
      <c r="Q203" s="10"/>
      <c r="R203" s="10"/>
      <c r="S203" s="155">
        <f>+IF(ABRIL!S203=0,"",ABRIL!S203)</f>
        <v>4100200</v>
      </c>
      <c r="T203" s="159" t="str">
        <f>+IF(ABRIL!T203=0,"",ABRIL!T203)</f>
        <v>Gastos Complementarios e Intermedios</v>
      </c>
      <c r="U203" s="29">
        <f t="shared" ref="U203:AJ203" si="171">U204</f>
        <v>28768499</v>
      </c>
      <c r="V203" s="17">
        <f t="shared" si="171"/>
        <v>0</v>
      </c>
      <c r="W203" s="17">
        <f t="shared" si="171"/>
        <v>0</v>
      </c>
      <c r="X203" s="20">
        <f t="shared" si="171"/>
        <v>28768499</v>
      </c>
      <c r="Y203" s="21">
        <f t="shared" si="171"/>
        <v>6774813</v>
      </c>
      <c r="Z203" s="169">
        <f t="shared" si="171"/>
        <v>2076266</v>
      </c>
      <c r="AA203" s="20">
        <f t="shared" si="171"/>
        <v>8851079</v>
      </c>
      <c r="AB203" s="21">
        <f t="shared" si="171"/>
        <v>6774813</v>
      </c>
      <c r="AC203" s="169">
        <f t="shared" si="171"/>
        <v>2076266</v>
      </c>
      <c r="AD203" s="20">
        <f t="shared" si="171"/>
        <v>8851079</v>
      </c>
      <c r="AE203" s="21">
        <f t="shared" si="171"/>
        <v>5709801</v>
      </c>
      <c r="AF203" s="169">
        <f t="shared" si="171"/>
        <v>1221324</v>
      </c>
      <c r="AG203" s="20">
        <f t="shared" si="171"/>
        <v>6931125</v>
      </c>
      <c r="AH203" s="21">
        <f t="shared" si="171"/>
        <v>19917420</v>
      </c>
      <c r="AI203" s="17">
        <f t="shared" si="171"/>
        <v>19917420</v>
      </c>
      <c r="AJ203" s="18">
        <f t="shared" si="171"/>
        <v>21837374</v>
      </c>
      <c r="AK203" s="10"/>
      <c r="AL203" s="31">
        <f>AL204</f>
        <v>0</v>
      </c>
      <c r="AM203" s="28">
        <f>AM204</f>
        <v>0</v>
      </c>
      <c r="AN203" s="10"/>
    </row>
    <row r="204" spans="1:40" s="467" customFormat="1" x14ac:dyDescent="0.2">
      <c r="A204" s="623"/>
      <c r="B204" s="554"/>
      <c r="N204" s="10"/>
      <c r="P204" s="10"/>
      <c r="Q204" s="10"/>
      <c r="R204" s="10"/>
      <c r="S204" s="156" t="str">
        <f>+IF(ABRIL!S204=0,"",ABRIL!S204)</f>
        <v>4100200-1</v>
      </c>
      <c r="T204" s="55" t="str">
        <f>+IF(ABRIL!T204=0,"",ABRIL!T204)</f>
        <v>Alimentación</v>
      </c>
      <c r="U204" s="29">
        <f>+ENERO!U204</f>
        <v>28768499</v>
      </c>
      <c r="V204" s="17">
        <f>ABRIL!V204+MAYO!AL204</f>
        <v>0</v>
      </c>
      <c r="W204" s="17">
        <f>ABRIL!W204+MAYO!AM204</f>
        <v>0</v>
      </c>
      <c r="X204" s="20">
        <f>SUM(U204:W204)</f>
        <v>28768499</v>
      </c>
      <c r="Y204" s="21">
        <f>ABRIL!AA204</f>
        <v>6774813</v>
      </c>
      <c r="Z204" s="457">
        <v>2076266</v>
      </c>
      <c r="AA204" s="20">
        <f>SUM(Y204:Z204)</f>
        <v>8851079</v>
      </c>
      <c r="AB204" s="21">
        <f>ABRIL!AD204</f>
        <v>6774813</v>
      </c>
      <c r="AC204" s="457">
        <v>2076266</v>
      </c>
      <c r="AD204" s="20">
        <f>SUM(AB204:AC204)</f>
        <v>8851079</v>
      </c>
      <c r="AE204" s="21">
        <f>ABRIL!AG204</f>
        <v>5709801</v>
      </c>
      <c r="AF204" s="457">
        <v>1221324</v>
      </c>
      <c r="AG204" s="20">
        <f>SUM(AE204:AF204)</f>
        <v>6931125</v>
      </c>
      <c r="AH204" s="21">
        <f>X204-AA204</f>
        <v>19917420</v>
      </c>
      <c r="AI204" s="17">
        <f>X204-AD204</f>
        <v>19917420</v>
      </c>
      <c r="AJ204" s="18">
        <f>X204-AG204</f>
        <v>21837374</v>
      </c>
      <c r="AK204" s="10"/>
      <c r="AL204" s="455">
        <v>0</v>
      </c>
      <c r="AM204" s="458">
        <v>0</v>
      </c>
      <c r="AN204" s="10"/>
    </row>
    <row r="205" spans="1:40" s="467" customFormat="1" ht="13.5" thickBot="1" x14ac:dyDescent="0.25">
      <c r="A205" s="623"/>
      <c r="B205" s="554"/>
      <c r="N205" s="10"/>
      <c r="P205" s="10"/>
      <c r="Q205" s="10"/>
      <c r="R205" s="10"/>
      <c r="S205" s="624">
        <f>+IF(ABRIL!S205=0,"",ABRIL!S205)</f>
        <v>4199999</v>
      </c>
      <c r="T205" s="625" t="str">
        <f>+IF(ABRIL!T205=0,"",ABRIL!T205)</f>
        <v>Vigencias Anteriores</v>
      </c>
      <c r="U205" s="160">
        <f>+ENERO!U205</f>
        <v>45000000</v>
      </c>
      <c r="V205" s="143">
        <f>ABRIL!V205+MAYO!AL205</f>
        <v>15217291</v>
      </c>
      <c r="W205" s="143">
        <f>ABRIL!W205+MAYO!AM205</f>
        <v>0</v>
      </c>
      <c r="X205" s="149">
        <f>SUM(U205:W205)</f>
        <v>60217291</v>
      </c>
      <c r="Y205" s="147">
        <f>ABRIL!AA205</f>
        <v>60217291</v>
      </c>
      <c r="Z205" s="475">
        <v>0</v>
      </c>
      <c r="AA205" s="149">
        <f>SUM(Y205:Z205)</f>
        <v>60217291</v>
      </c>
      <c r="AB205" s="147">
        <f>ABRIL!AD205</f>
        <v>60217291</v>
      </c>
      <c r="AC205" s="475">
        <v>0</v>
      </c>
      <c r="AD205" s="149">
        <f>SUM(AB205:AC205)</f>
        <v>60217291</v>
      </c>
      <c r="AE205" s="147">
        <f>ABRIL!AG205</f>
        <v>56223691</v>
      </c>
      <c r="AF205" s="475">
        <v>2258540</v>
      </c>
      <c r="AG205" s="149">
        <f>SUM(AE205:AF205)</f>
        <v>58482231</v>
      </c>
      <c r="AH205" s="147">
        <f>X205-AA205</f>
        <v>0</v>
      </c>
      <c r="AI205" s="143">
        <f>X205-AD205</f>
        <v>0</v>
      </c>
      <c r="AJ205" s="148">
        <f>X205-AG205</f>
        <v>1735060</v>
      </c>
      <c r="AK205" s="10"/>
      <c r="AL205" s="471">
        <v>0</v>
      </c>
      <c r="AM205" s="476">
        <v>0</v>
      </c>
      <c r="AN205" s="10"/>
    </row>
    <row r="206" spans="1:40" s="467" customFormat="1" ht="15.75" x14ac:dyDescent="0.2">
      <c r="A206" s="623"/>
      <c r="B206" s="554"/>
      <c r="N206" s="10"/>
      <c r="P206" s="10"/>
      <c r="Q206" s="10"/>
      <c r="R206" s="10"/>
      <c r="S206" s="627" t="str">
        <f>+IF(ABRIL!S206=0,"",ABRIL!S206)</f>
        <v/>
      </c>
      <c r="T206" s="628" t="str">
        <f>+IF(ABRIL!T206=0,"",ABRIL!T206)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+IF(ABRIL!S207=0,"",ABRIL!S207)</f>
        <v>B</v>
      </c>
      <c r="T207" s="655" t="str">
        <f>+IF(ABRIL!T207=0,"",ABRIL!T207)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+IF(ABRIL!S209=0,"",ABRIL!S209)</f>
        <v>5000000</v>
      </c>
      <c r="T209" s="588" t="s">
        <v>480</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N210" s="10"/>
      <c r="P210" s="10"/>
      <c r="Q210" s="10"/>
      <c r="R210" s="10"/>
      <c r="S210" s="34">
        <f>+IF(ABRIL!S210=0,"",ABRIL!S210)</f>
        <v>5100000</v>
      </c>
      <c r="T210" s="158" t="str">
        <f>+IF(ABRIL!T210=0,"",ABRIL!T210)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N211" s="10"/>
      <c r="P211" s="10"/>
      <c r="Q211" s="10"/>
      <c r="R211" s="10"/>
      <c r="S211" s="155">
        <f>+IF(ABRIL!S211=0,"",ABRIL!S211)</f>
        <v>5100100</v>
      </c>
      <c r="T211" s="159" t="str">
        <f>+IF(ABRIL!T211=0,"",ABRIL!T211)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N212" s="10"/>
      <c r="P212" s="10"/>
      <c r="Q212" s="10"/>
      <c r="R212" s="10"/>
      <c r="S212" s="156" t="str">
        <f>+IF(ABRIL!S212=0,"",ABRIL!S212)</f>
        <v>5100100-1</v>
      </c>
      <c r="T212" s="55" t="str">
        <f>+IF(ABRIL!T212=0,"",ABRIL!T212)</f>
        <v>Productos Farmaceuticos</v>
      </c>
      <c r="U212" s="29">
        <f>+ENERO!U212</f>
        <v>0</v>
      </c>
      <c r="V212" s="17">
        <f>ABRIL!V212+MAYO!AL212</f>
        <v>0</v>
      </c>
      <c r="W212" s="17">
        <f>ABRIL!W212+MAYO!AM212</f>
        <v>0</v>
      </c>
      <c r="X212" s="20">
        <f t="shared" ref="X212:X218" si="176">SUM(U212:W212)</f>
        <v>0</v>
      </c>
      <c r="Y212" s="21">
        <f>ABRIL!AA212</f>
        <v>0</v>
      </c>
      <c r="Z212" s="457">
        <v>0</v>
      </c>
      <c r="AA212" s="20">
        <f t="shared" ref="AA212:AA218" si="177">SUM(Y212:Z212)</f>
        <v>0</v>
      </c>
      <c r="AB212" s="21">
        <f>ABRIL!AD212</f>
        <v>0</v>
      </c>
      <c r="AC212" s="457">
        <v>0</v>
      </c>
      <c r="AD212" s="20">
        <f t="shared" ref="AD212:AD218" si="178">SUM(AB212:AC212)</f>
        <v>0</v>
      </c>
      <c r="AE212" s="21">
        <f>ABRIL!AG212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N213" s="10"/>
      <c r="P213" s="10"/>
      <c r="Q213" s="10"/>
      <c r="R213" s="10"/>
      <c r="S213" s="156" t="str">
        <f>+IF(ABRIL!S213=0,"",ABRIL!S213)</f>
        <v>5100100-2</v>
      </c>
      <c r="T213" s="55" t="str">
        <f>+IF(ABRIL!T213=0,"",ABRIL!T213)</f>
        <v>Material Médico Quirúrgico</v>
      </c>
      <c r="U213" s="29">
        <f>+ENERO!U213</f>
        <v>0</v>
      </c>
      <c r="V213" s="17">
        <f>ABRIL!V213+MAYO!AL213</f>
        <v>0</v>
      </c>
      <c r="W213" s="17">
        <f>ABRIL!W213+MAYO!AM213</f>
        <v>0</v>
      </c>
      <c r="X213" s="20">
        <f t="shared" si="176"/>
        <v>0</v>
      </c>
      <c r="Y213" s="21">
        <f>ABRIL!AA213</f>
        <v>0</v>
      </c>
      <c r="Z213" s="457">
        <v>0</v>
      </c>
      <c r="AA213" s="20">
        <f t="shared" si="177"/>
        <v>0</v>
      </c>
      <c r="AB213" s="21">
        <f>ABRIL!AD213</f>
        <v>0</v>
      </c>
      <c r="AC213" s="457">
        <v>0</v>
      </c>
      <c r="AD213" s="20">
        <f t="shared" si="178"/>
        <v>0</v>
      </c>
      <c r="AE213" s="21">
        <f>ABRIL!AG213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N214" s="10"/>
      <c r="P214" s="10"/>
      <c r="Q214" s="10"/>
      <c r="R214" s="10"/>
      <c r="S214" s="156" t="str">
        <f>+IF(ABRIL!S214=0,"",ABRIL!S214)</f>
        <v>5100100-3</v>
      </c>
      <c r="T214" s="55" t="str">
        <f>+IF(ABRIL!T214=0,"",ABRIL!T214)</f>
        <v>Material de Laboratorio</v>
      </c>
      <c r="U214" s="29">
        <f>+ENERO!U214</f>
        <v>0</v>
      </c>
      <c r="V214" s="17">
        <f>ABRIL!V214+MAYO!AL214</f>
        <v>0</v>
      </c>
      <c r="W214" s="17">
        <f>ABRIL!W214+MAYO!AM214</f>
        <v>0</v>
      </c>
      <c r="X214" s="20">
        <f t="shared" si="176"/>
        <v>0</v>
      </c>
      <c r="Y214" s="21">
        <f>ABRIL!AA214</f>
        <v>0</v>
      </c>
      <c r="Z214" s="457">
        <v>0</v>
      </c>
      <c r="AA214" s="20">
        <f t="shared" si="177"/>
        <v>0</v>
      </c>
      <c r="AB214" s="21">
        <f>ABRIL!AD214</f>
        <v>0</v>
      </c>
      <c r="AC214" s="457">
        <v>0</v>
      </c>
      <c r="AD214" s="20">
        <f t="shared" si="178"/>
        <v>0</v>
      </c>
      <c r="AE214" s="21">
        <f>ABRIL!AG214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N215" s="10"/>
      <c r="P215" s="10"/>
      <c r="Q215" s="10"/>
      <c r="R215" s="10"/>
      <c r="S215" s="156" t="str">
        <f>+IF(ABRIL!S215=0,"",ABRIL!S215)</f>
        <v>5100100-4</v>
      </c>
      <c r="T215" s="55" t="str">
        <f>+IF(ABRIL!T215=0,"",ABRIL!T215)</f>
        <v>Material para Odontologia</v>
      </c>
      <c r="U215" s="29">
        <f>+ENERO!U215</f>
        <v>0</v>
      </c>
      <c r="V215" s="17">
        <f>ABRIL!V215+MAYO!AL215</f>
        <v>0</v>
      </c>
      <c r="W215" s="17">
        <f>ABRIL!W215+MAYO!AM215</f>
        <v>0</v>
      </c>
      <c r="X215" s="20">
        <f t="shared" si="176"/>
        <v>0</v>
      </c>
      <c r="Y215" s="21">
        <f>ABRIL!AA215</f>
        <v>0</v>
      </c>
      <c r="Z215" s="457">
        <v>0</v>
      </c>
      <c r="AA215" s="20">
        <f t="shared" si="177"/>
        <v>0</v>
      </c>
      <c r="AB215" s="21">
        <f>ABRIL!AD215</f>
        <v>0</v>
      </c>
      <c r="AC215" s="457">
        <v>0</v>
      </c>
      <c r="AD215" s="20">
        <f t="shared" si="178"/>
        <v>0</v>
      </c>
      <c r="AE215" s="21">
        <f>ABRIL!AG215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N216" s="10"/>
      <c r="P216" s="10"/>
      <c r="Q216" s="10"/>
      <c r="R216" s="10"/>
      <c r="S216" s="156" t="str">
        <f>+IF(ABRIL!S216=0,"",ABRIL!S216)</f>
        <v>5100100-5</v>
      </c>
      <c r="T216" s="55" t="str">
        <f>+IF(ABRIL!T216=0,"",ABRIL!T216)</f>
        <v>Material para Rayos X</v>
      </c>
      <c r="U216" s="29">
        <f>+ENERO!U216</f>
        <v>0</v>
      </c>
      <c r="V216" s="17">
        <f>ABRIL!V216+MAYO!AL216</f>
        <v>0</v>
      </c>
      <c r="W216" s="17">
        <f>ABRIL!W216+MAYO!AM216</f>
        <v>0</v>
      </c>
      <c r="X216" s="20">
        <f t="shared" si="176"/>
        <v>0</v>
      </c>
      <c r="Y216" s="21">
        <f>ABRIL!AA216</f>
        <v>0</v>
      </c>
      <c r="Z216" s="457">
        <v>0</v>
      </c>
      <c r="AA216" s="20">
        <f t="shared" si="177"/>
        <v>0</v>
      </c>
      <c r="AB216" s="21">
        <f>ABRIL!AD216</f>
        <v>0</v>
      </c>
      <c r="AC216" s="457">
        <v>0</v>
      </c>
      <c r="AD216" s="20">
        <f t="shared" si="178"/>
        <v>0</v>
      </c>
      <c r="AE216" s="21">
        <f>ABRIL!AG216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N217" s="10"/>
      <c r="P217" s="10"/>
      <c r="Q217" s="10"/>
      <c r="R217" s="10"/>
      <c r="S217" s="156" t="str">
        <f>+IF(ABRIL!S217=0,"",ABRIL!S217)</f>
        <v>5100100-6</v>
      </c>
      <c r="T217" s="55" t="str">
        <f>+IF(ABRIL!T217=0,"",ABRIL!T217)</f>
        <v>Material aseo personal, etc.</v>
      </c>
      <c r="U217" s="29">
        <f>+ENERO!U217</f>
        <v>0</v>
      </c>
      <c r="V217" s="17">
        <f>ABRIL!V217+MAYO!AL217</f>
        <v>0</v>
      </c>
      <c r="W217" s="17">
        <f>ABRIL!W217+MAYO!AM217</f>
        <v>0</v>
      </c>
      <c r="X217" s="20">
        <f t="shared" si="176"/>
        <v>0</v>
      </c>
      <c r="Y217" s="21">
        <f>ABRIL!AA217</f>
        <v>0</v>
      </c>
      <c r="Z217" s="457">
        <v>0</v>
      </c>
      <c r="AA217" s="20">
        <f t="shared" si="177"/>
        <v>0</v>
      </c>
      <c r="AB217" s="21">
        <f>ABRIL!AD217</f>
        <v>0</v>
      </c>
      <c r="AC217" s="457">
        <v>0</v>
      </c>
      <c r="AD217" s="20">
        <f t="shared" si="178"/>
        <v>0</v>
      </c>
      <c r="AE217" s="21">
        <f>ABRIL!AG217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N218" s="10"/>
      <c r="P218" s="10"/>
      <c r="Q218" s="10"/>
      <c r="R218" s="10"/>
      <c r="S218" s="657">
        <f>+IF(ABRIL!S218=0,"",ABRIL!S218)</f>
        <v>5199999</v>
      </c>
      <c r="T218" s="658" t="str">
        <f>+IF(ABRIL!T218=0,"",ABRIL!T218)</f>
        <v>Vigencias Anteriores</v>
      </c>
      <c r="U218" s="160">
        <f>+ENERO!U218</f>
        <v>0</v>
      </c>
      <c r="V218" s="143">
        <f>ABRIL!V218+MAYO!AL218</f>
        <v>0</v>
      </c>
      <c r="W218" s="143">
        <f>ABRIL!W218+MAYO!AM218</f>
        <v>0</v>
      </c>
      <c r="X218" s="149">
        <f t="shared" si="176"/>
        <v>0</v>
      </c>
      <c r="Y218" s="147">
        <f>ABRIL!AA218</f>
        <v>0</v>
      </c>
      <c r="Z218" s="475">
        <v>0</v>
      </c>
      <c r="AA218" s="149">
        <f t="shared" si="177"/>
        <v>0</v>
      </c>
      <c r="AB218" s="147">
        <f>ABRIL!AD218</f>
        <v>0</v>
      </c>
      <c r="AC218" s="475">
        <v>0</v>
      </c>
      <c r="AD218" s="149">
        <f t="shared" si="178"/>
        <v>0</v>
      </c>
      <c r="AE218" s="147">
        <f>ABRIL!AG218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N219" s="10"/>
      <c r="P219" s="10"/>
      <c r="Q219" s="10"/>
      <c r="R219" s="10"/>
      <c r="S219" s="643" t="str">
        <f>+IF(ABRIL!S219=0,"",ABRIL!S219)</f>
        <v/>
      </c>
      <c r="T219" s="357" t="str">
        <f>+IF(ABRIL!T219=0,"",ABRIL!T219)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+IF(ABRIL!S220=0,"",ABRIL!S220)</f>
        <v>C</v>
      </c>
      <c r="T220" s="439" t="str">
        <f>+IF(ABRIL!T220=0,"",ABRIL!T220)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N221" s="10"/>
      <c r="P221" s="10"/>
      <c r="Q221" s="10"/>
      <c r="R221" s="10"/>
      <c r="S221" s="448" t="str">
        <f>+IF(ABRIL!S221=0,"",ABRIL!S221)</f>
        <v/>
      </c>
      <c r="T221" s="649" t="str">
        <f>+IF(ABRIL!T221=0,"",ABRIL!T221)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+IF(ABRIL!S222=0,"",ABRIL!S222)</f>
        <v>7001000</v>
      </c>
      <c r="T222" s="158" t="str">
        <f>+IF(ABRIL!T222=0,"",ABRIL!T222)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N223" s="10"/>
      <c r="P223" s="10"/>
      <c r="Q223" s="10"/>
      <c r="R223" s="10"/>
      <c r="S223" s="155">
        <f>+IF(ABRIL!S223=0,"",ABRIL!S223)</f>
        <v>7001100</v>
      </c>
      <c r="T223" s="159" t="str">
        <f>+IF(ABRIL!T223=0,"",ABRIL!T223)</f>
        <v>Amortización deuda Pública Interna</v>
      </c>
      <c r="U223" s="29">
        <f>+ENERO!U223</f>
        <v>0</v>
      </c>
      <c r="V223" s="17">
        <f>ABRIL!V223+MAYO!AL223</f>
        <v>0</v>
      </c>
      <c r="W223" s="17">
        <f>ABRIL!W223+MAYO!AM223</f>
        <v>0</v>
      </c>
      <c r="X223" s="20">
        <f>SUM(U223:W223)</f>
        <v>0</v>
      </c>
      <c r="Y223" s="21">
        <f>ABRIL!AA223</f>
        <v>0</v>
      </c>
      <c r="Z223" s="457">
        <v>0</v>
      </c>
      <c r="AA223" s="20">
        <f>SUM(Y223:Z223)</f>
        <v>0</v>
      </c>
      <c r="AB223" s="21">
        <f>ABRIL!AD223</f>
        <v>0</v>
      </c>
      <c r="AC223" s="457">
        <v>0</v>
      </c>
      <c r="AD223" s="20">
        <f>SUM(AB223:AC223)</f>
        <v>0</v>
      </c>
      <c r="AE223" s="21">
        <f>ABRIL!AG223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+IF(ABRIL!S224=0,"",ABRIL!S224)</f>
        <v>7001200</v>
      </c>
      <c r="T224" s="159" t="str">
        <f>+IF(ABRIL!T224=0,"",ABRIL!T224)</f>
        <v>Intereses Comisiones y gastos de la Deuda Pública</v>
      </c>
      <c r="U224" s="29">
        <f>+ENERO!U224</f>
        <v>0</v>
      </c>
      <c r="V224" s="17">
        <f>ABRIL!V224+MAYO!AL224</f>
        <v>0</v>
      </c>
      <c r="W224" s="17">
        <f>ABRIL!W224+MAYO!AM224</f>
        <v>0</v>
      </c>
      <c r="X224" s="20">
        <f>SUM(U224:W224)</f>
        <v>0</v>
      </c>
      <c r="Y224" s="21">
        <f>ABRIL!AA224</f>
        <v>0</v>
      </c>
      <c r="Z224" s="457">
        <v>0</v>
      </c>
      <c r="AA224" s="20">
        <f>SUM(Y224:Z224)</f>
        <v>0</v>
      </c>
      <c r="AB224" s="21">
        <f>ABRIL!AD224</f>
        <v>0</v>
      </c>
      <c r="AC224" s="457">
        <v>0</v>
      </c>
      <c r="AD224" s="20">
        <f>SUM(AB224:AC224)</f>
        <v>0</v>
      </c>
      <c r="AE224" s="21">
        <f>ABRIL!AG224</f>
        <v>0</v>
      </c>
      <c r="AF224" s="457">
        <v>0</v>
      </c>
      <c r="AG224" s="20">
        <f>SUM(AE224:AF224)</f>
        <v>0</v>
      </c>
      <c r="AH224" s="21">
        <f>X224-AA224</f>
        <v>0</v>
      </c>
      <c r="AI224" s="17">
        <f>X224-AD224</f>
        <v>0</v>
      </c>
      <c r="AJ224" s="18">
        <f>X224-AG224</f>
        <v>0</v>
      </c>
      <c r="AK224" s="10"/>
      <c r="AL224" s="455">
        <v>0</v>
      </c>
      <c r="AM224" s="458">
        <v>0</v>
      </c>
      <c r="AN224" s="10"/>
    </row>
    <row r="225" spans="1:64" s="467" customFormat="1" x14ac:dyDescent="0.2">
      <c r="A225" s="623"/>
      <c r="B225" s="554"/>
      <c r="N225" s="10"/>
      <c r="P225" s="10"/>
      <c r="Q225" s="10"/>
      <c r="R225" s="10"/>
      <c r="S225" s="155">
        <f>+IF(ABRIL!S225=0,"",ABRIL!S225)</f>
        <v>7001999</v>
      </c>
      <c r="T225" s="159" t="str">
        <f>+IF(ABRIL!T225=0,"",ABRIL!T225)</f>
        <v>Vigencias Anteriores</v>
      </c>
      <c r="U225" s="29">
        <f>+ENERO!U225</f>
        <v>0</v>
      </c>
      <c r="V225" s="17">
        <f>ABRIL!V225+MAYO!AL225</f>
        <v>0</v>
      </c>
      <c r="W225" s="17">
        <f>ABRIL!W225+MAYO!AM225</f>
        <v>0</v>
      </c>
      <c r="X225" s="20">
        <f>SUM(U225:W225)</f>
        <v>0</v>
      </c>
      <c r="Y225" s="21">
        <f>ABRIL!AA225</f>
        <v>0</v>
      </c>
      <c r="Z225" s="457">
        <v>0</v>
      </c>
      <c r="AA225" s="20">
        <f>SUM(Y225:Z225)</f>
        <v>0</v>
      </c>
      <c r="AB225" s="21">
        <f>ABRIL!AD225</f>
        <v>0</v>
      </c>
      <c r="AC225" s="457">
        <v>0</v>
      </c>
      <c r="AD225" s="20">
        <f>SUM(AB225:AC225)</f>
        <v>0</v>
      </c>
      <c r="AE225" s="21">
        <f>ABRIL!AG225</f>
        <v>0</v>
      </c>
      <c r="AF225" s="457">
        <v>0</v>
      </c>
      <c r="AG225" s="20">
        <f>SUM(AE225:AF225)</f>
        <v>0</v>
      </c>
      <c r="AH225" s="21">
        <f>X225-AA225</f>
        <v>0</v>
      </c>
      <c r="AI225" s="17">
        <f>X225-AD225</f>
        <v>0</v>
      </c>
      <c r="AJ225" s="18">
        <f>X225-AG225</f>
        <v>0</v>
      </c>
      <c r="AK225" s="10"/>
      <c r="AL225" s="455">
        <v>0</v>
      </c>
      <c r="AM225" s="458">
        <v>0</v>
      </c>
      <c r="AN225" s="10"/>
    </row>
    <row r="226" spans="1:64" s="467" customFormat="1" ht="15.75" x14ac:dyDescent="0.2">
      <c r="A226" s="623"/>
      <c r="B226" s="554"/>
      <c r="N226" s="10"/>
      <c r="P226" s="10"/>
      <c r="Q226" s="10"/>
      <c r="R226" s="10"/>
      <c r="S226" s="448" t="str">
        <f>+IF(ABRIL!S226=0,"",ABRIL!S226)</f>
        <v/>
      </c>
      <c r="T226" s="649" t="str">
        <f>+IF(ABRIL!T226=0,"",ABRIL!T226)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x14ac:dyDescent="0.2">
      <c r="A227" s="623"/>
      <c r="B227" s="554"/>
      <c r="N227" s="10"/>
      <c r="P227" s="10"/>
      <c r="Q227" s="10"/>
      <c r="R227" s="10"/>
      <c r="S227" s="34">
        <f>+IF(ABRIL!S227=0,"",ABRIL!S227)</f>
        <v>7002001</v>
      </c>
      <c r="T227" s="158" t="str">
        <f>+IF(ABRIL!T227=0,"",ABRIL!T227)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64" s="467" customFormat="1" x14ac:dyDescent="0.2">
      <c r="A228" s="623"/>
      <c r="B228" s="554"/>
      <c r="N228" s="10"/>
      <c r="P228" s="10"/>
      <c r="Q228" s="10"/>
      <c r="R228" s="10"/>
      <c r="S228" s="155">
        <f>+IF(ABRIL!S228=0,"",ABRIL!S228)</f>
        <v>7002100</v>
      </c>
      <c r="T228" s="159" t="str">
        <f>+IF(ABRIL!T228=0,"",ABRIL!T228)</f>
        <v>Amortización deuda Pública Externa</v>
      </c>
      <c r="U228" s="29">
        <f>+ENERO!U228</f>
        <v>0</v>
      </c>
      <c r="V228" s="17">
        <f>ABRIL!V228+MAYO!AL228</f>
        <v>0</v>
      </c>
      <c r="W228" s="17">
        <f>ABRIL!W228+MAYO!AM228</f>
        <v>0</v>
      </c>
      <c r="X228" s="20">
        <f>SUM(U228:W228)</f>
        <v>0</v>
      </c>
      <c r="Y228" s="21">
        <f>ABRIL!AA228</f>
        <v>0</v>
      </c>
      <c r="Z228" s="457">
        <v>0</v>
      </c>
      <c r="AA228" s="20">
        <f>SUM(Y228:Z228)</f>
        <v>0</v>
      </c>
      <c r="AB228" s="21">
        <f>ABRIL!AD228</f>
        <v>0</v>
      </c>
      <c r="AC228" s="457">
        <v>0</v>
      </c>
      <c r="AD228" s="20">
        <f>SUM(AB228:AC228)</f>
        <v>0</v>
      </c>
      <c r="AE228" s="21">
        <f>ABRIL!AG228</f>
        <v>0</v>
      </c>
      <c r="AF228" s="457">
        <v>0</v>
      </c>
      <c r="AG228" s="20">
        <f>SUM(AE228:AF228)</f>
        <v>0</v>
      </c>
      <c r="AH228" s="21">
        <f>X228-AA228</f>
        <v>0</v>
      </c>
      <c r="AI228" s="17">
        <f>X228-AD228</f>
        <v>0</v>
      </c>
      <c r="AJ228" s="18">
        <f>X228-AG228</f>
        <v>0</v>
      </c>
      <c r="AK228" s="10"/>
      <c r="AL228" s="455">
        <v>0</v>
      </c>
      <c r="AM228" s="458">
        <v>0</v>
      </c>
      <c r="AN228" s="10"/>
    </row>
    <row r="229" spans="1:64" s="467" customFormat="1" x14ac:dyDescent="0.2">
      <c r="A229" s="623"/>
      <c r="B229" s="554"/>
      <c r="N229" s="10"/>
      <c r="P229" s="10"/>
      <c r="Q229" s="10"/>
      <c r="R229" s="10"/>
      <c r="S229" s="155">
        <f>+IF(ABRIL!S229=0,"",ABRIL!S229)</f>
        <v>7002200</v>
      </c>
      <c r="T229" s="159" t="str">
        <f>+IF(ABRIL!T229=0,"",ABRIL!T229)</f>
        <v>Intereses Comisiones y gastos de la Deuda Pública</v>
      </c>
      <c r="U229" s="29">
        <f>+ENERO!U229</f>
        <v>0</v>
      </c>
      <c r="V229" s="17">
        <f>ABRIL!V229+MAYO!AL229</f>
        <v>0</v>
      </c>
      <c r="W229" s="17">
        <f>ABRIL!W229+MAYO!AM229</f>
        <v>0</v>
      </c>
      <c r="X229" s="20">
        <f>SUM(U229:W229)</f>
        <v>0</v>
      </c>
      <c r="Y229" s="21">
        <f>ABRIL!AA229</f>
        <v>0</v>
      </c>
      <c r="Z229" s="457">
        <v>0</v>
      </c>
      <c r="AA229" s="20">
        <f>SUM(Y229:Z229)</f>
        <v>0</v>
      </c>
      <c r="AB229" s="21">
        <f>ABRIL!AD229</f>
        <v>0</v>
      </c>
      <c r="AC229" s="457">
        <v>0</v>
      </c>
      <c r="AD229" s="20">
        <f>SUM(AB229:AC229)</f>
        <v>0</v>
      </c>
      <c r="AE229" s="21">
        <f>ABRIL!AG229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x14ac:dyDescent="0.25">
      <c r="A230" s="623"/>
      <c r="B230" s="554"/>
      <c r="N230" s="10"/>
      <c r="P230" s="10"/>
      <c r="Q230" s="10"/>
      <c r="R230" s="10"/>
      <c r="S230" s="624">
        <f>+IF(ABRIL!S230=0,"",ABRIL!S230)</f>
        <v>7002999</v>
      </c>
      <c r="T230" s="625" t="str">
        <f>+IF(ABRIL!T230=0,"",ABRIL!T230)</f>
        <v>Vigencias Anteriores</v>
      </c>
      <c r="U230" s="160">
        <f>+ENERO!U230</f>
        <v>0</v>
      </c>
      <c r="V230" s="143">
        <f>ABRIL!V230+MAYO!AL230</f>
        <v>0</v>
      </c>
      <c r="W230" s="143">
        <f>ABRIL!W230+MAYO!AM230</f>
        <v>0</v>
      </c>
      <c r="X230" s="149">
        <f>SUM(U230:W230)</f>
        <v>0</v>
      </c>
      <c r="Y230" s="147">
        <f>ABRIL!AA230</f>
        <v>0</v>
      </c>
      <c r="Z230" s="475">
        <v>0</v>
      </c>
      <c r="AA230" s="149">
        <f>SUM(Y230:Z230)</f>
        <v>0</v>
      </c>
      <c r="AB230" s="147">
        <f>ABRIL!AD230</f>
        <v>0</v>
      </c>
      <c r="AC230" s="475">
        <v>0</v>
      </c>
      <c r="AD230" s="149">
        <f>SUM(AB230:AC230)</f>
        <v>0</v>
      </c>
      <c r="AE230" s="147">
        <f>ABRIL!AG230</f>
        <v>0</v>
      </c>
      <c r="AF230" s="475">
        <v>0</v>
      </c>
      <c r="AG230" s="149">
        <f>SUM(AE230:AF230)</f>
        <v>0</v>
      </c>
      <c r="AH230" s="147">
        <f>X230-AA230</f>
        <v>0</v>
      </c>
      <c r="AI230" s="143">
        <f>X230-AD230</f>
        <v>0</v>
      </c>
      <c r="AJ230" s="148">
        <f>X230-AG230</f>
        <v>0</v>
      </c>
      <c r="AK230" s="10"/>
      <c r="AL230" s="650">
        <v>0</v>
      </c>
      <c r="AM230" s="651">
        <v>0</v>
      </c>
      <c r="AN230" s="10"/>
    </row>
    <row r="231" spans="1:64" s="467" customFormat="1" ht="15.75" x14ac:dyDescent="0.2">
      <c r="A231" s="623"/>
      <c r="B231" s="554"/>
      <c r="N231" s="10"/>
      <c r="P231" s="10"/>
      <c r="Q231" s="10"/>
      <c r="R231" s="10"/>
      <c r="S231" s="627" t="str">
        <f>+IF(ABRIL!S231=0,"",ABRIL!S231)</f>
        <v/>
      </c>
      <c r="T231" s="628" t="str">
        <f>+IF(ABRIL!T231=0,"",ABRIL!T231)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x14ac:dyDescent="0.2">
      <c r="A232" s="623"/>
      <c r="B232" s="554"/>
      <c r="N232" s="10"/>
      <c r="P232" s="10"/>
      <c r="Q232" s="10"/>
      <c r="R232" s="10"/>
      <c r="S232" s="654" t="str">
        <f>+IF(ABRIL!S232=0,"",ABRIL!S232)</f>
        <v>D</v>
      </c>
      <c r="T232" s="655" t="str">
        <f>+IF(ABRIL!T232=0,"",ABRIL!T232)</f>
        <v>INVERSION</v>
      </c>
      <c r="U232" s="589">
        <f t="shared" ref="U232:AJ232" si="186">U234</f>
        <v>121563100</v>
      </c>
      <c r="V232" s="590">
        <f t="shared" si="186"/>
        <v>-1563100</v>
      </c>
      <c r="W232" s="590">
        <f t="shared" si="186"/>
        <v>0</v>
      </c>
      <c r="X232" s="591">
        <f t="shared" si="186"/>
        <v>120000000</v>
      </c>
      <c r="Y232" s="464">
        <f t="shared" si="186"/>
        <v>55454476</v>
      </c>
      <c r="Z232" s="590">
        <f t="shared" si="186"/>
        <v>18951492</v>
      </c>
      <c r="AA232" s="591">
        <f t="shared" si="186"/>
        <v>74405968</v>
      </c>
      <c r="AB232" s="464">
        <f t="shared" si="186"/>
        <v>55454476</v>
      </c>
      <c r="AC232" s="590">
        <f t="shared" si="186"/>
        <v>18951492</v>
      </c>
      <c r="AD232" s="591">
        <f t="shared" si="186"/>
        <v>74405968</v>
      </c>
      <c r="AE232" s="464">
        <f t="shared" si="186"/>
        <v>36328984</v>
      </c>
      <c r="AF232" s="590">
        <f t="shared" si="186"/>
        <v>18951492</v>
      </c>
      <c r="AG232" s="591">
        <f t="shared" si="186"/>
        <v>55280476</v>
      </c>
      <c r="AH232" s="464">
        <f t="shared" si="186"/>
        <v>45594032</v>
      </c>
      <c r="AI232" s="590">
        <f t="shared" si="186"/>
        <v>45594032</v>
      </c>
      <c r="AJ232" s="465">
        <f t="shared" si="186"/>
        <v>64719524</v>
      </c>
      <c r="AK232" s="648"/>
      <c r="AL232" s="464">
        <f>AL234</f>
        <v>0</v>
      </c>
      <c r="AM232" s="465">
        <f>AM234</f>
        <v>0</v>
      </c>
      <c r="AN232" s="10"/>
    </row>
    <row r="233" spans="1:64" s="467" customFormat="1" ht="15.75" x14ac:dyDescent="0.2">
      <c r="A233" s="623"/>
      <c r="B233" s="554"/>
      <c r="N233" s="10"/>
      <c r="P233" s="10"/>
      <c r="Q233" s="10"/>
      <c r="R233" s="10"/>
      <c r="S233" s="448" t="str">
        <f>+IF(ABRIL!S233=0,"",ABRIL!S233)</f>
        <v/>
      </c>
      <c r="T233" s="649" t="str">
        <f>+IF(ABRIL!T233=0,"",ABRIL!T233)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x14ac:dyDescent="0.2">
      <c r="A234" s="623"/>
      <c r="B234" s="554"/>
      <c r="N234" s="10"/>
      <c r="P234" s="10"/>
      <c r="Q234" s="10"/>
      <c r="R234" s="10"/>
      <c r="S234" s="34">
        <f>+IF(ABRIL!S234=0,"",ABRIL!S234)</f>
        <v>8000000</v>
      </c>
      <c r="T234" s="158" t="str">
        <f>+IF(ABRIL!T234=0,"",ABRIL!T234)</f>
        <v>Programas de Inversión</v>
      </c>
      <c r="U234" s="157">
        <f t="shared" ref="U234:AJ234" si="187">U235+U243</f>
        <v>121563100</v>
      </c>
      <c r="V234" s="144">
        <f t="shared" si="187"/>
        <v>-1563100</v>
      </c>
      <c r="W234" s="144">
        <f t="shared" si="187"/>
        <v>0</v>
      </c>
      <c r="X234" s="152">
        <f t="shared" si="187"/>
        <v>120000000</v>
      </c>
      <c r="Y234" s="151">
        <f t="shared" si="187"/>
        <v>55454476</v>
      </c>
      <c r="Z234" s="144">
        <f t="shared" si="187"/>
        <v>18951492</v>
      </c>
      <c r="AA234" s="152">
        <f t="shared" si="187"/>
        <v>74405968</v>
      </c>
      <c r="AB234" s="151">
        <f t="shared" si="187"/>
        <v>55454476</v>
      </c>
      <c r="AC234" s="144">
        <f t="shared" si="187"/>
        <v>18951492</v>
      </c>
      <c r="AD234" s="152">
        <f t="shared" si="187"/>
        <v>74405968</v>
      </c>
      <c r="AE234" s="151">
        <f t="shared" si="187"/>
        <v>36328984</v>
      </c>
      <c r="AF234" s="144">
        <f t="shared" si="187"/>
        <v>18951492</v>
      </c>
      <c r="AG234" s="152">
        <f t="shared" si="187"/>
        <v>55280476</v>
      </c>
      <c r="AH234" s="151">
        <f t="shared" si="187"/>
        <v>45594032</v>
      </c>
      <c r="AI234" s="144">
        <f t="shared" si="187"/>
        <v>45594032</v>
      </c>
      <c r="AJ234" s="153">
        <f t="shared" si="187"/>
        <v>64719524</v>
      </c>
      <c r="AK234" s="10"/>
      <c r="AL234" s="151">
        <f>AL235+AL243</f>
        <v>0</v>
      </c>
      <c r="AM234" s="153">
        <f>AM235+AM243</f>
        <v>0</v>
      </c>
      <c r="AN234" s="10"/>
    </row>
    <row r="235" spans="1:64" s="467" customFormat="1" x14ac:dyDescent="0.2">
      <c r="A235" s="623"/>
      <c r="B235" s="554"/>
      <c r="N235" s="10"/>
      <c r="P235" s="10"/>
      <c r="Q235" s="10"/>
      <c r="R235" s="10"/>
      <c r="S235" s="155">
        <f>+IF(ABRIL!S235=0,"",ABRIL!S235)</f>
        <v>8001000</v>
      </c>
      <c r="T235" s="159" t="str">
        <f>+IF(ABRIL!T235=0,"",ABRIL!T235)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64" s="467" customFormat="1" x14ac:dyDescent="0.2">
      <c r="A236" s="623"/>
      <c r="B236" s="554"/>
      <c r="N236" s="10"/>
      <c r="P236" s="10"/>
      <c r="Q236" s="10"/>
      <c r="R236" s="10"/>
      <c r="S236" s="156" t="str">
        <f>+IF(ABRIL!S236=0,"",ABRIL!S236)</f>
        <v>8001000-1</v>
      </c>
      <c r="T236" s="55" t="str">
        <f>+IF(ABRIL!T236=0,"",ABRIL!T236)</f>
        <v>Subprogr.Construc. Remodelac. Adecuación y Apliac.1</v>
      </c>
      <c r="U236" s="29">
        <f>+ENERO!U236</f>
        <v>0</v>
      </c>
      <c r="V236" s="17">
        <f>ABRIL!V236+MAYO!AL236</f>
        <v>0</v>
      </c>
      <c r="W236" s="17">
        <f>ABRIL!W236+MAYO!AM236</f>
        <v>0</v>
      </c>
      <c r="X236" s="20">
        <f t="shared" ref="X236:X241" si="189">SUM(U236:W236)</f>
        <v>0</v>
      </c>
      <c r="Y236" s="21">
        <f>ABRIL!AA236</f>
        <v>0</v>
      </c>
      <c r="Z236" s="457">
        <v>0</v>
      </c>
      <c r="AA236" s="20">
        <f t="shared" ref="AA236:AA241" si="190">SUM(Y236:Z236)</f>
        <v>0</v>
      </c>
      <c r="AB236" s="21">
        <f>ABRIL!AD236</f>
        <v>0</v>
      </c>
      <c r="AC236" s="457">
        <v>0</v>
      </c>
      <c r="AD236" s="20">
        <f t="shared" ref="AD236:AD241" si="191">SUM(AB236:AC236)</f>
        <v>0</v>
      </c>
      <c r="AE236" s="21">
        <f>ABRIL!AG236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64" s="467" customFormat="1" x14ac:dyDescent="0.2">
      <c r="A237" s="623"/>
      <c r="B237" s="554"/>
      <c r="N237" s="10"/>
      <c r="P237" s="10"/>
      <c r="Q237" s="10"/>
      <c r="R237" s="10"/>
      <c r="S237" s="156" t="str">
        <f>+IF(ABRIL!S237=0,"",ABRIL!S237)</f>
        <v>8001000-2</v>
      </c>
      <c r="T237" s="55" t="str">
        <f>+IF(ABRIL!T237=0,"",ABRIL!T237)</f>
        <v>Subprogr.Construc. Remodelac. Adecuación y Apliac.2</v>
      </c>
      <c r="U237" s="29">
        <f>+ENERO!U237</f>
        <v>0</v>
      </c>
      <c r="V237" s="17">
        <f>ABRIL!V237+MAYO!AL237</f>
        <v>0</v>
      </c>
      <c r="W237" s="17">
        <f>ABRIL!W237+MAYO!AM237</f>
        <v>0</v>
      </c>
      <c r="X237" s="20">
        <f t="shared" si="189"/>
        <v>0</v>
      </c>
      <c r="Y237" s="21">
        <f>ABRIL!AA237</f>
        <v>0</v>
      </c>
      <c r="Z237" s="457">
        <v>0</v>
      </c>
      <c r="AA237" s="20">
        <f t="shared" si="190"/>
        <v>0</v>
      </c>
      <c r="AB237" s="21">
        <f>ABRIL!AD237</f>
        <v>0</v>
      </c>
      <c r="AC237" s="457">
        <v>0</v>
      </c>
      <c r="AD237" s="20">
        <f t="shared" si="191"/>
        <v>0</v>
      </c>
      <c r="AE237" s="21">
        <f>ABRIL!AG237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x14ac:dyDescent="0.2">
      <c r="A238" s="623"/>
      <c r="B238" s="554"/>
      <c r="N238" s="10"/>
      <c r="P238" s="10"/>
      <c r="Q238" s="10"/>
      <c r="R238" s="10"/>
      <c r="S238" s="156" t="str">
        <f>+IF(ABRIL!S238=0,"",ABRIL!S238)</f>
        <v>8001000-3</v>
      </c>
      <c r="T238" s="55" t="str">
        <f>+IF(ABRIL!T238=0,"",ABRIL!T238)</f>
        <v>Subprogr.Construc. Remodelac. Adecuación y Apliac.3</v>
      </c>
      <c r="U238" s="29">
        <f>+ENERO!U238</f>
        <v>0</v>
      </c>
      <c r="V238" s="17">
        <f>ABRIL!V238+MAYO!AL238</f>
        <v>0</v>
      </c>
      <c r="W238" s="17">
        <f>ABRIL!W238+MAYO!AM238</f>
        <v>0</v>
      </c>
      <c r="X238" s="20">
        <f t="shared" si="189"/>
        <v>0</v>
      </c>
      <c r="Y238" s="21">
        <f>ABRIL!AA238</f>
        <v>0</v>
      </c>
      <c r="Z238" s="457">
        <v>0</v>
      </c>
      <c r="AA238" s="20">
        <f t="shared" si="190"/>
        <v>0</v>
      </c>
      <c r="AB238" s="21">
        <f>ABRIL!AD238</f>
        <v>0</v>
      </c>
      <c r="AC238" s="457">
        <v>0</v>
      </c>
      <c r="AD238" s="20">
        <f t="shared" si="191"/>
        <v>0</v>
      </c>
      <c r="AE238" s="21">
        <f>ABRIL!AG238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x14ac:dyDescent="0.2">
      <c r="A239" s="623"/>
      <c r="B239" s="554"/>
      <c r="N239" s="10"/>
      <c r="P239" s="10"/>
      <c r="Q239" s="10"/>
      <c r="S239" s="156" t="str">
        <f>+IF(ABRIL!S239=0,"",ABRIL!S239)</f>
        <v>8001000-4</v>
      </c>
      <c r="T239" s="55" t="str">
        <f>+IF(ABRIL!T239=0,"",ABRIL!T239)</f>
        <v>Subprogr.Construc. Remodelac. Adecuación y Apliac.4</v>
      </c>
      <c r="U239" s="29">
        <f>+ENERO!U239</f>
        <v>0</v>
      </c>
      <c r="V239" s="17">
        <f>ABRIL!V239+MAYO!AL239</f>
        <v>0</v>
      </c>
      <c r="W239" s="17">
        <f>ABRIL!W239+MAYO!AM239</f>
        <v>0</v>
      </c>
      <c r="X239" s="20">
        <f t="shared" si="189"/>
        <v>0</v>
      </c>
      <c r="Y239" s="21">
        <f>ABRIL!AA239</f>
        <v>0</v>
      </c>
      <c r="Z239" s="457">
        <v>0</v>
      </c>
      <c r="AA239" s="20">
        <f t="shared" si="190"/>
        <v>0</v>
      </c>
      <c r="AB239" s="21">
        <f>ABRIL!AD239</f>
        <v>0</v>
      </c>
      <c r="AC239" s="457">
        <v>0</v>
      </c>
      <c r="AD239" s="20">
        <f t="shared" si="191"/>
        <v>0</v>
      </c>
      <c r="AE239" s="21">
        <f>ABRIL!AG239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x14ac:dyDescent="0.2">
      <c r="A240" s="623"/>
      <c r="B240" s="554"/>
      <c r="N240" s="10"/>
      <c r="P240" s="10"/>
      <c r="Q240" s="10"/>
      <c r="S240" s="156" t="str">
        <f>+IF(ABRIL!S240=0,"",ABRIL!S240)</f>
        <v>8001000-7</v>
      </c>
      <c r="T240" s="55" t="str">
        <f>+IF(ABRIL!T240=0,"",ABRIL!T240)</f>
        <v>Subprogr.Construc. Remodelac. Adecuación y Apliac.5</v>
      </c>
      <c r="U240" s="29">
        <f>+ENERO!U240</f>
        <v>0</v>
      </c>
      <c r="V240" s="17">
        <f>ABRIL!V240+MAYO!AL240</f>
        <v>0</v>
      </c>
      <c r="W240" s="17">
        <f>ABRIL!W240+MAYO!AM240</f>
        <v>0</v>
      </c>
      <c r="X240" s="20">
        <f t="shared" si="189"/>
        <v>0</v>
      </c>
      <c r="Y240" s="21">
        <f>ABRIL!AA240</f>
        <v>0</v>
      </c>
      <c r="Z240" s="457">
        <v>0</v>
      </c>
      <c r="AA240" s="20">
        <f t="shared" si="190"/>
        <v>0</v>
      </c>
      <c r="AB240" s="21">
        <f>ABRIL!AD240</f>
        <v>0</v>
      </c>
      <c r="AC240" s="457">
        <v>0</v>
      </c>
      <c r="AD240" s="20">
        <f t="shared" si="191"/>
        <v>0</v>
      </c>
      <c r="AE240" s="21">
        <f>ABRIL!AG240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+IF(ABRIL!S241=0,"",ABRIL!S241)</f>
        <v>8001999</v>
      </c>
      <c r="T241" s="55" t="str">
        <f>+IF(ABRIL!T241=0,"",ABRIL!T241)</f>
        <v>Vigencias Anteriores</v>
      </c>
      <c r="U241" s="29">
        <f>+ENERO!U241</f>
        <v>0</v>
      </c>
      <c r="V241" s="17">
        <f>ABRIL!V241+MAYO!AL241</f>
        <v>0</v>
      </c>
      <c r="W241" s="17">
        <f>ABRIL!W241+MAYO!AM241</f>
        <v>0</v>
      </c>
      <c r="X241" s="20">
        <f t="shared" si="189"/>
        <v>0</v>
      </c>
      <c r="Y241" s="21">
        <f>ABRIL!AA241</f>
        <v>0</v>
      </c>
      <c r="Z241" s="457">
        <v>0</v>
      </c>
      <c r="AA241" s="20">
        <f t="shared" si="190"/>
        <v>0</v>
      </c>
      <c r="AB241" s="21">
        <f>ABRIL!AD241</f>
        <v>0</v>
      </c>
      <c r="AC241" s="457">
        <v>0</v>
      </c>
      <c r="AD241" s="20">
        <f t="shared" si="191"/>
        <v>0</v>
      </c>
      <c r="AE241" s="21">
        <f>ABRIL!AG241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+IF(ABRIL!S242=0,"",ABRIL!S242)</f>
        <v/>
      </c>
      <c r="T242" s="649" t="str">
        <f>+IF(ABRIL!T242=0,"",ABRIL!T242)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+IF(ABRIL!S243=0,"",ABRIL!S243)</f>
        <v>8002001</v>
      </c>
      <c r="T243" s="159" t="str">
        <f>+IF(ABRIL!T243=0,"",ABRIL!T243)</f>
        <v>Gastos Operativos de Inversion   (Programas Especiales)</v>
      </c>
      <c r="U243" s="29">
        <f t="shared" ref="U243:AJ243" si="196">SUM(U244:U256)</f>
        <v>121563100</v>
      </c>
      <c r="V243" s="17">
        <f t="shared" si="196"/>
        <v>-1563100</v>
      </c>
      <c r="W243" s="17">
        <f t="shared" si="196"/>
        <v>0</v>
      </c>
      <c r="X243" s="20">
        <f t="shared" si="196"/>
        <v>120000000</v>
      </c>
      <c r="Y243" s="21">
        <f t="shared" si="196"/>
        <v>55454476</v>
      </c>
      <c r="Z243" s="169">
        <f t="shared" si="196"/>
        <v>18951492</v>
      </c>
      <c r="AA243" s="20">
        <f t="shared" si="196"/>
        <v>74405968</v>
      </c>
      <c r="AB243" s="21">
        <f t="shared" si="196"/>
        <v>55454476</v>
      </c>
      <c r="AC243" s="169">
        <f t="shared" si="196"/>
        <v>18951492</v>
      </c>
      <c r="AD243" s="20">
        <f t="shared" si="196"/>
        <v>74405968</v>
      </c>
      <c r="AE243" s="21">
        <f t="shared" si="196"/>
        <v>36328984</v>
      </c>
      <c r="AF243" s="169">
        <f t="shared" si="196"/>
        <v>18951492</v>
      </c>
      <c r="AG243" s="20">
        <f t="shared" si="196"/>
        <v>55280476</v>
      </c>
      <c r="AH243" s="21">
        <f t="shared" si="196"/>
        <v>45594032</v>
      </c>
      <c r="AI243" s="17">
        <f t="shared" si="196"/>
        <v>45594032</v>
      </c>
      <c r="AJ243" s="18">
        <f t="shared" si="196"/>
        <v>64719524</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+IF(ABRIL!S244=0,"",ABRIL!S244)</f>
        <v>8002100-1</v>
      </c>
      <c r="T244" s="55" t="str">
        <f>+IF(ABRIL!T244=0,"",ABRIL!T244)</f>
        <v>Salud Pública</v>
      </c>
      <c r="U244" s="29">
        <f>+ENERO!U244</f>
        <v>120000000</v>
      </c>
      <c r="V244" s="17">
        <f>ABRIL!V244+MAYO!AL244</f>
        <v>0</v>
      </c>
      <c r="W244" s="17">
        <f>ABRIL!W244+MAYO!AM244</f>
        <v>0</v>
      </c>
      <c r="X244" s="20">
        <f t="shared" ref="X244:X256" si="197">SUM(U244:W244)</f>
        <v>120000000</v>
      </c>
      <c r="Y244" s="21">
        <f>ABRIL!AA244</f>
        <v>55454476</v>
      </c>
      <c r="Z244" s="457">
        <v>18951492</v>
      </c>
      <c r="AA244" s="20">
        <f t="shared" ref="AA244:AA256" si="198">SUM(Y244:Z244)</f>
        <v>74405968</v>
      </c>
      <c r="AB244" s="21">
        <f>ABRIL!AD244</f>
        <v>55454476</v>
      </c>
      <c r="AC244" s="457">
        <v>18951492</v>
      </c>
      <c r="AD244" s="20">
        <f t="shared" ref="AD244:AD256" si="199">SUM(AB244:AC244)</f>
        <v>74405968</v>
      </c>
      <c r="AE244" s="21">
        <f>ABRIL!AG244</f>
        <v>36328984</v>
      </c>
      <c r="AF244" s="457">
        <v>18951492</v>
      </c>
      <c r="AG244" s="20">
        <f t="shared" ref="AG244:AG256" si="200">SUM(AE244:AF244)</f>
        <v>55280476</v>
      </c>
      <c r="AH244" s="21">
        <f t="shared" ref="AH244:AH256" si="201">X244-AA244</f>
        <v>45594032</v>
      </c>
      <c r="AI244" s="17">
        <f t="shared" ref="AI244:AI256" si="202">X244-AD244</f>
        <v>45594032</v>
      </c>
      <c r="AJ244" s="18">
        <f t="shared" ref="AJ244:AJ256" si="203">X244-AG244</f>
        <v>64719524</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+IF(ABRIL!S245=0,"",ABRIL!S245)</f>
        <v>8002100-2</v>
      </c>
      <c r="T245" s="55" t="str">
        <f>+IF(ABRIL!T245=0,"",ABRIL!T245)</f>
        <v>Programas Especial 01</v>
      </c>
      <c r="U245" s="29">
        <f>+ENERO!U245</f>
        <v>0</v>
      </c>
      <c r="V245" s="17">
        <f>ABRIL!V245+MAYO!AL245</f>
        <v>0</v>
      </c>
      <c r="W245" s="17">
        <f>ABRIL!W245+MAYO!AM245</f>
        <v>0</v>
      </c>
      <c r="X245" s="20">
        <f t="shared" si="197"/>
        <v>0</v>
      </c>
      <c r="Y245" s="21">
        <f>ABRIL!AA245</f>
        <v>0</v>
      </c>
      <c r="Z245" s="457">
        <v>0</v>
      </c>
      <c r="AA245" s="20">
        <f t="shared" si="198"/>
        <v>0</v>
      </c>
      <c r="AB245" s="21">
        <f>ABRIL!AD245</f>
        <v>0</v>
      </c>
      <c r="AC245" s="457">
        <v>0</v>
      </c>
      <c r="AD245" s="20">
        <f t="shared" si="199"/>
        <v>0</v>
      </c>
      <c r="AE245" s="21">
        <f>ABRIL!AG245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+IF(ABRIL!S246=0,"",ABRIL!S246)</f>
        <v>8002100-3</v>
      </c>
      <c r="T246" s="55" t="str">
        <f>+IF(ABRIL!T246=0,"",ABRIL!T246)</f>
        <v>Programas Especial 02</v>
      </c>
      <c r="U246" s="29">
        <f>+ENERO!U246</f>
        <v>0</v>
      </c>
      <c r="V246" s="17">
        <f>ABRIL!V246+MAYO!AL246</f>
        <v>0</v>
      </c>
      <c r="W246" s="17">
        <f>ABRIL!W246+MAYO!AM246</f>
        <v>0</v>
      </c>
      <c r="X246" s="20">
        <f t="shared" si="197"/>
        <v>0</v>
      </c>
      <c r="Y246" s="21">
        <f>ABRIL!AA246</f>
        <v>0</v>
      </c>
      <c r="Z246" s="457">
        <v>0</v>
      </c>
      <c r="AA246" s="20">
        <f t="shared" si="198"/>
        <v>0</v>
      </c>
      <c r="AB246" s="21">
        <f>ABRIL!AD246</f>
        <v>0</v>
      </c>
      <c r="AC246" s="457">
        <v>0</v>
      </c>
      <c r="AD246" s="20">
        <f t="shared" si="199"/>
        <v>0</v>
      </c>
      <c r="AE246" s="21">
        <f>ABRIL!AG246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+IF(ABRIL!S247=0,"",ABRIL!S247)</f>
        <v>8002100-4</v>
      </c>
      <c r="T247" s="55" t="str">
        <f>+IF(ABRIL!T247=0,"",ABRIL!T247)</f>
        <v>Programas Especial 03</v>
      </c>
      <c r="U247" s="29">
        <f>+ENERO!U247</f>
        <v>0</v>
      </c>
      <c r="V247" s="17">
        <f>ABRIL!V247+MAYO!AL247</f>
        <v>0</v>
      </c>
      <c r="W247" s="17">
        <f>ABRIL!W247+MAYO!AM247</f>
        <v>0</v>
      </c>
      <c r="X247" s="20">
        <f t="shared" si="197"/>
        <v>0</v>
      </c>
      <c r="Y247" s="21">
        <f>ABRIL!AA247</f>
        <v>0</v>
      </c>
      <c r="Z247" s="457">
        <v>0</v>
      </c>
      <c r="AA247" s="20">
        <f t="shared" si="198"/>
        <v>0</v>
      </c>
      <c r="AB247" s="21">
        <f>ABRIL!AD247</f>
        <v>0</v>
      </c>
      <c r="AC247" s="457">
        <v>0</v>
      </c>
      <c r="AD247" s="20">
        <f t="shared" si="199"/>
        <v>0</v>
      </c>
      <c r="AE247" s="21">
        <f>ABRIL!AG247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+IF(ABRIL!S248=0,"",ABRIL!S248)</f>
        <v>8002100-5</v>
      </c>
      <c r="T248" s="55" t="str">
        <f>+IF(ABRIL!T248=0,"",ABRIL!T248)</f>
        <v>Programas Especial 04</v>
      </c>
      <c r="U248" s="29">
        <f>+ENERO!U248</f>
        <v>0</v>
      </c>
      <c r="V248" s="17">
        <f>ABRIL!V248+MAYO!AL248</f>
        <v>0</v>
      </c>
      <c r="W248" s="17">
        <f>ABRIL!W248+MAYO!AM248</f>
        <v>0</v>
      </c>
      <c r="X248" s="20">
        <f t="shared" si="197"/>
        <v>0</v>
      </c>
      <c r="Y248" s="21">
        <f>ABRIL!AA248</f>
        <v>0</v>
      </c>
      <c r="Z248" s="457">
        <v>0</v>
      </c>
      <c r="AA248" s="20">
        <f t="shared" si="198"/>
        <v>0</v>
      </c>
      <c r="AB248" s="21">
        <f>ABRIL!AD248</f>
        <v>0</v>
      </c>
      <c r="AC248" s="457">
        <v>0</v>
      </c>
      <c r="AD248" s="20">
        <f t="shared" si="199"/>
        <v>0</v>
      </c>
      <c r="AE248" s="21">
        <f>ABRIL!AG248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+IF(ABRIL!S249=0,"",ABRIL!S249)</f>
        <v>8002100-6</v>
      </c>
      <c r="T249" s="55" t="str">
        <f>+IF(ABRIL!T249=0,"",ABRIL!T249)</f>
        <v>Programas Especial 05</v>
      </c>
      <c r="U249" s="29">
        <f>+ENERO!U249</f>
        <v>0</v>
      </c>
      <c r="V249" s="17">
        <f>ABRIL!V249+MAYO!AL249</f>
        <v>0</v>
      </c>
      <c r="W249" s="17">
        <f>ABRIL!W249+MAYO!AM249</f>
        <v>0</v>
      </c>
      <c r="X249" s="20">
        <f t="shared" si="197"/>
        <v>0</v>
      </c>
      <c r="Y249" s="21">
        <f>ABRIL!AA249</f>
        <v>0</v>
      </c>
      <c r="Z249" s="457">
        <v>0</v>
      </c>
      <c r="AA249" s="20">
        <f t="shared" si="198"/>
        <v>0</v>
      </c>
      <c r="AB249" s="21">
        <f>ABRIL!AD249</f>
        <v>0</v>
      </c>
      <c r="AC249" s="457">
        <v>0</v>
      </c>
      <c r="AD249" s="20">
        <f t="shared" si="199"/>
        <v>0</v>
      </c>
      <c r="AE249" s="21">
        <f>ABRIL!AG249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+IF(ABRIL!S250=0,"",ABRIL!S250)</f>
        <v>8002100-7</v>
      </c>
      <c r="T250" s="55" t="str">
        <f>+IF(ABRIL!T250=0,"",ABRIL!T250)</f>
        <v>Programas Especial 06</v>
      </c>
      <c r="U250" s="29">
        <f>+ENERO!U250</f>
        <v>0</v>
      </c>
      <c r="V250" s="17">
        <f>ABRIL!V250+MAYO!AL250</f>
        <v>0</v>
      </c>
      <c r="W250" s="17">
        <f>ABRIL!W250+MAYO!AM250</f>
        <v>0</v>
      </c>
      <c r="X250" s="20">
        <f>SUM(U250:W250)</f>
        <v>0</v>
      </c>
      <c r="Y250" s="21">
        <f>ABRIL!AA250</f>
        <v>0</v>
      </c>
      <c r="Z250" s="457">
        <v>0</v>
      </c>
      <c r="AA250" s="20">
        <f>SUM(Y250:Z250)</f>
        <v>0</v>
      </c>
      <c r="AB250" s="21">
        <f>ABRIL!AD250</f>
        <v>0</v>
      </c>
      <c r="AC250" s="457">
        <v>0</v>
      </c>
      <c r="AD250" s="20">
        <f>SUM(AB250:AC250)</f>
        <v>0</v>
      </c>
      <c r="AE250" s="21">
        <f>ABRIL!AG250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+IF(ABRIL!S251=0,"",ABRIL!S251)</f>
        <v>8002100-8</v>
      </c>
      <c r="T251" s="55" t="str">
        <f>+IF(ABRIL!T251=0,"",ABRIL!T251)</f>
        <v>Programas Especial 07</v>
      </c>
      <c r="U251" s="29">
        <f>+ENERO!U251</f>
        <v>0</v>
      </c>
      <c r="V251" s="17">
        <f>ABRIL!V251+MAYO!AL251</f>
        <v>0</v>
      </c>
      <c r="W251" s="17">
        <f>ABRIL!W251+MAYO!AM251</f>
        <v>0</v>
      </c>
      <c r="X251" s="20">
        <f>SUM(U251:W251)</f>
        <v>0</v>
      </c>
      <c r="Y251" s="21">
        <f>ABRIL!AA251</f>
        <v>0</v>
      </c>
      <c r="Z251" s="457">
        <v>0</v>
      </c>
      <c r="AA251" s="20">
        <f>SUM(Y251:Z251)</f>
        <v>0</v>
      </c>
      <c r="AB251" s="21">
        <f>ABRIL!AD251</f>
        <v>0</v>
      </c>
      <c r="AC251" s="457">
        <v>0</v>
      </c>
      <c r="AD251" s="20">
        <f>SUM(AB251:AC251)</f>
        <v>0</v>
      </c>
      <c r="AE251" s="21">
        <f>ABRIL!AG251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+IF(ABRIL!S252=0,"",ABRIL!S252)</f>
        <v>8002100-9</v>
      </c>
      <c r="T252" s="55" t="str">
        <f>+IF(ABRIL!T252=0,"",ABRIL!T252)</f>
        <v>Programas Especial 08</v>
      </c>
      <c r="U252" s="29">
        <f>+ENERO!U252</f>
        <v>0</v>
      </c>
      <c r="V252" s="17">
        <f>ABRIL!V252+MAYO!AL252</f>
        <v>0</v>
      </c>
      <c r="W252" s="17">
        <f>ABRIL!W252+MAYO!AM252</f>
        <v>0</v>
      </c>
      <c r="X252" s="20">
        <f>SUM(U252:W252)</f>
        <v>0</v>
      </c>
      <c r="Y252" s="21">
        <f>ABRIL!AA252</f>
        <v>0</v>
      </c>
      <c r="Z252" s="457">
        <v>0</v>
      </c>
      <c r="AA252" s="20">
        <f>SUM(Y252:Z252)</f>
        <v>0</v>
      </c>
      <c r="AB252" s="21">
        <f>ABRIL!AD252</f>
        <v>0</v>
      </c>
      <c r="AC252" s="457">
        <v>0</v>
      </c>
      <c r="AD252" s="20">
        <f>SUM(AB252:AC252)</f>
        <v>0</v>
      </c>
      <c r="AE252" s="21">
        <f>ABRIL!AG252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+IF(ABRIL!S253=0,"",ABRIL!S253)</f>
        <v>8002100-10</v>
      </c>
      <c r="T253" s="55" t="str">
        <f>+IF(ABRIL!T253=0,"",ABRIL!T253)</f>
        <v>Programas Especial 09</v>
      </c>
      <c r="U253" s="29">
        <f>+ENERO!U253</f>
        <v>0</v>
      </c>
      <c r="V253" s="17">
        <f>ABRIL!V253+MAYO!AL253</f>
        <v>0</v>
      </c>
      <c r="W253" s="17">
        <f>ABRIL!W253+MAYO!AM253</f>
        <v>0</v>
      </c>
      <c r="X253" s="20">
        <f>SUM(U253:W253)</f>
        <v>0</v>
      </c>
      <c r="Y253" s="21">
        <f>ABRIL!AA253</f>
        <v>0</v>
      </c>
      <c r="Z253" s="457">
        <v>0</v>
      </c>
      <c r="AA253" s="20">
        <f>SUM(Y253:Z253)</f>
        <v>0</v>
      </c>
      <c r="AB253" s="21">
        <f>ABRIL!AD253</f>
        <v>0</v>
      </c>
      <c r="AC253" s="457">
        <v>0</v>
      </c>
      <c r="AD253" s="20">
        <f>SUM(AB253:AC253)</f>
        <v>0</v>
      </c>
      <c r="AE253" s="21">
        <f>ABRIL!AG253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+IF(ABRIL!S254=0,"",ABRIL!S254)</f>
        <v>8002100-11</v>
      </c>
      <c r="T254" s="55" t="str">
        <f>+IF(ABRIL!T254=0,"",ABRIL!T254)</f>
        <v>Programas Especial 10</v>
      </c>
      <c r="U254" s="29">
        <f>+ENERO!U254</f>
        <v>0</v>
      </c>
      <c r="V254" s="17">
        <f>ABRIL!V254+MAYO!AL254</f>
        <v>0</v>
      </c>
      <c r="W254" s="17">
        <f>ABRIL!W254+MAYO!AM254</f>
        <v>0</v>
      </c>
      <c r="X254" s="20">
        <f>SUM(U254:W254)</f>
        <v>0</v>
      </c>
      <c r="Y254" s="21">
        <f>ABRIL!AA254</f>
        <v>0</v>
      </c>
      <c r="Z254" s="457">
        <v>0</v>
      </c>
      <c r="AA254" s="20">
        <f>SUM(Y254:Z254)</f>
        <v>0</v>
      </c>
      <c r="AB254" s="21">
        <f>ABRIL!AD254</f>
        <v>0</v>
      </c>
      <c r="AC254" s="457">
        <v>0</v>
      </c>
      <c r="AD254" s="20">
        <f>SUM(AB254:AC254)</f>
        <v>0</v>
      </c>
      <c r="AE254" s="21">
        <f>ABRIL!AG254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+IF(ABRIL!S255=0,"",ABRIL!S255)</f>
        <v>8002100-12</v>
      </c>
      <c r="T255" s="55" t="str">
        <f>+IF(ABRIL!T255=0,"",ABRIL!T255)</f>
        <v>Programas Especial 11</v>
      </c>
      <c r="U255" s="29">
        <f>+ENERO!U255</f>
        <v>0</v>
      </c>
      <c r="V255" s="17">
        <f>ABRIL!V255+MAYO!AL255</f>
        <v>0</v>
      </c>
      <c r="W255" s="17">
        <f>ABRIL!W255+MAYO!AM255</f>
        <v>0</v>
      </c>
      <c r="X255" s="20">
        <f t="shared" si="197"/>
        <v>0</v>
      </c>
      <c r="Y255" s="21">
        <f>ABRIL!AA255</f>
        <v>0</v>
      </c>
      <c r="Z255" s="457">
        <v>0</v>
      </c>
      <c r="AA255" s="20">
        <f t="shared" si="198"/>
        <v>0</v>
      </c>
      <c r="AB255" s="21">
        <f>ABRIL!AD255</f>
        <v>0</v>
      </c>
      <c r="AC255" s="457">
        <v>0</v>
      </c>
      <c r="AD255" s="20">
        <f t="shared" si="199"/>
        <v>0</v>
      </c>
      <c r="AE255" s="21">
        <f>ABRIL!AG255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+IF(ABRIL!S256=0,"",ABRIL!S256)</f>
        <v>8002999</v>
      </c>
      <c r="T256" s="658" t="str">
        <f>+IF(ABRIL!T256=0,"",ABRIL!T256)</f>
        <v>Vigencias Anteriores</v>
      </c>
      <c r="U256" s="160">
        <f>+ENERO!U256</f>
        <v>1563100</v>
      </c>
      <c r="V256" s="143">
        <f>ABRIL!V256+MAYO!AL256</f>
        <v>-1563100</v>
      </c>
      <c r="W256" s="143">
        <f>ABRIL!W256+MAYO!AM256</f>
        <v>0</v>
      </c>
      <c r="X256" s="149">
        <f t="shared" si="197"/>
        <v>0</v>
      </c>
      <c r="Y256" s="147">
        <f>ABRIL!AA256</f>
        <v>0</v>
      </c>
      <c r="Z256" s="475">
        <v>0</v>
      </c>
      <c r="AA256" s="149">
        <f t="shared" si="198"/>
        <v>0</v>
      </c>
      <c r="AB256" s="147">
        <f>ABRIL!AD256</f>
        <v>0</v>
      </c>
      <c r="AC256" s="475">
        <v>0</v>
      </c>
      <c r="AD256" s="149">
        <f t="shared" si="199"/>
        <v>0</v>
      </c>
      <c r="AE256" s="147">
        <f>ABRIL!AG256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+IF(ABRIL!S257=0,"",ABRIL!S257)</f>
        <v/>
      </c>
      <c r="T257" s="357" t="str">
        <f>+IF(ABRIL!T257=0,"",ABRIL!T257)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+IF(ABRIL!S258=0,"",ABRIL!S258)</f>
        <v>E</v>
      </c>
      <c r="T258" s="664" t="str">
        <f>+IF(ABRIL!T258=0,"",ABRIL!T258)</f>
        <v>DISPONIBILIDAD FINAL</v>
      </c>
      <c r="U258" s="415">
        <f>+(C10+C17+C108)-(U10+U207+U220+U232)</f>
        <v>0</v>
      </c>
      <c r="V258" s="415">
        <f t="shared" ref="V258:AJ258" si="204">+(D10+D17+D108)-(V10+V207+V220+V232)</f>
        <v>0</v>
      </c>
      <c r="W258" s="415">
        <f t="shared" si="204"/>
        <v>0</v>
      </c>
      <c r="X258" s="415">
        <f t="shared" si="204"/>
        <v>0</v>
      </c>
      <c r="Y258" s="415">
        <f t="shared" si="204"/>
        <v>307210692</v>
      </c>
      <c r="Z258" s="415">
        <f t="shared" si="204"/>
        <v>37312313</v>
      </c>
      <c r="AA258" s="415">
        <f t="shared" si="204"/>
        <v>344523005</v>
      </c>
      <c r="AB258" s="415">
        <f t="shared" si="204"/>
        <v>55816298</v>
      </c>
      <c r="AC258" s="415">
        <f t="shared" si="204"/>
        <v>-19481223</v>
      </c>
      <c r="AD258" s="415">
        <f t="shared" si="204"/>
        <v>36335075</v>
      </c>
      <c r="AE258" s="415">
        <f t="shared" si="204"/>
        <v>852958626</v>
      </c>
      <c r="AF258" s="415">
        <f t="shared" si="204"/>
        <v>1859884523</v>
      </c>
      <c r="AG258" s="415">
        <f t="shared" si="204"/>
        <v>-1294253048</v>
      </c>
      <c r="AH258" s="415">
        <f t="shared" si="204"/>
        <v>-2193962833</v>
      </c>
      <c r="AI258" s="415">
        <f t="shared" si="204"/>
        <v>-2193991444</v>
      </c>
      <c r="AJ258" s="415">
        <f t="shared" si="204"/>
        <v>-2395771147</v>
      </c>
      <c r="AK258" s="10"/>
      <c r="AL258" s="415">
        <v>0</v>
      </c>
      <c r="AM258" s="416">
        <v>0</v>
      </c>
    </row>
    <row r="259" spans="1:39" ht="17.25" thickBot="1" x14ac:dyDescent="0.25">
      <c r="S259" s="982" t="str">
        <f>+IF(ABRIL!S259=0,"",ABRIL!S259)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135060350</v>
      </c>
      <c r="AF259" s="133">
        <f t="shared" si="205"/>
        <v>4344205</v>
      </c>
      <c r="AG259" s="146">
        <f t="shared" si="205"/>
        <v>139404555</v>
      </c>
      <c r="AH259" s="145">
        <f t="shared" si="205"/>
        <v>466000</v>
      </c>
      <c r="AI259" s="133">
        <f t="shared" si="205"/>
        <v>466000</v>
      </c>
      <c r="AJ259" s="134">
        <f t="shared" si="205"/>
        <v>6514936</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78740157480314965" right="0.59055118110236227" top="0.43307086614173229" bottom="0.39370078740157483" header="0.23622047244094491" footer="0.23622047244094491"/>
  <pageSetup paperSize="5"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0"/>
  <sheetViews>
    <sheetView showGridLines="0" topLeftCell="AA1" zoomScale="90" zoomScaleNormal="90" workbookViewId="0">
      <selection activeCell="AG8" sqref="AG8"/>
    </sheetView>
  </sheetViews>
  <sheetFormatPr baseColWidth="10" defaultColWidth="0" defaultRowHeight="12.75" x14ac:dyDescent="0.2"/>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28.7109375" style="339" customWidth="1"/>
    <col min="65" max="65" width="76" style="339" customWidth="1"/>
    <col min="66" max="66" width="19" style="339" customWidth="1"/>
    <col min="67" max="67" width="16.42578125" style="339" customWidth="1"/>
    <col min="68" max="68" width="14.5703125" style="339" customWidth="1"/>
    <col min="69" max="69" width="17.5703125" style="339" customWidth="1"/>
    <col min="70" max="70" width="11" style="339" customWidth="1"/>
    <col min="71" max="71" width="2.28515625" style="339" customWidth="1"/>
    <col min="72" max="16384" width="11" style="339" hidden="1"/>
  </cols>
  <sheetData>
    <row r="1" spans="1:69" ht="21" thickBot="1" x14ac:dyDescent="0.3">
      <c r="A1" s="957" t="str">
        <f>IF($F$8-$X$8=0," ","OJO: PRESUPUESTO DESEQUILIBRADO")</f>
        <v xml:space="preserve"> </v>
      </c>
      <c r="B1" s="957"/>
      <c r="C1" s="1003"/>
      <c r="D1" s="1003"/>
      <c r="E1" s="1003"/>
      <c r="F1" s="1003"/>
      <c r="G1" s="1003"/>
      <c r="H1" s="1003"/>
      <c r="I1" s="1003"/>
      <c r="J1" s="1003"/>
      <c r="K1" s="958" t="str">
        <f>+IF(L8&gt;I8,"OJO - SUS RECAUDOS SON SUPERIORES A SUS RECONOCIMIENTOS, VERIFIQUE","")</f>
        <v/>
      </c>
      <c r="L1" s="958"/>
      <c r="M1" s="958"/>
      <c r="N1" s="958"/>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x14ac:dyDescent="0.3">
      <c r="A2" s="341"/>
      <c r="B2" s="342" t="s">
        <v>519</v>
      </c>
      <c r="C2" s="343"/>
      <c r="D2" s="967" t="str">
        <f>+IF(F2="","","MUNICIPIO:")</f>
        <v>MUNICIPIO:</v>
      </c>
      <c r="E2" s="967"/>
      <c r="F2" s="344" t="str">
        <f>IF(INSTRUCCIONES!B3=0,"",INSTRUCCIONES!B3)</f>
        <v>CONCORDIA</v>
      </c>
      <c r="G2" s="345"/>
      <c r="H2" s="345"/>
      <c r="I2" s="345"/>
      <c r="J2" s="345"/>
      <c r="K2" s="346"/>
      <c r="L2" s="968" t="s">
        <v>409</v>
      </c>
      <c r="M2" s="941"/>
      <c r="N2" s="347" t="s">
        <v>410</v>
      </c>
      <c r="P2" s="952" t="s">
        <v>501</v>
      </c>
      <c r="Q2" s="953"/>
      <c r="R2" s="348"/>
      <c r="S2" s="63"/>
      <c r="T2" s="342" t="s">
        <v>519</v>
      </c>
      <c r="U2" s="343"/>
      <c r="V2" s="951" t="str">
        <f>+IF(Y2="","","M U N I C I P I O:")</f>
        <v>M U N I C I P I O:</v>
      </c>
      <c r="W2" s="951"/>
      <c r="X2" s="951"/>
      <c r="Y2" s="943" t="str">
        <f>IF(INSTRUCCIONES!B3=0,"",INSTRUCCIONES!B3)</f>
        <v>CONCORDIA</v>
      </c>
      <c r="Z2" s="943"/>
      <c r="AA2" s="943"/>
      <c r="AB2" s="943"/>
      <c r="AC2" s="943"/>
      <c r="AD2" s="943"/>
      <c r="AE2" s="943"/>
      <c r="AF2" s="943"/>
      <c r="AG2" s="944"/>
      <c r="AH2" s="941" t="s">
        <v>409</v>
      </c>
      <c r="AI2" s="942"/>
      <c r="AJ2" s="347" t="s">
        <v>410</v>
      </c>
      <c r="AL2" s="952" t="s">
        <v>501</v>
      </c>
      <c r="AM2" s="953"/>
      <c r="AO2" s="3">
        <v>6</v>
      </c>
      <c r="AP2" s="349" t="s">
        <v>8</v>
      </c>
      <c r="AQ2" s="350"/>
      <c r="AR2" s="4"/>
      <c r="AS2" s="4"/>
      <c r="AT2" s="4"/>
      <c r="AU2" s="4"/>
      <c r="AV2" s="4"/>
      <c r="AW2" s="4"/>
      <c r="AX2" s="4"/>
      <c r="AY2" s="4"/>
      <c r="AZ2" s="5"/>
      <c r="BB2" s="952" t="s">
        <v>423</v>
      </c>
      <c r="BC2" s="969"/>
      <c r="BD2" s="69" t="s">
        <v>409</v>
      </c>
      <c r="BE2" s="347" t="str">
        <f>+L3</f>
        <v>JUNIO</v>
      </c>
      <c r="BF2" s="340"/>
      <c r="BG2" s="952" t="s">
        <v>424</v>
      </c>
      <c r="BH2" s="969"/>
      <c r="BI2" s="969"/>
      <c r="BJ2" s="69" t="s">
        <v>409</v>
      </c>
      <c r="BK2" s="347" t="str">
        <f>+BE2</f>
        <v>JUNIO</v>
      </c>
      <c r="BM2" s="952" t="s">
        <v>424</v>
      </c>
      <c r="BN2" s="969"/>
      <c r="BO2" s="969"/>
      <c r="BP2" s="69" t="s">
        <v>409</v>
      </c>
      <c r="BQ2" s="347" t="str">
        <f>+BK2</f>
        <v>JUNIO</v>
      </c>
    </row>
    <row r="3" spans="1:69" ht="17.25" thickBot="1" x14ac:dyDescent="0.3">
      <c r="A3" s="351"/>
      <c r="B3" s="963" t="s">
        <v>9</v>
      </c>
      <c r="C3" s="352"/>
      <c r="D3" s="999" t="str">
        <f>+IF(F3="","","INSTITUCION")</f>
        <v>INSTITUCION</v>
      </c>
      <c r="E3" s="999"/>
      <c r="F3" s="959" t="str">
        <f>IF(INSTRUCCIONES!B5=0,"",INSTRUCCIONES!B5)</f>
        <v>ESE HOSPITAL SAN JUAN DE DIOS</v>
      </c>
      <c r="G3" s="959"/>
      <c r="H3" s="959"/>
      <c r="I3" s="959"/>
      <c r="J3" s="959"/>
      <c r="K3" s="960"/>
      <c r="L3" s="984" t="s">
        <v>390</v>
      </c>
      <c r="M3" s="985"/>
      <c r="N3" s="965">
        <f>+INSTRUCCIONES!F3</f>
        <v>2014</v>
      </c>
      <c r="P3" s="954" t="s">
        <v>574</v>
      </c>
      <c r="Q3" s="972" t="s">
        <v>581</v>
      </c>
      <c r="R3" s="348"/>
      <c r="S3" s="64"/>
      <c r="T3" s="963" t="s">
        <v>11</v>
      </c>
      <c r="U3" s="353"/>
      <c r="V3" s="931" t="str">
        <f>+IF(Y3="","","E.S.E. H O S P I T A L:")</f>
        <v>E.S.E. H O S P I T A L:</v>
      </c>
      <c r="W3" s="931"/>
      <c r="X3" s="931"/>
      <c r="Y3" s="933" t="str">
        <f>IF(INSTRUCCIONES!B5=0,"",INSTRUCCIONES!B5)</f>
        <v>ESE HOSPITAL SAN JUAN DE DIOS</v>
      </c>
      <c r="Z3" s="933"/>
      <c r="AA3" s="933"/>
      <c r="AB3" s="933"/>
      <c r="AC3" s="933"/>
      <c r="AD3" s="933"/>
      <c r="AE3" s="933"/>
      <c r="AF3" s="933"/>
      <c r="AG3" s="934"/>
      <c r="AH3" s="937" t="str">
        <f>+L3</f>
        <v>JUNIO</v>
      </c>
      <c r="AI3" s="938"/>
      <c r="AJ3" s="929">
        <f>+N3</f>
        <v>2014</v>
      </c>
      <c r="AL3" s="954" t="s">
        <v>582</v>
      </c>
      <c r="AM3" s="972" t="s">
        <v>581</v>
      </c>
      <c r="AO3" s="6"/>
      <c r="AP3" s="354" t="s">
        <v>13</v>
      </c>
      <c r="AQ3" s="355"/>
      <c r="AR3" s="355"/>
      <c r="AS3" s="355"/>
      <c r="AT3" s="355"/>
      <c r="AU3" s="355"/>
      <c r="AV3" s="355"/>
      <c r="AW3" s="355"/>
      <c r="AX3" s="355"/>
      <c r="AY3" s="355"/>
      <c r="AZ3" s="356"/>
      <c r="BB3" s="970" t="str">
        <f>+CONCATENATE(INSTRUCCIONES!B5, " - ", INSTRUCCIONES!B3)</f>
        <v>ESE HOSPITAL SAN JUAN DE DIOS - CONCORDIA</v>
      </c>
      <c r="BC3" s="971"/>
      <c r="BD3" s="70" t="s">
        <v>410</v>
      </c>
      <c r="BE3" s="68">
        <f>+N3</f>
        <v>2014</v>
      </c>
      <c r="BF3" s="7" t="s">
        <v>14</v>
      </c>
      <c r="BG3" s="970" t="str">
        <f>+CONCATENATE(INSTRUCCIONES!B5, " - ", INSTRUCCIONES!B3)</f>
        <v>ESE HOSPITAL SAN JUAN DE DIOS - CONCORDIA</v>
      </c>
      <c r="BH3" s="971"/>
      <c r="BI3" s="971"/>
      <c r="BJ3" s="70" t="s">
        <v>410</v>
      </c>
      <c r="BK3" s="68">
        <f>+BE3</f>
        <v>2014</v>
      </c>
      <c r="BM3" s="970" t="str">
        <f>+CONCATENATE(INSTRUCCIONES!B5, " - ", INSTRUCCIONES!B3)</f>
        <v>ESE HOSPITAL SAN JUAN DE DIOS - CONCORDIA</v>
      </c>
      <c r="BN3" s="971"/>
      <c r="BO3" s="971"/>
      <c r="BP3" s="70" t="s">
        <v>410</v>
      </c>
      <c r="BQ3" s="68">
        <f>+BK3</f>
        <v>2014</v>
      </c>
    </row>
    <row r="4" spans="1:69" ht="16.5" thickBot="1" x14ac:dyDescent="0.25">
      <c r="A4" s="351"/>
      <c r="B4" s="964"/>
      <c r="C4" s="358"/>
      <c r="D4" s="1000"/>
      <c r="E4" s="1000"/>
      <c r="F4" s="961"/>
      <c r="G4" s="961"/>
      <c r="H4" s="961"/>
      <c r="I4" s="961"/>
      <c r="J4" s="961"/>
      <c r="K4" s="962"/>
      <c r="L4" s="986"/>
      <c r="M4" s="987"/>
      <c r="N4" s="966"/>
      <c r="P4" s="955"/>
      <c r="Q4" s="973"/>
      <c r="R4" s="348"/>
      <c r="S4" s="64"/>
      <c r="T4" s="963"/>
      <c r="U4" s="358"/>
      <c r="V4" s="932"/>
      <c r="W4" s="932"/>
      <c r="X4" s="932"/>
      <c r="Y4" s="935"/>
      <c r="Z4" s="935"/>
      <c r="AA4" s="935"/>
      <c r="AB4" s="935"/>
      <c r="AC4" s="935"/>
      <c r="AD4" s="935"/>
      <c r="AE4" s="935"/>
      <c r="AF4" s="935"/>
      <c r="AG4" s="936"/>
      <c r="AH4" s="939"/>
      <c r="AI4" s="940"/>
      <c r="AJ4" s="930"/>
      <c r="AL4" s="955"/>
      <c r="AM4" s="973"/>
      <c r="AO4" s="6"/>
      <c r="AP4" s="359"/>
      <c r="AQ4" s="360" t="s">
        <v>15</v>
      </c>
      <c r="AR4" s="360" t="s">
        <v>16</v>
      </c>
      <c r="AS4" s="360" t="s">
        <v>17</v>
      </c>
      <c r="AT4" s="360" t="s">
        <v>18</v>
      </c>
      <c r="AU4" s="360" t="s">
        <v>18</v>
      </c>
      <c r="AV4" s="361" t="s">
        <v>18</v>
      </c>
      <c r="AW4" s="922" t="str">
        <f>+CONCATENATE("PROYECCION A DICIEMBRE 31 DEL ",N3)</f>
        <v>PROYECCION A DICIEMBRE 31 DEL 2014</v>
      </c>
      <c r="AX4" s="923"/>
      <c r="AY4" s="923"/>
      <c r="AZ4" s="924"/>
      <c r="BB4" s="362"/>
      <c r="BC4" s="363"/>
      <c r="BD4" s="363"/>
      <c r="BE4" s="65"/>
      <c r="BF4" s="8"/>
      <c r="BG4" s="362"/>
      <c r="BH4" s="363"/>
      <c r="BI4" s="363"/>
      <c r="BJ4" s="66"/>
      <c r="BK4" s="364"/>
      <c r="BL4" s="9"/>
      <c r="BM4" s="362"/>
      <c r="BN4" s="365"/>
      <c r="BO4" s="365"/>
      <c r="BP4" s="67"/>
      <c r="BQ4" s="366"/>
    </row>
    <row r="5" spans="1:69" ht="31.5" customHeight="1" thickTop="1" thickBot="1" x14ac:dyDescent="0.3">
      <c r="A5" s="945" t="s">
        <v>19</v>
      </c>
      <c r="B5" s="947" t="s">
        <v>20</v>
      </c>
      <c r="C5" s="988" t="s">
        <v>21</v>
      </c>
      <c r="D5" s="989"/>
      <c r="E5" s="989"/>
      <c r="F5" s="990"/>
      <c r="G5" s="991" t="s">
        <v>578</v>
      </c>
      <c r="H5" s="992"/>
      <c r="I5" s="993"/>
      <c r="J5" s="994" t="str">
        <f>+IF(L8&gt;I8,"OJO - RECAUDOS MAYORES QUE RECONOCIMIENTOS","RECAUDO")</f>
        <v>RECAUDO</v>
      </c>
      <c r="K5" s="995"/>
      <c r="L5" s="996"/>
      <c r="M5" s="997" t="s">
        <v>23</v>
      </c>
      <c r="N5" s="998"/>
      <c r="P5" s="956"/>
      <c r="Q5" s="974"/>
      <c r="R5" s="348"/>
      <c r="S5" s="949" t="s">
        <v>520</v>
      </c>
      <c r="T5" s="1001" t="s">
        <v>20</v>
      </c>
      <c r="U5" s="367" t="s">
        <v>21</v>
      </c>
      <c r="V5" s="368"/>
      <c r="W5" s="368"/>
      <c r="X5" s="369"/>
      <c r="Y5" s="926" t="s">
        <v>579</v>
      </c>
      <c r="Z5" s="927"/>
      <c r="AA5" s="928"/>
      <c r="AB5" s="926" t="s">
        <v>580</v>
      </c>
      <c r="AC5" s="927"/>
      <c r="AD5" s="928"/>
      <c r="AE5" s="926" t="s">
        <v>24</v>
      </c>
      <c r="AF5" s="927"/>
      <c r="AG5" s="928"/>
      <c r="AH5" s="926" t="s">
        <v>25</v>
      </c>
      <c r="AI5" s="927"/>
      <c r="AJ5" s="928"/>
      <c r="AL5" s="956"/>
      <c r="AM5" s="974"/>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1007" t="s">
        <v>386</v>
      </c>
      <c r="BG5" s="689" t="s">
        <v>34</v>
      </c>
      <c r="BH5" s="977" t="str">
        <f>+CONCATENATE("ACUMULADO ",N3)</f>
        <v>ACUMULADO 2014</v>
      </c>
      <c r="BI5" s="978"/>
      <c r="BJ5" s="978"/>
      <c r="BK5" s="1004"/>
      <c r="BL5" s="1005" t="s">
        <v>387</v>
      </c>
      <c r="BM5" s="975" t="s">
        <v>34</v>
      </c>
      <c r="BN5" s="379" t="str">
        <f>+CONCATENATE("ACUMULADO ",BQ3)</f>
        <v>ACUMULADO 2014</v>
      </c>
      <c r="BO5" s="380"/>
      <c r="BP5" s="381"/>
      <c r="BQ5" s="690"/>
    </row>
    <row r="6" spans="1:69" ht="15.75" thickBot="1" x14ac:dyDescent="0.25">
      <c r="A6" s="946"/>
      <c r="B6" s="948"/>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0" t="s">
        <v>44</v>
      </c>
      <c r="T6" s="1002"/>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JUNIO</v>
      </c>
      <c r="AS6" s="387" t="str">
        <f>AR6</f>
        <v>JUNIO</v>
      </c>
      <c r="AT6" s="387" t="str">
        <f>AR6</f>
        <v>JUNIO</v>
      </c>
      <c r="AU6" s="387" t="s">
        <v>16</v>
      </c>
      <c r="AV6" s="387" t="s">
        <v>31</v>
      </c>
      <c r="AW6" s="387"/>
      <c r="AX6" s="387"/>
      <c r="AY6" s="387" t="s">
        <v>16</v>
      </c>
      <c r="AZ6" s="388" t="s">
        <v>31</v>
      </c>
      <c r="BB6" s="389"/>
      <c r="BC6" s="390" t="s">
        <v>47</v>
      </c>
      <c r="BD6" s="391" t="s">
        <v>48</v>
      </c>
      <c r="BE6" s="392" t="s">
        <v>49</v>
      </c>
      <c r="BF6" s="1008"/>
      <c r="BG6" s="691"/>
      <c r="BH6" s="692" t="s">
        <v>47</v>
      </c>
      <c r="BI6" s="692" t="s">
        <v>50</v>
      </c>
      <c r="BJ6" s="692" t="s">
        <v>51</v>
      </c>
      <c r="BK6" s="693" t="s">
        <v>52</v>
      </c>
      <c r="BL6" s="1006"/>
      <c r="BM6" s="976"/>
      <c r="BN6" s="396" t="s">
        <v>47</v>
      </c>
      <c r="BO6" s="394" t="s">
        <v>50</v>
      </c>
      <c r="BP6" s="394" t="s">
        <v>51</v>
      </c>
      <c r="BQ6" s="395" t="s">
        <v>52</v>
      </c>
    </row>
    <row r="7" spans="1:69" s="10" customFormat="1" ht="16.5" thickBot="1" x14ac:dyDescent="0.3">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235438278</v>
      </c>
      <c r="AR7" s="401">
        <f>I22</f>
        <v>189546435</v>
      </c>
      <c r="AS7" s="401">
        <f>L22</f>
        <v>56405086</v>
      </c>
      <c r="AT7" s="15"/>
      <c r="AU7" s="402">
        <f t="shared" ref="AU7:AU17" si="0">IF(AQ7=0," ",AR7/AQ7)</f>
        <v>0.8050790916844881</v>
      </c>
      <c r="AV7" s="402">
        <f t="shared" ref="AV7:AV17" si="1">IF(AQ7=0," ",AS7/AQ7)</f>
        <v>0.23957483243230313</v>
      </c>
      <c r="AW7" s="401">
        <f>I23/AO$2*12+I24</f>
        <v>333314553</v>
      </c>
      <c r="AX7" s="401">
        <f>L23/AO$2*12+L24</f>
        <v>67031855</v>
      </c>
      <c r="AY7" s="401">
        <f t="shared" ref="AY7:AY16" si="2">AW7-AQ7</f>
        <v>97876275</v>
      </c>
      <c r="AZ7" s="403">
        <f t="shared" ref="AZ7:AZ16" si="3">AX7-AQ7</f>
        <v>-168406423</v>
      </c>
      <c r="BB7" s="404" t="s">
        <v>55</v>
      </c>
      <c r="BC7" s="72">
        <f>F10</f>
        <v>133074115</v>
      </c>
      <c r="BD7" s="73">
        <f>I10</f>
        <v>133074115</v>
      </c>
      <c r="BE7" s="74">
        <f>K10</f>
        <v>0</v>
      </c>
      <c r="BF7" s="71">
        <f>MARZO!BF7+ABRIL!BE7+MAYO!BE7+JUNIO!BE7</f>
        <v>133074115</v>
      </c>
      <c r="BG7" s="109" t="s">
        <v>56</v>
      </c>
      <c r="BH7" s="135">
        <f>+SUM(BH8:BH11)</f>
        <v>3095428778</v>
      </c>
      <c r="BI7" s="135">
        <f>+SUM(BI8:BI11)</f>
        <v>1396651991</v>
      </c>
      <c r="BJ7" s="135">
        <f>+SUM(BJ8:BJ11)</f>
        <v>1396651989</v>
      </c>
      <c r="BK7" s="135">
        <f>+SUM(BK8:BK11)</f>
        <v>150283934</v>
      </c>
      <c r="BL7" s="44">
        <f>+BK7+MAYO!BK7+ABRIL!BK7+MARZO!BL7</f>
        <v>1207031067</v>
      </c>
      <c r="BM7" s="79" t="s">
        <v>56</v>
      </c>
      <c r="BN7" s="80">
        <f>BN8+BN15+BN22</f>
        <v>3095428778</v>
      </c>
      <c r="BO7" s="81">
        <f>BO8+BO15+BO22</f>
        <v>1396651991</v>
      </c>
      <c r="BP7" s="81">
        <f>BP8+BP15+BP22</f>
        <v>1396651989</v>
      </c>
      <c r="BQ7" s="82">
        <f>BQ8+BQ15+BQ22</f>
        <v>150283934</v>
      </c>
    </row>
    <row r="8" spans="1:69" s="10" customFormat="1" ht="24" thickBot="1" x14ac:dyDescent="0.3">
      <c r="A8" s="405">
        <f>+IF(MAYO!A8=0,"",MAYO!A8)</f>
        <v>1</v>
      </c>
      <c r="B8" s="670" t="str">
        <f>+IF(MAYO!B8=0,"",MAYO!B8)</f>
        <v>INGRESOS</v>
      </c>
      <c r="C8" s="407">
        <f>C10+C17+C108</f>
        <v>3631501012</v>
      </c>
      <c r="D8" s="407">
        <f t="shared" ref="D8:N8" si="4">D10+D17+D108</f>
        <v>0</v>
      </c>
      <c r="E8" s="407">
        <f t="shared" si="4"/>
        <v>58523183</v>
      </c>
      <c r="F8" s="407">
        <f t="shared" si="4"/>
        <v>3690024195</v>
      </c>
      <c r="G8" s="407">
        <f t="shared" si="4"/>
        <v>1840584367</v>
      </c>
      <c r="H8" s="407">
        <f t="shared" si="4"/>
        <v>320547922</v>
      </c>
      <c r="I8" s="407">
        <f t="shared" si="4"/>
        <v>2161132289</v>
      </c>
      <c r="J8" s="407">
        <f t="shared" si="4"/>
        <v>1532367826</v>
      </c>
      <c r="K8" s="407">
        <f t="shared" si="4"/>
        <v>248661077</v>
      </c>
      <c r="L8" s="407">
        <f t="shared" si="4"/>
        <v>1781028903</v>
      </c>
      <c r="M8" s="407">
        <f t="shared" si="4"/>
        <v>1528891906</v>
      </c>
      <c r="N8" s="408">
        <f t="shared" si="4"/>
        <v>1908995292</v>
      </c>
      <c r="O8" s="409"/>
      <c r="P8" s="410">
        <f>P10+P17+P108</f>
        <v>0</v>
      </c>
      <c r="Q8" s="408">
        <f>Q10+Q17+Q108</f>
        <v>0</v>
      </c>
      <c r="S8" s="206" t="str">
        <f>+IF(MAYO!S8=0,"",MAYO!S8)</f>
        <v/>
      </c>
      <c r="T8" s="411" t="str">
        <f>+IF(MAYO!T8=0,"",MAYO!T8)</f>
        <v>GASTOS</v>
      </c>
      <c r="U8" s="412">
        <f t="shared" ref="U8:AM8" si="5">U10+U207+U220+U232</f>
        <v>3631501012</v>
      </c>
      <c r="V8" s="413">
        <f t="shared" si="5"/>
        <v>0</v>
      </c>
      <c r="W8" s="413">
        <f t="shared" si="5"/>
        <v>58523183</v>
      </c>
      <c r="X8" s="414">
        <f t="shared" si="5"/>
        <v>3690024195</v>
      </c>
      <c r="Y8" s="415">
        <f t="shared" si="5"/>
        <v>1496061362</v>
      </c>
      <c r="Z8" s="413">
        <f t="shared" si="5"/>
        <v>276666349</v>
      </c>
      <c r="AA8" s="414">
        <f t="shared" si="5"/>
        <v>1772727711</v>
      </c>
      <c r="AB8" s="415">
        <f t="shared" si="5"/>
        <v>1496032751</v>
      </c>
      <c r="AC8" s="413">
        <f t="shared" si="5"/>
        <v>276667947</v>
      </c>
      <c r="AD8" s="414">
        <f t="shared" si="5"/>
        <v>1772700698</v>
      </c>
      <c r="AE8" s="415">
        <f t="shared" si="5"/>
        <v>1294253048</v>
      </c>
      <c r="AF8" s="413">
        <f t="shared" si="5"/>
        <v>186488014</v>
      </c>
      <c r="AG8" s="414">
        <f t="shared" si="5"/>
        <v>1480741062</v>
      </c>
      <c r="AH8" s="415">
        <f t="shared" si="5"/>
        <v>1917296484</v>
      </c>
      <c r="AI8" s="413">
        <f t="shared" si="5"/>
        <v>1917323497</v>
      </c>
      <c r="AJ8" s="416">
        <f t="shared" si="5"/>
        <v>2209283133</v>
      </c>
      <c r="AL8" s="417">
        <f t="shared" si="5"/>
        <v>0</v>
      </c>
      <c r="AM8" s="418">
        <f t="shared" si="5"/>
        <v>0</v>
      </c>
      <c r="AO8" s="23"/>
      <c r="AP8" s="13" t="s">
        <v>58</v>
      </c>
      <c r="AQ8" s="14">
        <f>F25</f>
        <v>2553198704</v>
      </c>
      <c r="AR8" s="14">
        <f>I25</f>
        <v>1428796584</v>
      </c>
      <c r="AS8" s="14">
        <f>L25</f>
        <v>1231809727</v>
      </c>
      <c r="AT8" s="15"/>
      <c r="AU8" s="419">
        <f t="shared" si="0"/>
        <v>0.55961041409019918</v>
      </c>
      <c r="AV8" s="419">
        <f t="shared" si="1"/>
        <v>0.48245744644557831</v>
      </c>
      <c r="AW8" s="14">
        <f>I26/AO$2*12+I27</f>
        <v>2649193501</v>
      </c>
      <c r="AX8" s="14">
        <f>L26/AO$2*12+L27</f>
        <v>2255219787</v>
      </c>
      <c r="AY8" s="14">
        <f t="shared" si="2"/>
        <v>95994797</v>
      </c>
      <c r="AZ8" s="420">
        <f t="shared" si="3"/>
        <v>-297978917</v>
      </c>
      <c r="BB8" s="167" t="s">
        <v>59</v>
      </c>
      <c r="BC8" s="83">
        <f>BC9+BC19</f>
        <v>3390927588</v>
      </c>
      <c r="BD8" s="84">
        <f>BD9+BD19</f>
        <v>1719091960</v>
      </c>
      <c r="BE8" s="85">
        <f>BE9+BE19</f>
        <v>211733272</v>
      </c>
      <c r="BF8" s="71">
        <f>MARZO!BF8+ABRIL!BE8+MAYO!BE8+JUNIO!BE8</f>
        <v>1338988574</v>
      </c>
      <c r="BG8" s="86" t="s">
        <v>60</v>
      </c>
      <c r="BH8" s="87">
        <f>BN9+BN13</f>
        <v>2162482035</v>
      </c>
      <c r="BI8" s="87">
        <f>BO9+BO13</f>
        <v>977153442</v>
      </c>
      <c r="BJ8" s="87">
        <f>BP9+BP13</f>
        <v>977153442</v>
      </c>
      <c r="BK8" s="87">
        <f>BQ9+BQ13</f>
        <v>92901832</v>
      </c>
      <c r="BL8" s="44">
        <f>+BK8+MAYO!BK8+ABRIL!BK8+MARZO!BL8</f>
        <v>878883199</v>
      </c>
      <c r="BM8" s="89" t="s">
        <v>61</v>
      </c>
      <c r="BN8" s="90">
        <f>BN9+BN14+BN13</f>
        <v>2338916990</v>
      </c>
      <c r="BO8" s="87">
        <f>BO9+BO14+BO13</f>
        <v>1028702192</v>
      </c>
      <c r="BP8" s="87">
        <f>BP9+BP14+BP13</f>
        <v>1028702192</v>
      </c>
      <c r="BQ8" s="88">
        <f>BQ9+BQ14+BQ13</f>
        <v>102716420</v>
      </c>
    </row>
    <row r="9" spans="1:69" s="10" customFormat="1" ht="20.25" thickBot="1" x14ac:dyDescent="0.3">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1100000</v>
      </c>
      <c r="AR9" s="14">
        <f>I28+I75</f>
        <v>32860005</v>
      </c>
      <c r="AS9" s="14">
        <f>L28+L75</f>
        <v>32860005</v>
      </c>
      <c r="AT9" s="15"/>
      <c r="AU9" s="429">
        <f t="shared" si="0"/>
        <v>29.872731818181819</v>
      </c>
      <c r="AV9" s="429">
        <f t="shared" si="1"/>
        <v>29.872731818181819</v>
      </c>
      <c r="AW9" s="430">
        <f>(I30+I33+I36+I76)/AO$2*12+I31+I34+I37+I38+I39+I40+I77</f>
        <v>65720010</v>
      </c>
      <c r="AX9" s="430">
        <f>(L30+L33+L36+L76)/AO$2*12+L31+L34+L37+L38+L39+L40+L77</f>
        <v>65720010</v>
      </c>
      <c r="AY9" s="430">
        <f t="shared" si="2"/>
        <v>64620010</v>
      </c>
      <c r="AZ9" s="431">
        <f t="shared" si="3"/>
        <v>64620010</v>
      </c>
      <c r="BB9" s="432" t="s">
        <v>456</v>
      </c>
      <c r="BC9" s="91">
        <f>BC10+BC18</f>
        <v>3275748559</v>
      </c>
      <c r="BD9" s="92">
        <f>BD10+BD18</f>
        <v>1639457360</v>
      </c>
      <c r="BE9" s="93">
        <f>BE10+BE18</f>
        <v>207534808</v>
      </c>
      <c r="BF9" s="71">
        <f>MARZO!BF9+ABRIL!BE9+MAYO!BE9+JUNIO!BE9</f>
        <v>1259353974</v>
      </c>
      <c r="BG9" s="95" t="s">
        <v>64</v>
      </c>
      <c r="BH9" s="96">
        <f t="shared" ref="BH9:BK10" si="6">BN14</f>
        <v>176434955</v>
      </c>
      <c r="BI9" s="96">
        <f t="shared" si="6"/>
        <v>51548750</v>
      </c>
      <c r="BJ9" s="96">
        <f t="shared" si="6"/>
        <v>51548750</v>
      </c>
      <c r="BK9" s="96">
        <f t="shared" si="6"/>
        <v>9814588</v>
      </c>
      <c r="BL9" s="44">
        <f>+BK9+MAYO!BK9+ABRIL!BK9+MARZO!BL9</f>
        <v>43281019</v>
      </c>
      <c r="BM9" s="164" t="s">
        <v>65</v>
      </c>
      <c r="BN9" s="98">
        <f>SUM(BN10:BN12)</f>
        <v>1595742067</v>
      </c>
      <c r="BO9" s="96">
        <f>SUM(BO10:BO12)</f>
        <v>709792453</v>
      </c>
      <c r="BP9" s="96">
        <f>SUM(BP10:BP12)</f>
        <v>709792453</v>
      </c>
      <c r="BQ9" s="97">
        <f>SUM(BQ10:BQ12)</f>
        <v>73631132</v>
      </c>
    </row>
    <row r="10" spans="1:69" s="10" customFormat="1" ht="19.5" x14ac:dyDescent="0.25">
      <c r="A10" s="433">
        <f>+IF(MAYO!A10=0,"",MAYO!A10)</f>
        <v>10</v>
      </c>
      <c r="B10" s="434" t="str">
        <f>+IF(MAYO!B10=0,"",MAYO!B10)</f>
        <v>DISPONIBILIDAD INICIAL</v>
      </c>
      <c r="C10" s="215">
        <f t="shared" ref="C10:N10" si="7">SUM(C12:C15)</f>
        <v>100000000</v>
      </c>
      <c r="D10" s="435">
        <f t="shared" si="7"/>
        <v>0</v>
      </c>
      <c r="E10" s="435">
        <f t="shared" si="7"/>
        <v>33074115</v>
      </c>
      <c r="F10" s="216">
        <f t="shared" si="7"/>
        <v>133074115</v>
      </c>
      <c r="G10" s="436">
        <f t="shared" si="7"/>
        <v>133074115</v>
      </c>
      <c r="H10" s="435">
        <f t="shared" si="7"/>
        <v>0</v>
      </c>
      <c r="I10" s="437">
        <f t="shared" si="7"/>
        <v>133074115</v>
      </c>
      <c r="J10" s="215">
        <f t="shared" si="7"/>
        <v>133074115</v>
      </c>
      <c r="K10" s="435">
        <f t="shared" si="7"/>
        <v>0</v>
      </c>
      <c r="L10" s="216">
        <f t="shared" si="7"/>
        <v>133074115</v>
      </c>
      <c r="M10" s="215">
        <f t="shared" si="7"/>
        <v>0</v>
      </c>
      <c r="N10" s="216">
        <f t="shared" si="7"/>
        <v>0</v>
      </c>
      <c r="O10" s="15"/>
      <c r="P10" s="215">
        <f>SUM(P12:P15)</f>
        <v>0</v>
      </c>
      <c r="Q10" s="216">
        <f>SUM(Q12:Q15)</f>
        <v>0</v>
      </c>
      <c r="S10" s="438" t="str">
        <f>+IF(MAYO!S10=0,"",MAYO!S10)</f>
        <v>A</v>
      </c>
      <c r="T10" s="439" t="str">
        <f>+IF(MAYO!T10=0,"",MAYO!T10)</f>
        <v>GASTOS DE FUNCIONAMIENTO</v>
      </c>
      <c r="U10" s="440">
        <f t="shared" ref="U10:AJ10" si="8">U12+U110+U170+U193</f>
        <v>3509937912</v>
      </c>
      <c r="V10" s="441">
        <f t="shared" si="8"/>
        <v>1563100</v>
      </c>
      <c r="W10" s="441">
        <f t="shared" si="8"/>
        <v>58523183</v>
      </c>
      <c r="X10" s="444">
        <f t="shared" si="8"/>
        <v>3570024195</v>
      </c>
      <c r="Y10" s="443">
        <f t="shared" si="8"/>
        <v>1421655394</v>
      </c>
      <c r="Z10" s="441">
        <f t="shared" si="8"/>
        <v>255777856</v>
      </c>
      <c r="AA10" s="444">
        <f t="shared" si="8"/>
        <v>1677433250</v>
      </c>
      <c r="AB10" s="443">
        <f t="shared" si="8"/>
        <v>1421626783</v>
      </c>
      <c r="AC10" s="441">
        <f t="shared" si="8"/>
        <v>255779454</v>
      </c>
      <c r="AD10" s="444">
        <f t="shared" si="8"/>
        <v>1677406237</v>
      </c>
      <c r="AE10" s="443">
        <f t="shared" si="8"/>
        <v>1238972572</v>
      </c>
      <c r="AF10" s="441">
        <f t="shared" si="8"/>
        <v>169178522</v>
      </c>
      <c r="AG10" s="444">
        <f t="shared" si="8"/>
        <v>1408151094</v>
      </c>
      <c r="AH10" s="443">
        <f t="shared" si="8"/>
        <v>1892590945</v>
      </c>
      <c r="AI10" s="441">
        <f t="shared" si="8"/>
        <v>1892617958</v>
      </c>
      <c r="AJ10" s="442">
        <f t="shared" si="8"/>
        <v>2161873101</v>
      </c>
      <c r="AL10" s="445">
        <f>AL12+AL110+AL170+AL193</f>
        <v>0</v>
      </c>
      <c r="AM10" s="446">
        <f>AM12+AM110+AM170+AM193</f>
        <v>0</v>
      </c>
      <c r="AO10" s="428"/>
      <c r="AP10" s="13" t="s">
        <v>67</v>
      </c>
      <c r="AQ10" s="14">
        <f>F42</f>
        <v>125397398</v>
      </c>
      <c r="AR10" s="14">
        <f>I42</f>
        <v>50189259</v>
      </c>
      <c r="AS10" s="14">
        <f>L42</f>
        <v>32886108</v>
      </c>
      <c r="AT10" s="15"/>
      <c r="AU10" s="429">
        <f t="shared" si="0"/>
        <v>0.40024163021309261</v>
      </c>
      <c r="AV10" s="429">
        <f t="shared" si="1"/>
        <v>0.26225510676066821</v>
      </c>
      <c r="AW10" s="430">
        <f>I43/AO$2*12+I44</f>
        <v>100378518</v>
      </c>
      <c r="AX10" s="430">
        <f>L43/AO$2*12+L44</f>
        <v>65772216</v>
      </c>
      <c r="AY10" s="430">
        <f t="shared" si="2"/>
        <v>-25018880</v>
      </c>
      <c r="AZ10" s="431">
        <f t="shared" si="3"/>
        <v>-59625182</v>
      </c>
      <c r="BB10" s="447" t="s">
        <v>457</v>
      </c>
      <c r="BC10" s="91">
        <f>BC11+BC12+BC13+BC14+BC16+BC17+BC15</f>
        <v>3023223118</v>
      </c>
      <c r="BD10" s="92">
        <f>BD11+BD12+BD13+BD14+BD16+BD17+BD15</f>
        <v>1513194639</v>
      </c>
      <c r="BE10" s="93">
        <f>BE11+BE12+BE13+BE14+BE16+BE17+BE15</f>
        <v>186491021</v>
      </c>
      <c r="BF10" s="71">
        <f>MARZO!BF10+ABRIL!BE10+MAYO!BE10+JUNIO!BE10</f>
        <v>1133091253</v>
      </c>
      <c r="BG10" s="86" t="s">
        <v>68</v>
      </c>
      <c r="BH10" s="99">
        <f t="shared" si="6"/>
        <v>558744299</v>
      </c>
      <c r="BI10" s="99">
        <f t="shared" si="6"/>
        <v>303362563</v>
      </c>
      <c r="BJ10" s="99">
        <f t="shared" si="6"/>
        <v>303362561</v>
      </c>
      <c r="BK10" s="99">
        <f t="shared" si="6"/>
        <v>43272387</v>
      </c>
      <c r="BL10" s="44">
        <f>+BK10+MAYO!BK10+ABRIL!BK10+MARZO!BL10</f>
        <v>227339520</v>
      </c>
      <c r="BM10" s="161" t="s">
        <v>470</v>
      </c>
      <c r="BN10" s="101">
        <f>X17+X66</f>
        <v>1269481968</v>
      </c>
      <c r="BO10" s="99">
        <f>AA17+AA66</f>
        <v>630466009</v>
      </c>
      <c r="BP10" s="99">
        <f>AD17+AD66</f>
        <v>630466009</v>
      </c>
      <c r="BQ10" s="100">
        <f>AF17+AF66</f>
        <v>61658022</v>
      </c>
    </row>
    <row r="11" spans="1:69" s="10" customFormat="1" ht="25.5" x14ac:dyDescent="0.2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0.5</v>
      </c>
      <c r="AU11" s="429" t="str">
        <f t="shared" si="0"/>
        <v xml:space="preserve"> </v>
      </c>
      <c r="AV11" s="429" t="str">
        <f t="shared" si="1"/>
        <v xml:space="preserve"> </v>
      </c>
      <c r="AW11" s="430">
        <f>I88</f>
        <v>0</v>
      </c>
      <c r="AX11" s="430">
        <f>L88</f>
        <v>0</v>
      </c>
      <c r="AY11" s="430">
        <f t="shared" si="2"/>
        <v>0</v>
      </c>
      <c r="AZ11" s="431">
        <f t="shared" si="3"/>
        <v>0</v>
      </c>
      <c r="BB11" s="447" t="s">
        <v>458</v>
      </c>
      <c r="BC11" s="91">
        <f>F26</f>
        <v>2490198704</v>
      </c>
      <c r="BD11" s="92">
        <f>I26</f>
        <v>1220396917</v>
      </c>
      <c r="BE11" s="93">
        <f>K26</f>
        <v>169160774</v>
      </c>
      <c r="BF11" s="71">
        <f>MARZO!BF11+ABRIL!BE11+MAYO!BE11+JUNIO!BE11</f>
        <v>1023410060</v>
      </c>
      <c r="BG11" s="86" t="s">
        <v>69</v>
      </c>
      <c r="BH11" s="102">
        <f>BN22</f>
        <v>197767489</v>
      </c>
      <c r="BI11" s="102">
        <f>BO22</f>
        <v>64587236</v>
      </c>
      <c r="BJ11" s="102">
        <f>BP22</f>
        <v>64587236</v>
      </c>
      <c r="BK11" s="102">
        <f>BQ22</f>
        <v>4295127</v>
      </c>
      <c r="BL11" s="44">
        <f>+BK11+MAYO!BK11+ABRIL!BK11+MARZO!BL11</f>
        <v>57527329</v>
      </c>
      <c r="BM11" s="162" t="s">
        <v>471</v>
      </c>
      <c r="BN11" s="104">
        <f>X18+X67</f>
        <v>136976782</v>
      </c>
      <c r="BO11" s="102">
        <f>AA18+AA67</f>
        <v>50300304</v>
      </c>
      <c r="BP11" s="102">
        <f>AD18+AD67</f>
        <v>50300304</v>
      </c>
      <c r="BQ11" s="103">
        <f>AF18+AF67</f>
        <v>8797217</v>
      </c>
    </row>
    <row r="12" spans="1:69" s="10" customFormat="1" ht="25.5" x14ac:dyDescent="0.25">
      <c r="A12" s="203">
        <f>+IF(MAYO!A12=0,"",MAYO!A12)</f>
        <v>1001</v>
      </c>
      <c r="B12" s="251" t="str">
        <f>+IF(MAYO!B12=0,"",MAYO!B12)</f>
        <v>Bienestar Social (Caja, Bancos, Inversiones Tempor.) a Dic-31-2013</v>
      </c>
      <c r="C12" s="283">
        <f>+ENERO!C12</f>
        <v>0</v>
      </c>
      <c r="D12" s="456">
        <f>MAYO!D12+JUNIO!P12</f>
        <v>0</v>
      </c>
      <c r="E12" s="456">
        <f>MAYO!E12+JUNIO!Q12</f>
        <v>0</v>
      </c>
      <c r="F12" s="170">
        <f>SUM(C12:E12)</f>
        <v>0</v>
      </c>
      <c r="G12" s="283">
        <f>MAYO!I12</f>
        <v>0</v>
      </c>
      <c r="H12" s="154">
        <v>0</v>
      </c>
      <c r="I12" s="170">
        <f>SUM(G12:H12)</f>
        <v>0</v>
      </c>
      <c r="J12" s="283">
        <f>MAYO!L12</f>
        <v>0</v>
      </c>
      <c r="K12" s="154">
        <v>0</v>
      </c>
      <c r="L12" s="170">
        <f>SUM(J12:K12)</f>
        <v>0</v>
      </c>
      <c r="M12" s="283">
        <f>F12-I12</f>
        <v>0</v>
      </c>
      <c r="N12" s="170">
        <f>F12-L12</f>
        <v>0</v>
      </c>
      <c r="O12" s="365"/>
      <c r="P12" s="455">
        <v>0</v>
      </c>
      <c r="Q12" s="458">
        <v>0</v>
      </c>
      <c r="S12" s="459">
        <f>+IF(MAYO!S12=0,"",MAYO!S12)</f>
        <v>1000000</v>
      </c>
      <c r="T12" s="460" t="str">
        <f>+IF(MAYO!T12=0,"",MAYO!T12)</f>
        <v>GASTOS DE PERSONAL</v>
      </c>
      <c r="U12" s="461">
        <f t="shared" ref="U12:AJ12" si="9">U14+U63</f>
        <v>2360005696</v>
      </c>
      <c r="V12" s="462">
        <f t="shared" si="9"/>
        <v>0</v>
      </c>
      <c r="W12" s="462">
        <f t="shared" si="9"/>
        <v>19989110</v>
      </c>
      <c r="X12" s="463">
        <f t="shared" si="9"/>
        <v>2379994806</v>
      </c>
      <c r="Y12" s="445">
        <f t="shared" si="9"/>
        <v>913772515</v>
      </c>
      <c r="Z12" s="462">
        <f t="shared" si="9"/>
        <v>155542493</v>
      </c>
      <c r="AA12" s="463">
        <f t="shared" si="9"/>
        <v>1069315008</v>
      </c>
      <c r="AB12" s="445">
        <f t="shared" si="9"/>
        <v>913770915</v>
      </c>
      <c r="AC12" s="462">
        <f t="shared" si="9"/>
        <v>155544093</v>
      </c>
      <c r="AD12" s="463">
        <f t="shared" si="9"/>
        <v>1069315008</v>
      </c>
      <c r="AE12" s="445">
        <f t="shared" si="9"/>
        <v>859526166</v>
      </c>
      <c r="AF12" s="462">
        <f t="shared" si="9"/>
        <v>102716420</v>
      </c>
      <c r="AG12" s="463">
        <f t="shared" si="9"/>
        <v>962242586</v>
      </c>
      <c r="AH12" s="445">
        <f t="shared" si="9"/>
        <v>1310679798</v>
      </c>
      <c r="AI12" s="462">
        <f t="shared" si="9"/>
        <v>1310679798</v>
      </c>
      <c r="AJ12" s="446">
        <f t="shared" si="9"/>
        <v>1417752220</v>
      </c>
      <c r="AK12" s="12"/>
      <c r="AL12" s="464">
        <f>AL14+AL63</f>
        <v>0</v>
      </c>
      <c r="AM12" s="465">
        <f>AM14+AM63</f>
        <v>0</v>
      </c>
      <c r="AO12" s="453"/>
      <c r="AP12" s="729" t="s">
        <v>593</v>
      </c>
      <c r="AQ12" s="14">
        <f>F89</f>
        <v>0</v>
      </c>
      <c r="AR12" s="14">
        <f>I89</f>
        <v>0</v>
      </c>
      <c r="AS12" s="14">
        <f>L89</f>
        <v>0</v>
      </c>
      <c r="AT12" s="15"/>
      <c r="AU12" s="429" t="str">
        <f t="shared" si="0"/>
        <v xml:space="preserve"> </v>
      </c>
      <c r="AV12" s="429" t="str">
        <f t="shared" si="1"/>
        <v xml:space="preserve"> </v>
      </c>
      <c r="AW12" s="430">
        <f>I89</f>
        <v>0</v>
      </c>
      <c r="AX12" s="430">
        <f>L89</f>
        <v>0</v>
      </c>
      <c r="AY12" s="430">
        <f t="shared" si="2"/>
        <v>0</v>
      </c>
      <c r="AZ12" s="431">
        <f t="shared" si="3"/>
        <v>0</v>
      </c>
      <c r="BB12" s="447" t="s">
        <v>459</v>
      </c>
      <c r="BC12" s="91">
        <f>F23</f>
        <v>190033939</v>
      </c>
      <c r="BD12" s="92">
        <f>I23</f>
        <v>143768118</v>
      </c>
      <c r="BE12" s="93">
        <f>K23</f>
        <v>6814145</v>
      </c>
      <c r="BF12" s="71">
        <f>MARZO!BF12+ABRIL!BE12+MAYO!BE12+JUNIO!BE12</f>
        <v>10626769</v>
      </c>
      <c r="BG12" s="466" t="s">
        <v>412</v>
      </c>
      <c r="BH12" s="102">
        <f>BN25</f>
        <v>328675926</v>
      </c>
      <c r="BI12" s="102">
        <f>BO25</f>
        <v>135327768</v>
      </c>
      <c r="BJ12" s="102">
        <f>BP25</f>
        <v>135300757</v>
      </c>
      <c r="BK12" s="102">
        <f>BQ25</f>
        <v>18894588</v>
      </c>
      <c r="BL12" s="44">
        <f>+BK12+MAYO!BK12+ABRIL!BK12+MARZO!BL12</f>
        <v>61715472</v>
      </c>
      <c r="BM12" s="163" t="s">
        <v>472</v>
      </c>
      <c r="BN12" s="104">
        <f>X16+X65-X81-X33-BN10-BN11</f>
        <v>189283317</v>
      </c>
      <c r="BO12" s="102">
        <f>AA16+AA65-AA81-AA33-BO10-BO11</f>
        <v>29026140</v>
      </c>
      <c r="BP12" s="102">
        <f>AD16+AD65-AD81-AD33-BP10-BP11</f>
        <v>29026140</v>
      </c>
      <c r="BQ12" s="103">
        <f>AF16+AF65-AF81-AF33-BQ10-BQ11</f>
        <v>3175893</v>
      </c>
    </row>
    <row r="13" spans="1:69" s="10" customFormat="1" ht="25.5" x14ac:dyDescent="0.25">
      <c r="A13" s="203">
        <f>+IF(MAYO!A13=0,"",MAYO!A13)</f>
        <v>1002</v>
      </c>
      <c r="B13" s="251" t="str">
        <f>+IF(MAYO!B13=0,"",MAYO!B13)</f>
        <v>Fondo Vivienda (Caja, Bancos, Inversiones Tempor.) a Dic-31-2013</v>
      </c>
      <c r="C13" s="283">
        <f>+ENERO!C13</f>
        <v>0</v>
      </c>
      <c r="D13" s="456">
        <f>MAYO!D13+JUNIO!P13</f>
        <v>0</v>
      </c>
      <c r="E13" s="456">
        <f>MAYO!E13+JUNIO!Q13</f>
        <v>0</v>
      </c>
      <c r="F13" s="170">
        <f>SUM(C13:E13)</f>
        <v>0</v>
      </c>
      <c r="G13" s="283">
        <f>MAYO!I13</f>
        <v>0</v>
      </c>
      <c r="H13" s="154">
        <v>0</v>
      </c>
      <c r="I13" s="170">
        <f>SUM(G13:H13)</f>
        <v>0</v>
      </c>
      <c r="J13" s="283">
        <f>MAYO!L13</f>
        <v>0</v>
      </c>
      <c r="K13" s="154">
        <v>0</v>
      </c>
      <c r="L13" s="170">
        <f>SUM(J13:K13)</f>
        <v>0</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71">
        <f>MARZO!BF13+ABRIL!BE13+MAYO!BE13+JUNIO!BE13</f>
        <v>0</v>
      </c>
      <c r="BG13" s="109" t="s">
        <v>72</v>
      </c>
      <c r="BH13" s="102">
        <f t="shared" ref="BH13:BK15" si="10">BN29</f>
        <v>120000000</v>
      </c>
      <c r="BI13" s="102">
        <f t="shared" si="10"/>
        <v>95294461</v>
      </c>
      <c r="BJ13" s="102">
        <f t="shared" si="10"/>
        <v>95294461</v>
      </c>
      <c r="BK13" s="102">
        <f t="shared" si="10"/>
        <v>17309492</v>
      </c>
      <c r="BL13" s="44">
        <f>+BK13+MAYO!BK13+ABRIL!BK13+MARZO!BL13</f>
        <v>72589968</v>
      </c>
      <c r="BM13" s="166" t="s">
        <v>473</v>
      </c>
      <c r="BN13" s="101">
        <f>X43-X55+X57-X61+X90-X102+X104-X108</f>
        <v>566739968</v>
      </c>
      <c r="BO13" s="99">
        <f>AA43-AA55+AA57-AA61+AA90-AA102+AA104-AA108</f>
        <v>267360989</v>
      </c>
      <c r="BP13" s="99">
        <f>AD43-AD55+AD57-AD61+AD90-AD102+AD104-AD108</f>
        <v>267360989</v>
      </c>
      <c r="BQ13" s="100">
        <f>AF43-AF55+AF57-AF61+AF90-AF102+AF104-AF108</f>
        <v>19270700</v>
      </c>
    </row>
    <row r="14" spans="1:69" s="10" customFormat="1" ht="15.75" x14ac:dyDescent="0.25">
      <c r="A14" s="203">
        <f>+IF(MAYO!A14=0,"",MAYO!A14)</f>
        <v>1003</v>
      </c>
      <c r="B14" s="251" t="str">
        <f>+IF(MAYO!B14=0,"",MAYO!B14)</f>
        <v>Fondos Comunes y Especiales (Caja, Bancos, Invers. Tempor.) a Dic-31-2013</v>
      </c>
      <c r="C14" s="283">
        <f>+ENERO!C14</f>
        <v>80000000</v>
      </c>
      <c r="D14" s="456">
        <f>MAYO!D14+JUNIO!P14</f>
        <v>0</v>
      </c>
      <c r="E14" s="456">
        <f>MAYO!E14+JUNIO!Q14</f>
        <v>33074115</v>
      </c>
      <c r="F14" s="170">
        <f>SUM(C14:E14)</f>
        <v>113074115</v>
      </c>
      <c r="G14" s="283">
        <f>MAYO!I14</f>
        <v>113074115</v>
      </c>
      <c r="H14" s="154">
        <v>0</v>
      </c>
      <c r="I14" s="170">
        <f>SUM(G14:H14)</f>
        <v>113074115</v>
      </c>
      <c r="J14" s="283">
        <f>MAYO!L14</f>
        <v>113074115</v>
      </c>
      <c r="K14" s="154">
        <v>0</v>
      </c>
      <c r="L14" s="170">
        <f>SUM(J14:K14)</f>
        <v>113074115</v>
      </c>
      <c r="M14" s="283">
        <f>F14-I14</f>
        <v>0</v>
      </c>
      <c r="N14" s="170">
        <f>F14-L14</f>
        <v>0</v>
      </c>
      <c r="O14" s="467"/>
      <c r="P14" s="455">
        <v>0</v>
      </c>
      <c r="Q14" s="458">
        <v>0</v>
      </c>
      <c r="S14" s="469">
        <f>+IF(MAYO!S14=0,"",MAYO!S14)</f>
        <v>1010000</v>
      </c>
      <c r="T14" s="470" t="str">
        <f>+IF(MAYO!T14=0,"",MAYO!T14)</f>
        <v>Gastos de Administración</v>
      </c>
      <c r="U14" s="157">
        <f t="shared" ref="U14:AJ14" si="11">U16+U35+U43+U57</f>
        <v>703883287</v>
      </c>
      <c r="V14" s="144">
        <f t="shared" si="11"/>
        <v>-5657703</v>
      </c>
      <c r="W14" s="144">
        <f t="shared" si="11"/>
        <v>1200000</v>
      </c>
      <c r="X14" s="152">
        <f t="shared" si="11"/>
        <v>699425584</v>
      </c>
      <c r="Y14" s="151">
        <f t="shared" si="11"/>
        <v>258672238</v>
      </c>
      <c r="Z14" s="144">
        <f t="shared" si="11"/>
        <v>50607236</v>
      </c>
      <c r="AA14" s="152">
        <f t="shared" si="11"/>
        <v>309279474</v>
      </c>
      <c r="AB14" s="151">
        <f t="shared" si="11"/>
        <v>258671438</v>
      </c>
      <c r="AC14" s="144">
        <f t="shared" si="11"/>
        <v>50608036</v>
      </c>
      <c r="AD14" s="152">
        <f t="shared" si="11"/>
        <v>309279474</v>
      </c>
      <c r="AE14" s="151">
        <f t="shared" si="11"/>
        <v>245776245</v>
      </c>
      <c r="AF14" s="144">
        <f t="shared" si="11"/>
        <v>28730133</v>
      </c>
      <c r="AG14" s="152">
        <f t="shared" si="11"/>
        <v>274506378</v>
      </c>
      <c r="AH14" s="151">
        <f t="shared" si="11"/>
        <v>390146110</v>
      </c>
      <c r="AI14" s="144">
        <f t="shared" si="11"/>
        <v>390146110</v>
      </c>
      <c r="AJ14" s="153">
        <f t="shared" si="11"/>
        <v>424919206</v>
      </c>
      <c r="AK14" s="12"/>
      <c r="AL14" s="151">
        <f>AL16+AL35+AL43+AL57</f>
        <v>0</v>
      </c>
      <c r="AM14" s="153">
        <f>AM16+AM35+AM43+AM57</f>
        <v>0</v>
      </c>
      <c r="AO14" s="23"/>
      <c r="AP14" s="13" t="s">
        <v>75</v>
      </c>
      <c r="AQ14" s="14">
        <f>F19-AQ7-AQ8-AQ9-AQ10-AQ11-AQ12-AQ13</f>
        <v>387837872</v>
      </c>
      <c r="AR14" s="14">
        <f>I19-AR7-AR8-AR9-AR10-AR11-AR12-AR13</f>
        <v>198420430</v>
      </c>
      <c r="AS14" s="14">
        <f>L19-AS7-AS8-AS9-AS10-AS11-AS12-AS13</f>
        <v>165748401</v>
      </c>
      <c r="AT14" s="467"/>
      <c r="AU14" s="429">
        <f t="shared" si="0"/>
        <v>0.51160663855952671</v>
      </c>
      <c r="AV14" s="429">
        <f t="shared" si="1"/>
        <v>0.42736517747807773</v>
      </c>
      <c r="AW14" s="430">
        <f>(I41+I46+I49+I52+I55+I58+I61+I64+I67+I70+I73+I78+I81+I82+I83+I86+I87+I93)/AO$2*12+I47+I50+I53+I56+I59+I62+I65+I68+I71+I74</f>
        <v>344035370</v>
      </c>
      <c r="AX14" s="430">
        <f>(L41+L46+L49+L52+L55+L58+L61+L64+L67+L70+L73+L78+L81+L82+L83+L86+L87+L93)/AO$2*12+L47+L50+L53+L56+L59+L62+L65+L68+L71+L74</f>
        <v>278691312</v>
      </c>
      <c r="AY14" s="430">
        <f t="shared" si="2"/>
        <v>-43802502</v>
      </c>
      <c r="AZ14" s="431">
        <f t="shared" si="3"/>
        <v>-109146560</v>
      </c>
      <c r="BB14" s="468" t="s">
        <v>461</v>
      </c>
      <c r="BC14" s="110">
        <f>+F64</f>
        <v>40103182</v>
      </c>
      <c r="BD14" s="111">
        <f>+I64</f>
        <v>16847529</v>
      </c>
      <c r="BE14" s="112">
        <f>K64</f>
        <v>2068494</v>
      </c>
      <c r="BF14" s="71">
        <f>MARZO!BF14+ABRIL!BE14+MAYO!BE14+JUNIO!BE14</f>
        <v>11994354</v>
      </c>
      <c r="BG14" s="109" t="s">
        <v>76</v>
      </c>
      <c r="BH14" s="99">
        <f t="shared" si="10"/>
        <v>0</v>
      </c>
      <c r="BI14" s="99">
        <f t="shared" si="10"/>
        <v>0</v>
      </c>
      <c r="BJ14" s="99">
        <f t="shared" si="10"/>
        <v>0</v>
      </c>
      <c r="BK14" s="99">
        <f t="shared" si="10"/>
        <v>0</v>
      </c>
      <c r="BL14" s="44">
        <f>+BK14+MAYO!BK14+ABRIL!BK14+MARZO!BL14</f>
        <v>0</v>
      </c>
      <c r="BM14" s="165" t="s">
        <v>469</v>
      </c>
      <c r="BN14" s="104">
        <f>X35-X41+X83-X88</f>
        <v>176434955</v>
      </c>
      <c r="BO14" s="102">
        <f>AA35-AA41+AA83-AA88</f>
        <v>51548750</v>
      </c>
      <c r="BP14" s="102">
        <f>AD35-AD41+AD83-AD88</f>
        <v>51548750</v>
      </c>
      <c r="BQ14" s="103">
        <f>AF35-AF41+AF83-AF88</f>
        <v>9814588</v>
      </c>
    </row>
    <row r="15" spans="1:69" s="10" customFormat="1" ht="16.5" thickBot="1" x14ac:dyDescent="0.3">
      <c r="A15" s="204">
        <f>+IF(MAYO!A15=0,"",MAYO!A15)</f>
        <v>1004</v>
      </c>
      <c r="B15" s="677" t="str">
        <f>+IF(MAYO!B15=0,"",MAYO!B15)</f>
        <v>Cesantias Ley 50/1990 a Dic-31-2013</v>
      </c>
      <c r="C15" s="474">
        <f>+ENERO!C15</f>
        <v>20000000</v>
      </c>
      <c r="D15" s="472">
        <f>MAYO!D15+JUNIO!P15</f>
        <v>0</v>
      </c>
      <c r="E15" s="472">
        <f>MAYO!E15+JUNIO!Q15</f>
        <v>0</v>
      </c>
      <c r="F15" s="473">
        <f>SUM(C15:E15)</f>
        <v>20000000</v>
      </c>
      <c r="G15" s="474">
        <f>MAYO!I15</f>
        <v>20000000</v>
      </c>
      <c r="H15" s="197">
        <v>0</v>
      </c>
      <c r="I15" s="473">
        <f>SUM(G15:H15)</f>
        <v>20000000</v>
      </c>
      <c r="J15" s="474">
        <f>MAYO!L15</f>
        <v>20000000</v>
      </c>
      <c r="K15" s="197">
        <v>0</v>
      </c>
      <c r="L15" s="473">
        <f>SUM(J15:K15)</f>
        <v>20000000</v>
      </c>
      <c r="M15" s="474">
        <f>F15-I15</f>
        <v>0</v>
      </c>
      <c r="N15" s="473">
        <f>F15-L15</f>
        <v>0</v>
      </c>
      <c r="O15" s="467"/>
      <c r="P15" s="471">
        <v>0</v>
      </c>
      <c r="Q15" s="476">
        <v>0</v>
      </c>
      <c r="S15" s="448" t="str">
        <f>+IF(MAYO!S15=0,"",MAYO!S15)</f>
        <v/>
      </c>
      <c r="T15" s="649" t="str">
        <f>+IF(MAYO!T15=0,"",MAYO!T15)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1452387</v>
      </c>
      <c r="AR15" s="14">
        <f>I108</f>
        <v>1982740</v>
      </c>
      <c r="AS15" s="14">
        <f>L108</f>
        <v>1982740</v>
      </c>
      <c r="AT15" s="15"/>
      <c r="AU15" s="419">
        <f t="shared" si="0"/>
        <v>1.365159561466744</v>
      </c>
      <c r="AV15" s="419">
        <f t="shared" si="1"/>
        <v>1.365159561466744</v>
      </c>
      <c r="AW15" s="14">
        <f>AQ15</f>
        <v>1452387</v>
      </c>
      <c r="AX15" s="14">
        <f>AR15</f>
        <v>1982740</v>
      </c>
      <c r="AY15" s="14">
        <f t="shared" si="2"/>
        <v>0</v>
      </c>
      <c r="AZ15" s="420">
        <f t="shared" si="3"/>
        <v>530353</v>
      </c>
      <c r="BA15" s="467"/>
      <c r="BB15" s="468" t="s">
        <v>79</v>
      </c>
      <c r="BC15" s="110">
        <f>F46+F49</f>
        <v>0</v>
      </c>
      <c r="BD15" s="111">
        <f>I46+I49</f>
        <v>0</v>
      </c>
      <c r="BE15" s="112">
        <f>K46+K49</f>
        <v>0</v>
      </c>
      <c r="BF15" s="71">
        <f>MARZO!BF15+ABRIL!BE15+MAYO!BE15+JUNIO!BE15</f>
        <v>0</v>
      </c>
      <c r="BG15" s="109" t="s">
        <v>80</v>
      </c>
      <c r="BH15" s="99">
        <f t="shared" si="10"/>
        <v>145919491</v>
      </c>
      <c r="BI15" s="99">
        <f t="shared" si="10"/>
        <v>145453491</v>
      </c>
      <c r="BJ15" s="99">
        <f t="shared" si="10"/>
        <v>145453491</v>
      </c>
      <c r="BK15" s="99">
        <f t="shared" si="10"/>
        <v>0</v>
      </c>
      <c r="BL15" s="44">
        <f>+BK15+MAYO!BK15+ABRIL!BK15+MARZO!BL15</f>
        <v>139404555</v>
      </c>
      <c r="BM15" s="89" t="s">
        <v>68</v>
      </c>
      <c r="BN15" s="101">
        <f>SUM(BN16:BN21)</f>
        <v>558744299</v>
      </c>
      <c r="BO15" s="99">
        <f>SUM(BO16:BO21)</f>
        <v>303362563</v>
      </c>
      <c r="BP15" s="99">
        <f>SUM(BP16:BP21)</f>
        <v>303362561</v>
      </c>
      <c r="BQ15" s="100">
        <f>SUM(BQ16:BQ21)</f>
        <v>43272387</v>
      </c>
    </row>
    <row r="16" spans="1:69" s="10" customFormat="1" ht="15.75" thickBot="1" x14ac:dyDescent="0.3">
      <c r="A16" s="198" t="str">
        <f>+IF(MAYO!A16=0,"",MAYO!A16)</f>
        <v/>
      </c>
      <c r="B16" s="477" t="str">
        <f>+IF(MAYO!B16=0,"",MAYO!B16)</f>
        <v/>
      </c>
      <c r="C16" s="478"/>
      <c r="D16" s="478"/>
      <c r="E16" s="478"/>
      <c r="F16" s="478"/>
      <c r="G16" s="478"/>
      <c r="H16" s="478"/>
      <c r="I16" s="478"/>
      <c r="J16" s="478"/>
      <c r="K16" s="478"/>
      <c r="L16" s="478"/>
      <c r="M16" s="478"/>
      <c r="N16" s="479"/>
      <c r="O16" s="467"/>
      <c r="P16" s="480"/>
      <c r="Q16" s="481"/>
      <c r="S16" s="34">
        <f>+IF(MAYO!S16=0,"",MAYO!S16)</f>
        <v>1010100</v>
      </c>
      <c r="T16" s="158" t="str">
        <f>+IF(MAYO!T16=0,"",MAYO!T16)</f>
        <v>Servicios Personales Asociados a Nómina</v>
      </c>
      <c r="U16" s="157">
        <f t="shared" ref="U16:AJ16" si="12">SUM(U17:U20)+U33</f>
        <v>451022301</v>
      </c>
      <c r="V16" s="144">
        <f t="shared" si="12"/>
        <v>-3476851</v>
      </c>
      <c r="W16" s="144">
        <f t="shared" si="12"/>
        <v>0</v>
      </c>
      <c r="X16" s="152">
        <f t="shared" si="12"/>
        <v>447545450</v>
      </c>
      <c r="Y16" s="151">
        <f t="shared" si="12"/>
        <v>158683240</v>
      </c>
      <c r="Z16" s="144">
        <f t="shared" si="12"/>
        <v>37521621</v>
      </c>
      <c r="AA16" s="152">
        <f t="shared" si="12"/>
        <v>196204861</v>
      </c>
      <c r="AB16" s="151">
        <f t="shared" si="12"/>
        <v>158683240</v>
      </c>
      <c r="AC16" s="144">
        <f t="shared" si="12"/>
        <v>37521621</v>
      </c>
      <c r="AD16" s="152">
        <f t="shared" si="12"/>
        <v>196204861</v>
      </c>
      <c r="AE16" s="151">
        <f t="shared" si="12"/>
        <v>153707668</v>
      </c>
      <c r="AF16" s="144">
        <f t="shared" si="12"/>
        <v>18927864</v>
      </c>
      <c r="AG16" s="152">
        <f t="shared" si="12"/>
        <v>172635532</v>
      </c>
      <c r="AH16" s="151">
        <f t="shared" si="12"/>
        <v>251340589</v>
      </c>
      <c r="AI16" s="144">
        <f t="shared" si="12"/>
        <v>251340589</v>
      </c>
      <c r="AJ16" s="153">
        <f t="shared" si="12"/>
        <v>274909918</v>
      </c>
      <c r="AK16" s="12"/>
      <c r="AL16" s="151">
        <f>SUM(AL17:AL20)+AL33</f>
        <v>0</v>
      </c>
      <c r="AM16" s="153">
        <f>SUM(AM17:AM20)+AM33</f>
        <v>0</v>
      </c>
      <c r="AO16" s="23"/>
      <c r="AP16" s="482" t="s">
        <v>83</v>
      </c>
      <c r="AQ16" s="483">
        <f>F10</f>
        <v>133074115</v>
      </c>
      <c r="AR16" s="483">
        <f>I10</f>
        <v>133074115</v>
      </c>
      <c r="AS16" s="483">
        <f>L10</f>
        <v>133074115</v>
      </c>
      <c r="AT16" s="467"/>
      <c r="AU16" s="484">
        <f t="shared" si="0"/>
        <v>1</v>
      </c>
      <c r="AV16" s="484">
        <f t="shared" si="1"/>
        <v>1</v>
      </c>
      <c r="AW16" s="483">
        <f>AQ16</f>
        <v>133074115</v>
      </c>
      <c r="AX16" s="483">
        <f>AR16</f>
        <v>133074115</v>
      </c>
      <c r="AY16" s="14">
        <f t="shared" si="2"/>
        <v>0</v>
      </c>
      <c r="AZ16" s="485">
        <f t="shared" si="3"/>
        <v>0</v>
      </c>
      <c r="BA16" s="467"/>
      <c r="BB16" s="447" t="s">
        <v>462</v>
      </c>
      <c r="BC16" s="91">
        <f>F43</f>
        <v>125397398</v>
      </c>
      <c r="BD16" s="92">
        <f>I43</f>
        <v>50189259</v>
      </c>
      <c r="BE16" s="93">
        <f>K43</f>
        <v>1017527</v>
      </c>
      <c r="BF16" s="71">
        <f>MARZO!BF16+ABRIL!BE16+MAYO!BE16+JUNIO!BE16</f>
        <v>32886108</v>
      </c>
      <c r="BG16" s="109" t="s">
        <v>84</v>
      </c>
      <c r="BH16" s="114">
        <f>BH7+BH12+BH13+BH14+BH15</f>
        <v>3690024195</v>
      </c>
      <c r="BI16" s="114">
        <f>BI7+BI12+BI13+BI14+BI15</f>
        <v>1772727711</v>
      </c>
      <c r="BJ16" s="114">
        <f>BJ7+BJ12+BJ13+BJ14+BJ15</f>
        <v>1772700698</v>
      </c>
      <c r="BK16" s="114">
        <f>BK7+BK12+BK13+BK14+BK15</f>
        <v>186488014</v>
      </c>
      <c r="BL16" s="44">
        <f>+BK16+MAYO!BK16+ABRIL!BK16+MARZO!BL16</f>
        <v>1480741062</v>
      </c>
      <c r="BM16" s="164" t="s">
        <v>85</v>
      </c>
      <c r="BN16" s="101">
        <f>X114-X121+X147-X148-X153</f>
        <v>154192049</v>
      </c>
      <c r="BO16" s="99">
        <f>AA114-AA121+AA147-AA148-AA153</f>
        <v>107442838</v>
      </c>
      <c r="BP16" s="99">
        <f>AD114-AD121+AD147-AD148-AD153</f>
        <v>107442836</v>
      </c>
      <c r="BQ16" s="100">
        <f>AF114-AF121+AF147-AF148-AF153</f>
        <v>4546338</v>
      </c>
    </row>
    <row r="17" spans="1:70" s="467" customFormat="1" ht="17.25" thickBot="1" x14ac:dyDescent="0.3">
      <c r="A17" s="433">
        <f>+IF(MAYO!A17=0,"",MAYO!A17)</f>
        <v>11</v>
      </c>
      <c r="B17" s="439" t="str">
        <f>+IF(MAYO!B17=0,"",MAYO!B17)</f>
        <v>INGRESOS  CORRIENTES</v>
      </c>
      <c r="C17" s="435">
        <f>C19+C99</f>
        <v>3530048625</v>
      </c>
      <c r="D17" s="435">
        <f t="shared" ref="D17:N17" si="13">D19+D99</f>
        <v>0</v>
      </c>
      <c r="E17" s="435">
        <f t="shared" si="13"/>
        <v>25449068</v>
      </c>
      <c r="F17" s="435">
        <f t="shared" si="13"/>
        <v>3555497693</v>
      </c>
      <c r="G17" s="435">
        <f t="shared" si="13"/>
        <v>1705979375</v>
      </c>
      <c r="H17" s="435">
        <f t="shared" si="13"/>
        <v>320096059</v>
      </c>
      <c r="I17" s="435">
        <f t="shared" si="13"/>
        <v>2026075434</v>
      </c>
      <c r="J17" s="435">
        <f t="shared" si="13"/>
        <v>1397762834</v>
      </c>
      <c r="K17" s="435">
        <f t="shared" si="13"/>
        <v>248209214</v>
      </c>
      <c r="L17" s="435">
        <f t="shared" si="13"/>
        <v>1645972048</v>
      </c>
      <c r="M17" s="435">
        <f t="shared" si="13"/>
        <v>1529422259</v>
      </c>
      <c r="N17" s="216">
        <f t="shared" si="13"/>
        <v>1909525645</v>
      </c>
      <c r="P17" s="215">
        <f>P19+P99</f>
        <v>0</v>
      </c>
      <c r="Q17" s="216">
        <f>Q19+Q99</f>
        <v>0</v>
      </c>
      <c r="R17" s="10"/>
      <c r="S17" s="155">
        <f>+IF(MAYO!S17=0,"",MAYO!S17)</f>
        <v>1010101</v>
      </c>
      <c r="T17" s="159" t="str">
        <f>+IF(MAYO!T17=0,"",MAYO!T17)</f>
        <v>Sueldos del Personal de nómina</v>
      </c>
      <c r="U17" s="29">
        <f>+ENERO!U17</f>
        <v>368370792</v>
      </c>
      <c r="V17" s="17">
        <f>MAYO!V17+JUNIO!AL17</f>
        <v>0</v>
      </c>
      <c r="W17" s="17">
        <f>MAYO!W17+JUNIO!AM17</f>
        <v>0</v>
      </c>
      <c r="X17" s="20">
        <f>SUM(U17:W17)</f>
        <v>368370792</v>
      </c>
      <c r="Y17" s="21">
        <f>MAYO!AA17</f>
        <v>144771005</v>
      </c>
      <c r="Z17" s="457">
        <v>32153640</v>
      </c>
      <c r="AA17" s="20">
        <f>SUM(Y17:Z17)</f>
        <v>176924645</v>
      </c>
      <c r="AB17" s="21">
        <f>MAYO!AD17</f>
        <v>144771005</v>
      </c>
      <c r="AC17" s="457">
        <v>32153640</v>
      </c>
      <c r="AD17" s="20">
        <f>SUM(AB17:AC17)</f>
        <v>176924645</v>
      </c>
      <c r="AE17" s="21">
        <f>MAYO!AG17</f>
        <v>139795433</v>
      </c>
      <c r="AF17" s="457">
        <v>16956085</v>
      </c>
      <c r="AG17" s="20">
        <f>SUM(AE17:AF17)</f>
        <v>156751518</v>
      </c>
      <c r="AH17" s="21">
        <f>X17-AA17</f>
        <v>191446147</v>
      </c>
      <c r="AI17" s="17">
        <f>X17-AD17</f>
        <v>191446147</v>
      </c>
      <c r="AJ17" s="18">
        <f>X17-AG17</f>
        <v>211619274</v>
      </c>
      <c r="AK17" s="10"/>
      <c r="AL17" s="455">
        <v>0</v>
      </c>
      <c r="AM17" s="458">
        <v>0</v>
      </c>
      <c r="AN17" s="10"/>
      <c r="AO17" s="428"/>
      <c r="AP17" s="488" t="s">
        <v>87</v>
      </c>
      <c r="AQ17" s="489">
        <f>SUM(AQ7:AQ16)</f>
        <v>3437498754</v>
      </c>
      <c r="AR17" s="490">
        <f>SUM(AR7:AR16)</f>
        <v>2034869568</v>
      </c>
      <c r="AS17" s="491">
        <f>SUM(AS7:AS16)</f>
        <v>1654766182</v>
      </c>
      <c r="AT17" s="492"/>
      <c r="AU17" s="490">
        <f t="shared" si="0"/>
        <v>0.59196227071563323</v>
      </c>
      <c r="AV17" s="490">
        <f t="shared" si="1"/>
        <v>0.48138670016227736</v>
      </c>
      <c r="AW17" s="493">
        <f>SUM(AX7:AX16)</f>
        <v>2867492035</v>
      </c>
      <c r="AX17" s="493">
        <f>SUM(AX7:AX16)</f>
        <v>2867492035</v>
      </c>
      <c r="AY17" s="493">
        <f>SUM(AY7:AY16)</f>
        <v>189669700</v>
      </c>
      <c r="AZ17" s="494">
        <f>SUM(AZ7:AZ16)</f>
        <v>-570006719</v>
      </c>
      <c r="BA17" s="10"/>
      <c r="BB17" s="468" t="s">
        <v>463</v>
      </c>
      <c r="BC17" s="91">
        <f>F41+F52+F55+F58+F61+F67+F70+F73+F76+F79+F82+F88+F89+F90+F91</f>
        <v>177489895</v>
      </c>
      <c r="BD17" s="92">
        <f>I41+I52+I55+I58+I61+I67+I70+I73+I76+I79+I82+I88+I89+I90+I91</f>
        <v>81992816</v>
      </c>
      <c r="BE17" s="93">
        <f>K41+K52+K55+K58+K61+K67+K70+K73+K76+K79+K82+K88+K89+K90+K91</f>
        <v>7430081</v>
      </c>
      <c r="BF17" s="71">
        <f>MARZO!BF17+ABRIL!BE17+MAYO!BE17+JUNIO!BE17</f>
        <v>54173962</v>
      </c>
      <c r="BG17" s="116" t="s">
        <v>88</v>
      </c>
      <c r="BH17" s="117">
        <f>BC23-BH16</f>
        <v>0</v>
      </c>
      <c r="BI17" s="117"/>
      <c r="BJ17" s="117"/>
      <c r="BK17" s="117"/>
      <c r="BL17" s="44">
        <f>+BK17+MAYO!BK17+ABRIL!BK17+MARZO!BL17</f>
        <v>0</v>
      </c>
      <c r="BM17" s="164" t="s">
        <v>479</v>
      </c>
      <c r="BN17" s="101">
        <f>X123-X126-X139+X155-X156-X167-X168</f>
        <v>191636548</v>
      </c>
      <c r="BO17" s="99">
        <f>AA123-AA126-AA139+AA155-AA156-AA167-AA168</f>
        <v>93049088</v>
      </c>
      <c r="BP17" s="99">
        <f>AD123-AD126-AD139+AD155-AD156-AD167-AD168</f>
        <v>93049088</v>
      </c>
      <c r="BQ17" s="100">
        <f>AF123-AF126-AF139+AF155-AF156-AF167-AF168</f>
        <v>13710795</v>
      </c>
      <c r="BR17" s="10"/>
    </row>
    <row r="18" spans="1:70" s="10" customFormat="1" ht="15.75" thickBot="1" x14ac:dyDescent="0.3">
      <c r="A18" s="202" t="str">
        <f>+IF(MAYO!A18=0,"",MAYO!A18)</f>
        <v/>
      </c>
      <c r="B18" s="201" t="str">
        <f>+IF(MAYO!B18=0,"",MAYO!B18)</f>
        <v/>
      </c>
      <c r="C18" s="495"/>
      <c r="D18" s="495"/>
      <c r="E18" s="495"/>
      <c r="F18" s="495"/>
      <c r="G18" s="495"/>
      <c r="H18" s="495"/>
      <c r="I18" s="495"/>
      <c r="J18" s="495"/>
      <c r="K18" s="495"/>
      <c r="L18" s="495"/>
      <c r="M18" s="495"/>
      <c r="N18" s="496"/>
      <c r="P18" s="497"/>
      <c r="Q18" s="496"/>
      <c r="S18" s="155">
        <f>+IF(MAYO!S18=0,"",MAYO!S18)</f>
        <v>1010102</v>
      </c>
      <c r="T18" s="159" t="str">
        <f>+IF(MAYO!T18=0,"",MAYO!T18)</f>
        <v>Horas Extras,Dominic.,Festivos y Rec. Nocturnos</v>
      </c>
      <c r="U18" s="29">
        <f>+ENERO!U18</f>
        <v>20119405</v>
      </c>
      <c r="V18" s="17">
        <f>MAYO!V18+JUNIO!AL18</f>
        <v>0</v>
      </c>
      <c r="W18" s="17">
        <f>MAYO!W18+JUNIO!AM18</f>
        <v>0</v>
      </c>
      <c r="X18" s="20">
        <f>SUM(U18:W18)</f>
        <v>20119405</v>
      </c>
      <c r="Y18" s="21">
        <f>MAYO!AA18</f>
        <v>4579886</v>
      </c>
      <c r="Z18" s="457">
        <v>1117097</v>
      </c>
      <c r="AA18" s="20">
        <f>SUM(Y18:Z18)</f>
        <v>5696983</v>
      </c>
      <c r="AB18" s="21">
        <f>MAYO!AD18</f>
        <v>4579886</v>
      </c>
      <c r="AC18" s="457">
        <v>1117097</v>
      </c>
      <c r="AD18" s="20">
        <f>SUM(AB18:AC18)</f>
        <v>5696983</v>
      </c>
      <c r="AE18" s="21">
        <f>MAYO!AG18</f>
        <v>4579886</v>
      </c>
      <c r="AF18" s="457">
        <v>1117097</v>
      </c>
      <c r="AG18" s="20">
        <f>SUM(AE18:AF18)</f>
        <v>5696983</v>
      </c>
      <c r="AH18" s="21">
        <f>X18-AA18</f>
        <v>14422422</v>
      </c>
      <c r="AI18" s="17">
        <f>X18-AD18</f>
        <v>14422422</v>
      </c>
      <c r="AJ18" s="18">
        <f>X18-AG18</f>
        <v>14422422</v>
      </c>
      <c r="AL18" s="455">
        <v>0</v>
      </c>
      <c r="AM18" s="458">
        <v>0</v>
      </c>
      <c r="AO18" s="23"/>
      <c r="AP18" s="365" t="s">
        <v>53</v>
      </c>
      <c r="AQ18" s="365"/>
      <c r="AR18" s="365"/>
      <c r="AS18" s="365"/>
      <c r="AT18" s="365"/>
      <c r="AU18" s="365"/>
      <c r="AV18" s="365"/>
      <c r="AW18" s="365"/>
      <c r="AX18" s="365"/>
      <c r="AY18" s="365"/>
      <c r="AZ18" s="365"/>
      <c r="BA18" s="467"/>
      <c r="BB18" s="506" t="s">
        <v>464</v>
      </c>
      <c r="BC18" s="91">
        <f>F100+F101+F102+F105</f>
        <v>252525441</v>
      </c>
      <c r="BD18" s="92">
        <f>I100+I101+I102+I105</f>
        <v>126262721</v>
      </c>
      <c r="BE18" s="93">
        <f>K100+K101+K102+K105</f>
        <v>21043787</v>
      </c>
      <c r="BF18" s="71">
        <f>MARZO!BF18+ABRIL!BE18+MAYO!BE18+JUNIO!BE18</f>
        <v>126262721</v>
      </c>
      <c r="BM18" s="164" t="s">
        <v>89</v>
      </c>
      <c r="BN18" s="101">
        <f>X148+X156</f>
        <v>162635242</v>
      </c>
      <c r="BO18" s="99">
        <f>AA148+AA156</f>
        <v>76216508</v>
      </c>
      <c r="BP18" s="99">
        <f>AD148+AD156</f>
        <v>76216508</v>
      </c>
      <c r="BQ18" s="100">
        <f>AF148+AF156</f>
        <v>22396027</v>
      </c>
      <c r="BR18" s="467"/>
    </row>
    <row r="19" spans="1:70" s="10" customFormat="1" ht="15.75" x14ac:dyDescent="0.25">
      <c r="A19" s="498">
        <f>+IF(MAYO!A19=0,"",MAYO!A19)</f>
        <v>113</v>
      </c>
      <c r="B19" s="499" t="str">
        <f>+IF(MAYO!B19=0,"",MAYO!B19)</f>
        <v>VENTA DE SERVICIOS</v>
      </c>
      <c r="C19" s="53">
        <f t="shared" ref="C19:N19" si="14">C21+C85</f>
        <v>3530048625</v>
      </c>
      <c r="D19" s="53">
        <f t="shared" si="14"/>
        <v>-227076373</v>
      </c>
      <c r="E19" s="53">
        <f t="shared" si="14"/>
        <v>0</v>
      </c>
      <c r="F19" s="54">
        <f t="shared" si="14"/>
        <v>3302972252</v>
      </c>
      <c r="G19" s="52">
        <f t="shared" si="14"/>
        <v>1600760441</v>
      </c>
      <c r="H19" s="53">
        <f t="shared" si="14"/>
        <v>299052272</v>
      </c>
      <c r="I19" s="54">
        <f t="shared" si="14"/>
        <v>1899812713</v>
      </c>
      <c r="J19" s="52">
        <f t="shared" si="14"/>
        <v>1292543900</v>
      </c>
      <c r="K19" s="53">
        <f t="shared" si="14"/>
        <v>227165427</v>
      </c>
      <c r="L19" s="54">
        <f t="shared" si="14"/>
        <v>1519709327</v>
      </c>
      <c r="M19" s="52">
        <f t="shared" si="14"/>
        <v>1403159539</v>
      </c>
      <c r="N19" s="54">
        <f t="shared" si="14"/>
        <v>1783262925</v>
      </c>
      <c r="O19" s="467"/>
      <c r="P19" s="52">
        <f>P21+P85</f>
        <v>0</v>
      </c>
      <c r="Q19" s="54">
        <f>Q21+Q85</f>
        <v>0</v>
      </c>
      <c r="S19" s="155">
        <f>+IF(MAYO!S19=0,"",MAYO!S19)</f>
        <v>1010103</v>
      </c>
      <c r="T19" s="159" t="str">
        <f>+IF(MAYO!T19=0,"",MAYO!T19)</f>
        <v>Prima Técnica</v>
      </c>
      <c r="U19" s="29">
        <f>+ENERO!U19</f>
        <v>0</v>
      </c>
      <c r="V19" s="17">
        <f>MAYO!V19+JUNIO!AL19</f>
        <v>0</v>
      </c>
      <c r="W19" s="17">
        <f>MAYO!W19+JUNIO!AM19</f>
        <v>0</v>
      </c>
      <c r="X19" s="20">
        <f>SUM(U19:W19)</f>
        <v>0</v>
      </c>
      <c r="Y19" s="21">
        <f>MAYO!AA19</f>
        <v>0</v>
      </c>
      <c r="Z19" s="457">
        <v>0</v>
      </c>
      <c r="AA19" s="20">
        <f>SUM(Y19:Z19)</f>
        <v>0</v>
      </c>
      <c r="AB19" s="21">
        <f>MAYO!AD19</f>
        <v>0</v>
      </c>
      <c r="AC19" s="457">
        <v>0</v>
      </c>
      <c r="AD19" s="20">
        <f>SUM(AB19:AC19)</f>
        <v>0</v>
      </c>
      <c r="AE19" s="21">
        <f>MAYO!AG19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919" t="str">
        <f>+CONCATENATE("PROYECCION A DICIEMBRE 31 DEL ",N3)</f>
        <v>PROYECCION A DICIEMBRE 31 DEL 2014</v>
      </c>
      <c r="AX19" s="920"/>
      <c r="AY19" s="920"/>
      <c r="AZ19" s="921"/>
      <c r="BA19" s="467"/>
      <c r="BB19" s="119" t="s">
        <v>95</v>
      </c>
      <c r="BC19" s="110">
        <f>F86+F87+F93+F103+F104</f>
        <v>115179029</v>
      </c>
      <c r="BD19" s="111">
        <f>I86+I87+I93+I103+I104</f>
        <v>79634600</v>
      </c>
      <c r="BE19" s="112">
        <f>K86+K87+K93+K103+K104</f>
        <v>4198464</v>
      </c>
      <c r="BF19" s="71">
        <f>MARZO!BF19+ABRIL!BE19+MAYO!BE19+JUNIO!BE19</f>
        <v>79634600</v>
      </c>
      <c r="BG19" s="467"/>
      <c r="BH19" s="467"/>
      <c r="BI19" s="467"/>
      <c r="BJ19" s="467"/>
      <c r="BK19" s="467"/>
      <c r="BM19" s="164" t="s">
        <v>96</v>
      </c>
      <c r="BN19" s="101">
        <f>X126+X167</f>
        <v>49280460</v>
      </c>
      <c r="BO19" s="99">
        <f>AA126+AA167</f>
        <v>26654129</v>
      </c>
      <c r="BP19" s="99">
        <f>AD126+AD167</f>
        <v>26654129</v>
      </c>
      <c r="BQ19" s="100">
        <f>AF126+AF167</f>
        <v>2619227</v>
      </c>
    </row>
    <row r="20" spans="1:70" s="514" customFormat="1" ht="15" x14ac:dyDescent="0.25">
      <c r="A20" s="202" t="str">
        <f>+IF(MAYO!A20=0,"",MAYO!A20)</f>
        <v/>
      </c>
      <c r="B20" s="201" t="str">
        <f>+IF(MAYO!B20=0,"",MAYO!B20)</f>
        <v/>
      </c>
      <c r="C20" s="495"/>
      <c r="D20" s="495"/>
      <c r="E20" s="495"/>
      <c r="F20" s="495"/>
      <c r="G20" s="495"/>
      <c r="H20" s="495"/>
      <c r="I20" s="495"/>
      <c r="J20" s="495"/>
      <c r="K20" s="495"/>
      <c r="L20" s="495"/>
      <c r="M20" s="495"/>
      <c r="N20" s="496"/>
      <c r="O20" s="10"/>
      <c r="P20" s="497"/>
      <c r="Q20" s="496"/>
      <c r="R20" s="10"/>
      <c r="S20" s="155">
        <f>+IF(MAYO!S20=0,"",MAYO!S20)</f>
        <v>1010104</v>
      </c>
      <c r="T20" s="159" t="str">
        <f>+IF(MAYO!T20=0,"",MAYO!T20)</f>
        <v>Otros</v>
      </c>
      <c r="U20" s="29">
        <f t="shared" ref="U20:AJ20" si="15">SUM(U21:U32)</f>
        <v>58502253</v>
      </c>
      <c r="V20" s="17">
        <f t="shared" si="15"/>
        <v>0</v>
      </c>
      <c r="W20" s="17">
        <f t="shared" si="15"/>
        <v>0</v>
      </c>
      <c r="X20" s="20">
        <f t="shared" si="15"/>
        <v>58502253</v>
      </c>
      <c r="Y20" s="21">
        <f t="shared" si="15"/>
        <v>8779349</v>
      </c>
      <c r="Z20" s="169">
        <f t="shared" si="15"/>
        <v>4250884</v>
      </c>
      <c r="AA20" s="20">
        <f t="shared" si="15"/>
        <v>13030233</v>
      </c>
      <c r="AB20" s="21">
        <f t="shared" si="15"/>
        <v>8779349</v>
      </c>
      <c r="AC20" s="169">
        <f t="shared" si="15"/>
        <v>4250884</v>
      </c>
      <c r="AD20" s="20">
        <f t="shared" si="15"/>
        <v>13030233</v>
      </c>
      <c r="AE20" s="21">
        <f t="shared" si="15"/>
        <v>8779349</v>
      </c>
      <c r="AF20" s="169">
        <f t="shared" si="15"/>
        <v>854682</v>
      </c>
      <c r="AG20" s="20">
        <f t="shared" si="15"/>
        <v>9634031</v>
      </c>
      <c r="AH20" s="21">
        <f t="shared" si="15"/>
        <v>45472020</v>
      </c>
      <c r="AI20" s="17">
        <f t="shared" si="15"/>
        <v>45472020</v>
      </c>
      <c r="AJ20" s="18">
        <f t="shared" si="15"/>
        <v>48868222</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305317</v>
      </c>
      <c r="BD20" s="84">
        <f>+I109+I111+I113+I114+I115</f>
        <v>225234</v>
      </c>
      <c r="BE20" s="85">
        <f>+K109+K111+K113+K114+K115</f>
        <v>22625</v>
      </c>
      <c r="BF20" s="71">
        <f>MARZO!BF20+ABRIL!BE20+MAYO!BE20+JUNIO!BE20</f>
        <v>225234</v>
      </c>
      <c r="BG20" s="467"/>
      <c r="BH20" s="467"/>
      <c r="BI20" s="467"/>
      <c r="BJ20" s="467"/>
      <c r="BK20" s="467"/>
      <c r="BL20" s="467"/>
      <c r="BM20" s="166" t="s">
        <v>474</v>
      </c>
      <c r="BN20" s="101">
        <f>+X141-X143</f>
        <v>1000000</v>
      </c>
      <c r="BO20" s="99">
        <f>+AA141-AA143</f>
        <v>0</v>
      </c>
      <c r="BP20" s="99">
        <f>+AD141-AD143</f>
        <v>0</v>
      </c>
      <c r="BQ20" s="100">
        <f>+AF141-AF143</f>
        <v>0</v>
      </c>
      <c r="BR20" s="10"/>
    </row>
    <row r="21" spans="1:70" s="514" customFormat="1" ht="16.5" thickBot="1" x14ac:dyDescent="0.3">
      <c r="A21" s="515">
        <f>+IF(MAYO!A21=0,"",MAYO!A21)</f>
        <v>11301</v>
      </c>
      <c r="B21" s="516" t="str">
        <f>+IF(MAYO!B21=0,"",MAYO!B21)</f>
        <v>Venta de Servicios de Salud</v>
      </c>
      <c r="C21" s="518">
        <f t="shared" ref="C21:N21" si="16">C22+C25+C28+C41+C42+C45+C48+C51+C54+C57+C60+C63+C66+C69+C72+C75+C78+C81</f>
        <v>3414869596</v>
      </c>
      <c r="D21" s="518">
        <f t="shared" si="16"/>
        <v>-227076373</v>
      </c>
      <c r="E21" s="518">
        <f t="shared" si="16"/>
        <v>0</v>
      </c>
      <c r="F21" s="519">
        <f t="shared" si="16"/>
        <v>3187793223</v>
      </c>
      <c r="G21" s="517">
        <f t="shared" si="16"/>
        <v>1525324305</v>
      </c>
      <c r="H21" s="518">
        <f t="shared" si="16"/>
        <v>294853808</v>
      </c>
      <c r="I21" s="519">
        <f t="shared" si="16"/>
        <v>1820178113</v>
      </c>
      <c r="J21" s="517">
        <f t="shared" si="16"/>
        <v>1217107764</v>
      </c>
      <c r="K21" s="518">
        <f t="shared" si="16"/>
        <v>222966963</v>
      </c>
      <c r="L21" s="519">
        <f t="shared" si="16"/>
        <v>1440074727</v>
      </c>
      <c r="M21" s="517">
        <f t="shared" si="16"/>
        <v>1367615110</v>
      </c>
      <c r="N21" s="519">
        <f t="shared" si="16"/>
        <v>1747718496</v>
      </c>
      <c r="O21" s="467"/>
      <c r="P21" s="52">
        <f>P22+P25+P28+P41+P42+P45+P48+P51+P54+P57+P60+P63+P66+P69+P72+P75+P78+P81</f>
        <v>0</v>
      </c>
      <c r="Q21" s="54">
        <f>Q22+Q25+Q28+Q41+Q42+Q45+Q48+Q51+Q54+Q57+Q60+Q63+Q66+Q69+Q72+Q75+Q78+Q81</f>
        <v>0</v>
      </c>
      <c r="R21" s="10"/>
      <c r="S21" s="156" t="str">
        <f>+IF(MAYO!S21=0,"",MAYO!S21)</f>
        <v>1010104-1</v>
      </c>
      <c r="T21" s="55" t="str">
        <f>+IF(MAYO!T21=0,"",MAYO!T21)</f>
        <v xml:space="preserve">Prima de Navidad </v>
      </c>
      <c r="U21" s="29">
        <f>+ENERO!U21</f>
        <v>31976631</v>
      </c>
      <c r="V21" s="17">
        <f>MAYO!V21+JUNIO!AL21</f>
        <v>0</v>
      </c>
      <c r="W21" s="17">
        <f>MAYO!W21+JUNIO!AM21</f>
        <v>0</v>
      </c>
      <c r="X21" s="20">
        <f t="shared" ref="X21:X33" si="17">SUM(U21:W21)</f>
        <v>31976631</v>
      </c>
      <c r="Y21" s="21">
        <f>MAYO!AA21</f>
        <v>0</v>
      </c>
      <c r="Z21" s="457">
        <v>0</v>
      </c>
      <c r="AA21" s="20">
        <f t="shared" ref="AA21:AA33" si="18">SUM(Y21:Z21)</f>
        <v>0</v>
      </c>
      <c r="AB21" s="21">
        <f>MAYO!AD21</f>
        <v>0</v>
      </c>
      <c r="AC21" s="457">
        <v>0</v>
      </c>
      <c r="AD21" s="20">
        <f t="shared" ref="AD21:AD33" si="19">SUM(AB21:AC21)</f>
        <v>0</v>
      </c>
      <c r="AE21" s="21">
        <f>MAYO!AG21</f>
        <v>0</v>
      </c>
      <c r="AF21" s="457">
        <v>0</v>
      </c>
      <c r="AG21" s="20">
        <f t="shared" ref="AG21:AG33" si="20">SUM(AE21:AF21)</f>
        <v>0</v>
      </c>
      <c r="AH21" s="21">
        <f t="shared" ref="AH21:AH33" si="21">X21-AA21</f>
        <v>31976631</v>
      </c>
      <c r="AI21" s="17">
        <f t="shared" ref="AI21:AI33" si="22">X21-AD21</f>
        <v>31976631</v>
      </c>
      <c r="AJ21" s="18">
        <f t="shared" ref="AJ21:AJ33" si="23">X21-AG21</f>
        <v>31976631</v>
      </c>
      <c r="AK21" s="10"/>
      <c r="AL21" s="455">
        <v>0</v>
      </c>
      <c r="AM21" s="458">
        <v>0</v>
      </c>
      <c r="AN21" s="10"/>
      <c r="AO21" s="428"/>
      <c r="AP21" s="520"/>
      <c r="AQ21" s="521"/>
      <c r="AR21" s="522" t="str">
        <f>AR6</f>
        <v>JUNIO</v>
      </c>
      <c r="AS21" s="523" t="str">
        <f>AR6</f>
        <v>JUNIO</v>
      </c>
      <c r="AT21" s="522" t="str">
        <f>AR6</f>
        <v>JUNIO</v>
      </c>
      <c r="AU21" s="522" t="s">
        <v>46</v>
      </c>
      <c r="AV21" s="522" t="s">
        <v>24</v>
      </c>
      <c r="AW21" s="524"/>
      <c r="AX21" s="524"/>
      <c r="AY21" s="522" t="s">
        <v>46</v>
      </c>
      <c r="AZ21" s="525" t="s">
        <v>24</v>
      </c>
      <c r="BA21" s="10"/>
      <c r="BB21" s="119" t="s">
        <v>466</v>
      </c>
      <c r="BC21" s="83">
        <f>+F117</f>
        <v>0</v>
      </c>
      <c r="BD21" s="84">
        <f>I117</f>
        <v>0</v>
      </c>
      <c r="BE21" s="85">
        <f>K117</f>
        <v>0</v>
      </c>
      <c r="BF21" s="71">
        <f>MARZO!BF21+ABRIL!BE21+MAYO!BE21+JUNIO!BE21</f>
        <v>0</v>
      </c>
      <c r="BG21" s="467"/>
      <c r="BH21" s="467"/>
      <c r="BI21" s="467"/>
      <c r="BJ21" s="467"/>
      <c r="BK21" s="467"/>
      <c r="BL21" s="467"/>
      <c r="BM21" s="164" t="s">
        <v>101</v>
      </c>
      <c r="BN21" s="101">
        <v>0</v>
      </c>
      <c r="BO21" s="99">
        <v>0</v>
      </c>
      <c r="BP21" s="99">
        <v>0</v>
      </c>
      <c r="BQ21" s="100">
        <v>0</v>
      </c>
      <c r="BR21" s="467"/>
    </row>
    <row r="22" spans="1:70" s="10" customFormat="1" ht="15" x14ac:dyDescent="0.25">
      <c r="A22" s="57">
        <f>+IF(MAYO!A22=0,"",MAYO!A22)</f>
        <v>1130101</v>
      </c>
      <c r="B22" s="45" t="str">
        <f>+IF(MAYO!B22=0,"",MAYO!B22)</f>
        <v>EPS - REGIMEN CONTRIBUTIVO</v>
      </c>
      <c r="C22" s="53">
        <f t="shared" ref="C22:N22" si="24">SUM(C23:C24)</f>
        <v>235438278</v>
      </c>
      <c r="D22" s="53">
        <f t="shared" si="24"/>
        <v>0</v>
      </c>
      <c r="E22" s="53">
        <f t="shared" si="24"/>
        <v>0</v>
      </c>
      <c r="F22" s="54">
        <f t="shared" si="24"/>
        <v>235438278</v>
      </c>
      <c r="G22" s="52">
        <f t="shared" si="24"/>
        <v>151776817</v>
      </c>
      <c r="H22" s="53">
        <f t="shared" si="24"/>
        <v>37769618</v>
      </c>
      <c r="I22" s="54">
        <f t="shared" si="24"/>
        <v>189546435</v>
      </c>
      <c r="J22" s="52">
        <f t="shared" si="24"/>
        <v>35769864</v>
      </c>
      <c r="K22" s="53">
        <f t="shared" si="24"/>
        <v>20635222</v>
      </c>
      <c r="L22" s="54">
        <f t="shared" si="24"/>
        <v>56405086</v>
      </c>
      <c r="M22" s="52">
        <f t="shared" si="24"/>
        <v>45891843</v>
      </c>
      <c r="N22" s="54">
        <f t="shared" si="24"/>
        <v>179033192</v>
      </c>
      <c r="P22" s="52">
        <f>SUM(P23:P24)</f>
        <v>0</v>
      </c>
      <c r="Q22" s="54">
        <f>SUM(Q23:Q24)</f>
        <v>0</v>
      </c>
      <c r="S22" s="156" t="str">
        <f>+IF(MAYO!S22=0,"",MAYO!S22)</f>
        <v>1010104-2</v>
      </c>
      <c r="T22" s="55" t="str">
        <f>+IF(MAYO!T22=0,"",MAYO!T22)</f>
        <v>Prima Vida Cara</v>
      </c>
      <c r="U22" s="29">
        <f>+ENERO!U22</f>
        <v>0</v>
      </c>
      <c r="V22" s="17">
        <f>MAYO!V22+JUNIO!AL22</f>
        <v>0</v>
      </c>
      <c r="W22" s="17">
        <f>MAYO!W22+JUNIO!AM22</f>
        <v>0</v>
      </c>
      <c r="X22" s="20">
        <f t="shared" si="17"/>
        <v>0</v>
      </c>
      <c r="Y22" s="21">
        <f>MAYO!AA22</f>
        <v>0</v>
      </c>
      <c r="Z22" s="457">
        <v>0</v>
      </c>
      <c r="AA22" s="20">
        <f t="shared" si="18"/>
        <v>0</v>
      </c>
      <c r="AB22" s="21">
        <f>MAYO!AD22</f>
        <v>0</v>
      </c>
      <c r="AC22" s="457">
        <v>0</v>
      </c>
      <c r="AD22" s="20">
        <f t="shared" si="19"/>
        <v>0</v>
      </c>
      <c r="AE22" s="21">
        <f>MAYO!AG22</f>
        <v>0</v>
      </c>
      <c r="AF22" s="457">
        <v>0</v>
      </c>
      <c r="AG22" s="20">
        <f t="shared" si="20"/>
        <v>0</v>
      </c>
      <c r="AH22" s="21">
        <f t="shared" si="21"/>
        <v>0</v>
      </c>
      <c r="AI22" s="17">
        <f t="shared" si="22"/>
        <v>0</v>
      </c>
      <c r="AJ22" s="18">
        <f t="shared" si="23"/>
        <v>0</v>
      </c>
      <c r="AL22" s="455">
        <v>0</v>
      </c>
      <c r="AM22" s="458">
        <v>0</v>
      </c>
      <c r="AO22" s="23"/>
      <c r="AP22" s="526" t="s">
        <v>106</v>
      </c>
      <c r="AQ22" s="527">
        <f>X17+X66</f>
        <v>1269481968</v>
      </c>
      <c r="AR22" s="527">
        <f>AD17+AD66</f>
        <v>630466009</v>
      </c>
      <c r="AS22" s="527">
        <f>AG17+AG66</f>
        <v>561934394</v>
      </c>
      <c r="AT22" s="528"/>
      <c r="AU22" s="529">
        <f t="shared" ref="AU22:AU32" si="25">IF(AQ22=0," ",AR22/AQ22)</f>
        <v>0.49663250435393347</v>
      </c>
      <c r="AV22" s="529">
        <f t="shared" ref="AV22:AV32" si="26">IF(AQ22=0," ",AS22/AQ22)</f>
        <v>0.44264858278002733</v>
      </c>
      <c r="AW22" s="530">
        <f>AR22/$AO$2*12</f>
        <v>1260932018</v>
      </c>
      <c r="AX22" s="530">
        <f>AS22/$AO$2*12</f>
        <v>1123868788</v>
      </c>
      <c r="AY22" s="530">
        <f t="shared" ref="AY22:AY31" si="27">AW22-AQ22</f>
        <v>-8549950</v>
      </c>
      <c r="AZ22" s="531">
        <f t="shared" ref="AZ22:AZ31" si="28">AQ22-AX22</f>
        <v>145613180</v>
      </c>
      <c r="BA22" s="467"/>
      <c r="BB22" s="119" t="s">
        <v>467</v>
      </c>
      <c r="BC22" s="83">
        <f>SUMIF($B8:B117,$B24,F8:F117)+F116</f>
        <v>165717175</v>
      </c>
      <c r="BD22" s="84">
        <f>SUMIF($B8:B117,$B24,I8:I117)+I116</f>
        <v>308740980</v>
      </c>
      <c r="BE22" s="85">
        <f>SUMIF($B8:B117,$B24,K8:K117)+K116</f>
        <v>36905180</v>
      </c>
      <c r="BF22" s="71">
        <f>MARZO!BF22+ABRIL!BE22+MAYO!BE22+JUNIO!BE22</f>
        <v>308740980</v>
      </c>
      <c r="BG22" s="467"/>
      <c r="BH22" s="467"/>
      <c r="BI22" s="467"/>
      <c r="BJ22" s="467"/>
      <c r="BK22" s="467"/>
      <c r="BM22" s="89" t="s">
        <v>69</v>
      </c>
      <c r="BN22" s="101">
        <f>BN23+BN24</f>
        <v>197767489</v>
      </c>
      <c r="BO22" s="99">
        <f>BO23+BO24</f>
        <v>64587236</v>
      </c>
      <c r="BP22" s="99">
        <f>BP23+BP24</f>
        <v>64587236</v>
      </c>
      <c r="BQ22" s="100">
        <f>BQ23+BQ24</f>
        <v>4295127</v>
      </c>
      <c r="BR22" s="467"/>
    </row>
    <row r="23" spans="1:70" s="514" customFormat="1" ht="15.75" thickBot="1" x14ac:dyDescent="0.25">
      <c r="A23" s="188" t="str">
        <f>+IF(MAYO!A23=0,"",MAYO!A23)</f>
        <v>1130101-1</v>
      </c>
      <c r="B23" s="189" t="str">
        <f>+CONCATENATE("Vigencia ",INSTRUCCIONES!$F$3)</f>
        <v>Vigencia 2014</v>
      </c>
      <c r="C23" s="456">
        <f>+ENERO!C23</f>
        <v>190033939</v>
      </c>
      <c r="D23" s="456">
        <f>MAYO!D23+JUNIO!P23</f>
        <v>0</v>
      </c>
      <c r="E23" s="456">
        <f>MAYO!E23+JUNIO!Q23</f>
        <v>0</v>
      </c>
      <c r="F23" s="170">
        <f>SUM(C23:E23)</f>
        <v>190033939</v>
      </c>
      <c r="G23" s="283">
        <f>MAYO!I23</f>
        <v>119819577</v>
      </c>
      <c r="H23" s="457">
        <v>23948541</v>
      </c>
      <c r="I23" s="170">
        <f>SUM(G23:H23)</f>
        <v>143768118</v>
      </c>
      <c r="J23" s="283">
        <f>MAYO!L23</f>
        <v>3812624</v>
      </c>
      <c r="K23" s="457">
        <v>6814145</v>
      </c>
      <c r="L23" s="170">
        <f>SUM(J23:K23)</f>
        <v>10626769</v>
      </c>
      <c r="M23" s="283">
        <f>F23-I23</f>
        <v>46265821</v>
      </c>
      <c r="N23" s="170">
        <f>F23-L23</f>
        <v>179407170</v>
      </c>
      <c r="O23" s="10"/>
      <c r="P23" s="455">
        <v>0</v>
      </c>
      <c r="Q23" s="458">
        <v>0</v>
      </c>
      <c r="R23" s="10"/>
      <c r="S23" s="156" t="str">
        <f>+IF(MAYO!S23=0,"",MAYO!S23)</f>
        <v>1010104-3</v>
      </c>
      <c r="T23" s="55" t="str">
        <f>+IF(MAYO!T23=0,"",MAYO!T23)</f>
        <v>Prima de Vacaciones</v>
      </c>
      <c r="U23" s="29">
        <f>+ENERO!U23</f>
        <v>15348783</v>
      </c>
      <c r="V23" s="17">
        <f>MAYO!V23+JUNIO!AL23</f>
        <v>0</v>
      </c>
      <c r="W23" s="17">
        <f>MAYO!W23+JUNIO!AM23</f>
        <v>0</v>
      </c>
      <c r="X23" s="20">
        <f t="shared" si="17"/>
        <v>15348783</v>
      </c>
      <c r="Y23" s="21">
        <f>MAYO!AA23</f>
        <v>4325611</v>
      </c>
      <c r="Z23" s="457">
        <v>3089148</v>
      </c>
      <c r="AA23" s="20">
        <f t="shared" si="18"/>
        <v>7414759</v>
      </c>
      <c r="AB23" s="21">
        <f>MAYO!AD23</f>
        <v>4325611</v>
      </c>
      <c r="AC23" s="457">
        <v>3089148</v>
      </c>
      <c r="AD23" s="20">
        <f t="shared" si="19"/>
        <v>7414759</v>
      </c>
      <c r="AE23" s="21">
        <f>MAYO!AG23</f>
        <v>4325611</v>
      </c>
      <c r="AF23" s="457">
        <v>418560</v>
      </c>
      <c r="AG23" s="20">
        <f t="shared" si="20"/>
        <v>4744171</v>
      </c>
      <c r="AH23" s="21">
        <f t="shared" si="21"/>
        <v>7934024</v>
      </c>
      <c r="AI23" s="17">
        <f t="shared" si="22"/>
        <v>7934024</v>
      </c>
      <c r="AJ23" s="18">
        <f t="shared" si="23"/>
        <v>10604612</v>
      </c>
      <c r="AK23" s="10"/>
      <c r="AL23" s="455">
        <v>0</v>
      </c>
      <c r="AM23" s="458">
        <v>0</v>
      </c>
      <c r="AN23" s="10"/>
      <c r="AO23" s="453"/>
      <c r="AP23" s="532" t="s">
        <v>110</v>
      </c>
      <c r="AQ23" s="533">
        <f>X16+X65-AQ22</f>
        <v>349958128</v>
      </c>
      <c r="AR23" s="533">
        <f>AD16+AD65-AR22</f>
        <v>102559473</v>
      </c>
      <c r="AS23" s="533">
        <f>AG16+AG65-AS22</f>
        <v>93179966</v>
      </c>
      <c r="AT23" s="401"/>
      <c r="AU23" s="419">
        <f t="shared" si="25"/>
        <v>0.29306212599239873</v>
      </c>
      <c r="AV23" s="419">
        <f t="shared" si="26"/>
        <v>0.26626032814988654</v>
      </c>
      <c r="AW23" s="533">
        <f>(AR23-AD21-AD22-AD23-AD25-AD30-AD33-AD70-AD71-AD72-AD74-AD78-AD81)/$AO$2*12+AX22/12*2.5+AD30+AD33+AD78+AD81</f>
        <v>375983267.83333331</v>
      </c>
      <c r="AX23" s="533">
        <f>(AS23-AG21-AG22-AG23-AG25-AG30-AG33-AG70-AG71-AG72-AG74-AG78-AG81)/$AO$2*12+AX22/12*2.5+AG30+AG33+AG78+AG81</f>
        <v>372785511.83333331</v>
      </c>
      <c r="AY23" s="533">
        <f t="shared" si="27"/>
        <v>26025139.833333313</v>
      </c>
      <c r="AZ23" s="62">
        <f t="shared" si="28"/>
        <v>-22827383.833333313</v>
      </c>
      <c r="BA23" s="467"/>
      <c r="BB23" s="678" t="s">
        <v>111</v>
      </c>
      <c r="BC23" s="679">
        <f>BC7+BC8+BC20+BC21+BC22</f>
        <v>3690024195</v>
      </c>
      <c r="BD23" s="138">
        <f>BD7+BD8+BD20+BD21+BD22+BD92</f>
        <v>2161132289</v>
      </c>
      <c r="BE23" s="139">
        <f>BE7+BE8+BE20+BE21+BE22+BE92</f>
        <v>248661077</v>
      </c>
      <c r="BF23" s="467"/>
      <c r="BG23" s="467"/>
      <c r="BH23" s="467"/>
      <c r="BI23" s="467"/>
      <c r="BJ23" s="467"/>
      <c r="BK23" s="467"/>
      <c r="BL23" s="467"/>
      <c r="BM23" s="164" t="s">
        <v>107</v>
      </c>
      <c r="BN23" s="101">
        <f>X177</f>
        <v>104106866</v>
      </c>
      <c r="BO23" s="99">
        <f>AA177</f>
        <v>44315213</v>
      </c>
      <c r="BP23" s="99">
        <f>AD177</f>
        <v>44315213</v>
      </c>
      <c r="BQ23" s="100">
        <f>AF177</f>
        <v>4295127</v>
      </c>
      <c r="BR23" s="10"/>
    </row>
    <row r="24" spans="1:70" s="514" customFormat="1" ht="15" x14ac:dyDescent="0.2">
      <c r="A24" s="188" t="str">
        <f>+IF(MAYO!A24=0,"",MAYO!A24)</f>
        <v>1130101-2</v>
      </c>
      <c r="B24" s="189" t="str">
        <f>+IF(MAYO!B24=0,"",MAYO!B24)</f>
        <v>Vigencias Anteriores</v>
      </c>
      <c r="C24" s="456">
        <f>+ENERO!C24</f>
        <v>45404339</v>
      </c>
      <c r="D24" s="456">
        <f>MAYO!D24+JUNIO!P24</f>
        <v>0</v>
      </c>
      <c r="E24" s="456">
        <f>MAYO!E24+JUNIO!Q24</f>
        <v>0</v>
      </c>
      <c r="F24" s="170">
        <f>SUM(C24:E24)</f>
        <v>45404339</v>
      </c>
      <c r="G24" s="283">
        <f>MAYO!I24</f>
        <v>31957240</v>
      </c>
      <c r="H24" s="457">
        <v>13821077</v>
      </c>
      <c r="I24" s="170">
        <f>SUM(G24:H24)</f>
        <v>45778317</v>
      </c>
      <c r="J24" s="283">
        <f>MAYO!L24</f>
        <v>31957240</v>
      </c>
      <c r="K24" s="457">
        <v>13821077</v>
      </c>
      <c r="L24" s="170">
        <f>SUM(J24:K24)</f>
        <v>45778317</v>
      </c>
      <c r="M24" s="283">
        <f>F24-I24</f>
        <v>-373978</v>
      </c>
      <c r="N24" s="170">
        <f>F24-L24</f>
        <v>-373978</v>
      </c>
      <c r="O24" s="467"/>
      <c r="P24" s="455">
        <v>0</v>
      </c>
      <c r="Q24" s="458">
        <v>0</v>
      </c>
      <c r="R24" s="10"/>
      <c r="S24" s="156" t="str">
        <f>+IF(MAYO!S24=0,"",MAYO!S24)</f>
        <v>1010104-4</v>
      </c>
      <c r="T24" s="55" t="str">
        <f>+IF(MAYO!T24=0,"",MAYO!T24)</f>
        <v>Prima Clima</v>
      </c>
      <c r="U24" s="29">
        <f>+ENERO!U24</f>
        <v>0</v>
      </c>
      <c r="V24" s="17">
        <f>MAYO!V24+JUNIO!AL24</f>
        <v>0</v>
      </c>
      <c r="W24" s="17">
        <f>MAYO!W24+JUNIO!AM24</f>
        <v>0</v>
      </c>
      <c r="X24" s="20">
        <f t="shared" si="17"/>
        <v>0</v>
      </c>
      <c r="Y24" s="21">
        <f>MAYO!AA24</f>
        <v>0</v>
      </c>
      <c r="Z24" s="457">
        <v>0</v>
      </c>
      <c r="AA24" s="20">
        <f t="shared" si="18"/>
        <v>0</v>
      </c>
      <c r="AB24" s="21">
        <f>MAYO!AD24</f>
        <v>0</v>
      </c>
      <c r="AC24" s="457">
        <v>0</v>
      </c>
      <c r="AD24" s="20">
        <f t="shared" si="19"/>
        <v>0</v>
      </c>
      <c r="AE24" s="21">
        <f>MAYO!AG24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187975007</v>
      </c>
      <c r="AR24" s="528">
        <f>AD35+AD83</f>
        <v>63088802</v>
      </c>
      <c r="AS24" s="528">
        <f>AG35+AG83</f>
        <v>54773771</v>
      </c>
      <c r="AT24" s="528"/>
      <c r="AU24" s="456">
        <f t="shared" si="25"/>
        <v>0.33562335231087398</v>
      </c>
      <c r="AV24" s="456">
        <f t="shared" si="26"/>
        <v>0.29138858337693796</v>
      </c>
      <c r="AW24" s="456">
        <f>(AR24-AD41-AD88)/$AO$2*12+AD41+AD88</f>
        <v>114637552</v>
      </c>
      <c r="AX24" s="456">
        <f>(AS24-AG41-AG88)/$AO$2*12+AG41+AG88</f>
        <v>98054790</v>
      </c>
      <c r="AY24" s="456">
        <f t="shared" si="27"/>
        <v>-73337455</v>
      </c>
      <c r="AZ24" s="170">
        <f t="shared" si="28"/>
        <v>89920217</v>
      </c>
      <c r="BA24" s="10"/>
      <c r="BB24" s="534"/>
      <c r="BC24" s="467"/>
      <c r="BD24" s="467"/>
      <c r="BE24" s="467"/>
      <c r="BF24" s="467"/>
      <c r="BG24" s="467"/>
      <c r="BH24" s="467"/>
      <c r="BI24" s="467"/>
      <c r="BJ24" s="467"/>
      <c r="BK24" s="467"/>
      <c r="BL24" s="467"/>
      <c r="BM24" s="164" t="s">
        <v>112</v>
      </c>
      <c r="BN24" s="101">
        <f>X170-X177-X174-X183-X191</f>
        <v>93660623</v>
      </c>
      <c r="BO24" s="99">
        <f>AA170-AA177-AA174-AA183-AA191</f>
        <v>20272023</v>
      </c>
      <c r="BP24" s="99">
        <f>AD170-AD177-AD174-AD183-AD191</f>
        <v>20272023</v>
      </c>
      <c r="BQ24" s="100">
        <f>AF170-AF177-AF174-AF183-AF191</f>
        <v>0</v>
      </c>
      <c r="BR24" s="467"/>
    </row>
    <row r="25" spans="1:70" s="467" customFormat="1" ht="15" x14ac:dyDescent="0.25">
      <c r="A25" s="57">
        <f>+IF(MAYO!A25=0,"",MAYO!A25)</f>
        <v>1130102</v>
      </c>
      <c r="B25" s="45" t="str">
        <f>+IF(MAYO!B25=0,"",MAYO!B25)</f>
        <v>ARS - REGIMEN SUBSIDIADO</v>
      </c>
      <c r="C25" s="53">
        <f t="shared" ref="C25:N25" si="29">SUM(C26:C27)</f>
        <v>2553198704</v>
      </c>
      <c r="D25" s="53">
        <f t="shared" si="29"/>
        <v>0</v>
      </c>
      <c r="E25" s="53">
        <f t="shared" si="29"/>
        <v>0</v>
      </c>
      <c r="F25" s="54">
        <f t="shared" si="29"/>
        <v>2553198704</v>
      </c>
      <c r="G25" s="52">
        <f t="shared" si="29"/>
        <v>1206891757</v>
      </c>
      <c r="H25" s="53">
        <f t="shared" si="29"/>
        <v>221904827</v>
      </c>
      <c r="I25" s="54">
        <f t="shared" si="29"/>
        <v>1428796584</v>
      </c>
      <c r="J25" s="52">
        <f t="shared" si="29"/>
        <v>1040168737</v>
      </c>
      <c r="K25" s="53">
        <f t="shared" si="29"/>
        <v>191640990</v>
      </c>
      <c r="L25" s="54">
        <f t="shared" si="29"/>
        <v>1231809727</v>
      </c>
      <c r="M25" s="52">
        <f t="shared" si="29"/>
        <v>1124402120</v>
      </c>
      <c r="N25" s="54">
        <f t="shared" si="29"/>
        <v>1321388977</v>
      </c>
      <c r="P25" s="52">
        <f>SUM(P26:P27)</f>
        <v>0</v>
      </c>
      <c r="Q25" s="54">
        <f>SUM(Q26:Q27)</f>
        <v>0</v>
      </c>
      <c r="R25" s="10"/>
      <c r="S25" s="156" t="str">
        <f>+IF(MAYO!S25=0,"",MAYO!S25)</f>
        <v>1010104-5</v>
      </c>
      <c r="T25" s="55" t="str">
        <f>+IF(MAYO!T25=0,"",MAYO!T25)</f>
        <v>Prima de Servicios</v>
      </c>
      <c r="U25" s="29">
        <f>+ENERO!U25</f>
        <v>0</v>
      </c>
      <c r="V25" s="17">
        <f>MAYO!V25+JUNIO!AL25</f>
        <v>0</v>
      </c>
      <c r="W25" s="17">
        <f>MAYO!W25+JUNIO!AM25</f>
        <v>0</v>
      </c>
      <c r="X25" s="20">
        <f t="shared" si="17"/>
        <v>0</v>
      </c>
      <c r="Y25" s="21">
        <f>MAYO!AA25</f>
        <v>0</v>
      </c>
      <c r="Z25" s="457">
        <v>0</v>
      </c>
      <c r="AA25" s="20">
        <f t="shared" si="18"/>
        <v>0</v>
      </c>
      <c r="AB25" s="21">
        <f>MAYO!AD25</f>
        <v>0</v>
      </c>
      <c r="AC25" s="457">
        <v>0</v>
      </c>
      <c r="AD25" s="20">
        <f t="shared" si="19"/>
        <v>0</v>
      </c>
      <c r="AE25" s="21">
        <f>MAYO!AG25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572579703</v>
      </c>
      <c r="AR25" s="456">
        <f>AD43+AD57+AD90+AD104</f>
        <v>273200724</v>
      </c>
      <c r="AS25" s="456">
        <f>AG43+AG57+AG90+AG104</f>
        <v>252354455</v>
      </c>
      <c r="AT25" s="528"/>
      <c r="AU25" s="456">
        <f t="shared" si="25"/>
        <v>0.47714007773691552</v>
      </c>
      <c r="AV25" s="456">
        <f t="shared" si="26"/>
        <v>0.44073244943507889</v>
      </c>
      <c r="AW25" s="456">
        <f>(AR25-AD55-AD61-AD102-AD108)/$AO$2*12+AD55+AD61+AD102+AD108</f>
        <v>540561713</v>
      </c>
      <c r="AX25" s="456">
        <f>(AS25-AG55-AG61-AG102-AG108)/$AO$2*12+AG55+AG61+AG102+AG108</f>
        <v>499356323</v>
      </c>
      <c r="AY25" s="456">
        <f t="shared" si="27"/>
        <v>-32017990</v>
      </c>
      <c r="AZ25" s="170">
        <f t="shared" si="28"/>
        <v>73223380</v>
      </c>
      <c r="BM25" s="167" t="s">
        <v>475</v>
      </c>
      <c r="BN25" s="124">
        <f>+SUM(BN26:BN28)</f>
        <v>328675926</v>
      </c>
      <c r="BO25" s="125">
        <f>+SUM(BO26:BO28)</f>
        <v>135327768</v>
      </c>
      <c r="BP25" s="125">
        <f>+SUM(BP26:BP28)</f>
        <v>135300757</v>
      </c>
      <c r="BQ25" s="126">
        <f>+SUM(BQ26:BQ28)</f>
        <v>18894588</v>
      </c>
    </row>
    <row r="26" spans="1:70" s="10" customFormat="1" ht="15" x14ac:dyDescent="0.2">
      <c r="A26" s="188" t="str">
        <f>+IF(MAYO!A26=0,"",MAYO!A26)</f>
        <v>1130102-1</v>
      </c>
      <c r="B26" s="189" t="str">
        <f>+CONCATENATE("Vigencia ",INSTRUCCIONES!$F$3)</f>
        <v>Vigencia 2014</v>
      </c>
      <c r="C26" s="456">
        <f>+ENERO!C26</f>
        <v>2490198704</v>
      </c>
      <c r="D26" s="456">
        <f>MAYO!D26+JUNIO!P26</f>
        <v>0</v>
      </c>
      <c r="E26" s="456">
        <f>MAYO!E26+JUNIO!Q26</f>
        <v>0</v>
      </c>
      <c r="F26" s="170">
        <f>SUM(C26:E26)</f>
        <v>2490198704</v>
      </c>
      <c r="G26" s="283">
        <f>MAYO!I26</f>
        <v>1020972306</v>
      </c>
      <c r="H26" s="457">
        <v>199424611</v>
      </c>
      <c r="I26" s="170">
        <f>SUM(G26:H26)</f>
        <v>1220396917</v>
      </c>
      <c r="J26" s="283">
        <f>MAYO!L26</f>
        <v>854249286</v>
      </c>
      <c r="K26" s="457">
        <v>169160774</v>
      </c>
      <c r="L26" s="170">
        <f>SUM(J26:K26)</f>
        <v>1023410060</v>
      </c>
      <c r="M26" s="283">
        <f>F26-I26</f>
        <v>1269801787</v>
      </c>
      <c r="N26" s="170">
        <f>F26-L26</f>
        <v>1466788644</v>
      </c>
      <c r="P26" s="455">
        <v>0</v>
      </c>
      <c r="Q26" s="458">
        <v>0</v>
      </c>
      <c r="S26" s="156" t="str">
        <f>+IF(MAYO!S26=0,"",MAYO!S26)</f>
        <v>1010104-8</v>
      </c>
      <c r="T26" s="55" t="str">
        <f>+IF(MAYO!T26=0,"",MAYO!T26)</f>
        <v>Bonific. por Servicios Prestados (Convencional)</v>
      </c>
      <c r="U26" s="29">
        <f>+ENERO!U26</f>
        <v>0</v>
      </c>
      <c r="V26" s="17">
        <f>MAYO!V26+JUNIO!AL26</f>
        <v>0</v>
      </c>
      <c r="W26" s="17">
        <f>MAYO!W26+JUNIO!AM26</f>
        <v>0</v>
      </c>
      <c r="X26" s="20">
        <f t="shared" si="17"/>
        <v>0</v>
      </c>
      <c r="Y26" s="21">
        <f>MAYO!AA26</f>
        <v>0</v>
      </c>
      <c r="Z26" s="457">
        <v>0</v>
      </c>
      <c r="AA26" s="20">
        <f t="shared" si="18"/>
        <v>0</v>
      </c>
      <c r="AB26" s="21">
        <f>MAYO!AD26</f>
        <v>0</v>
      </c>
      <c r="AC26" s="457">
        <v>0</v>
      </c>
      <c r="AD26" s="20">
        <f t="shared" si="19"/>
        <v>0</v>
      </c>
      <c r="AE26" s="21">
        <f>MAYO!AG26</f>
        <v>0</v>
      </c>
      <c r="AF26" s="457">
        <v>0</v>
      </c>
      <c r="AG26" s="20">
        <f t="shared" si="20"/>
        <v>0</v>
      </c>
      <c r="AH26" s="21">
        <f t="shared" si="21"/>
        <v>0</v>
      </c>
      <c r="AI26" s="17">
        <f t="shared" si="22"/>
        <v>0</v>
      </c>
      <c r="AJ26" s="18">
        <f t="shared" si="23"/>
        <v>0</v>
      </c>
      <c r="AL26" s="455">
        <v>0</v>
      </c>
      <c r="AM26" s="458">
        <v>0</v>
      </c>
      <c r="AO26" s="23"/>
      <c r="AP26" s="536" t="s">
        <v>122</v>
      </c>
      <c r="AQ26" s="401">
        <f>X110</f>
        <v>596554629</v>
      </c>
      <c r="AR26" s="401">
        <f>AD110</f>
        <v>341171891</v>
      </c>
      <c r="AS26" s="401">
        <f>AG110</f>
        <v>262314492</v>
      </c>
      <c r="AT26" s="454">
        <f>AO2/12</f>
        <v>0.5</v>
      </c>
      <c r="AU26" s="419">
        <f t="shared" si="25"/>
        <v>0.57190385325130044</v>
      </c>
      <c r="AV26" s="419">
        <f t="shared" si="26"/>
        <v>0.4397157934047311</v>
      </c>
      <c r="AW26" s="533">
        <f>(AR26-AD121-AD139-AD143-AD153-AD168)/$AO$2*12+AD121+AD139+AD143+AD153+AD168</f>
        <v>644534452</v>
      </c>
      <c r="AX26" s="533">
        <f>(AS26-AG121-AG139-AG143-AG153-AG168)/$AO$2*12+AG121+AG139+AG143+AG153+AG168</f>
        <v>489654012</v>
      </c>
      <c r="AY26" s="533">
        <f t="shared" si="27"/>
        <v>47979823</v>
      </c>
      <c r="AZ26" s="62">
        <f t="shared" si="28"/>
        <v>106900617</v>
      </c>
      <c r="BA26" s="467"/>
      <c r="BB26" s="467"/>
      <c r="BC26" s="467"/>
      <c r="BD26" s="467"/>
      <c r="BE26" s="467"/>
      <c r="BF26" s="467"/>
      <c r="BG26" s="467"/>
      <c r="BH26" s="467"/>
      <c r="BI26" s="467"/>
      <c r="BJ26" s="467"/>
      <c r="BK26" s="467"/>
      <c r="BM26" s="127" t="s">
        <v>476</v>
      </c>
      <c r="BN26" s="104">
        <f>+X196+X212</f>
        <v>203038050</v>
      </c>
      <c r="BO26" s="102">
        <f>+AA196+AA212</f>
        <v>78191840</v>
      </c>
      <c r="BP26" s="102">
        <f>+AD196+AD212</f>
        <v>78164831</v>
      </c>
      <c r="BQ26" s="103">
        <f>+AF196+AF212</f>
        <v>10135870</v>
      </c>
      <c r="BR26" s="467"/>
    </row>
    <row r="27" spans="1:70" s="514" customFormat="1" ht="15" x14ac:dyDescent="0.2">
      <c r="A27" s="188" t="str">
        <f>+IF(MAYO!A27=0,"",MAYO!A27)</f>
        <v>1130102-2</v>
      </c>
      <c r="B27" s="189" t="str">
        <f>+IF(MAYO!B27=0,"",MAYO!B27)</f>
        <v>Vigencias Anteriores</v>
      </c>
      <c r="C27" s="456">
        <f>+ENERO!C27</f>
        <v>63000000</v>
      </c>
      <c r="D27" s="456">
        <f>MAYO!D27+JUNIO!P27</f>
        <v>0</v>
      </c>
      <c r="E27" s="456">
        <f>MAYO!E27+JUNIO!Q27</f>
        <v>0</v>
      </c>
      <c r="F27" s="170">
        <f>SUM(C27:E27)</f>
        <v>63000000</v>
      </c>
      <c r="G27" s="283">
        <f>MAYO!I27</f>
        <v>185919451</v>
      </c>
      <c r="H27" s="457">
        <v>22480216</v>
      </c>
      <c r="I27" s="170">
        <f>SUM(G27:H27)</f>
        <v>208399667</v>
      </c>
      <c r="J27" s="283">
        <f>MAYO!L27</f>
        <v>185919451</v>
      </c>
      <c r="K27" s="457">
        <v>22480216</v>
      </c>
      <c r="L27" s="170">
        <f>SUM(J27:K27)</f>
        <v>208399667</v>
      </c>
      <c r="M27" s="283">
        <f>F27-I27</f>
        <v>-145399667</v>
      </c>
      <c r="N27" s="170">
        <f>F27-L27</f>
        <v>-145399667</v>
      </c>
      <c r="O27" s="467"/>
      <c r="P27" s="455">
        <v>0</v>
      </c>
      <c r="Q27" s="458">
        <v>0</v>
      </c>
      <c r="R27" s="10"/>
      <c r="S27" s="156" t="str">
        <f>+IF(MAYO!S27=0,"",MAYO!S27)</f>
        <v>1010104-9</v>
      </c>
      <c r="T27" s="55" t="str">
        <f>+IF(MAYO!T27=0,"",MAYO!T27)</f>
        <v>Auxilio de Transporte</v>
      </c>
      <c r="U27" s="29">
        <f>+ENERO!U27</f>
        <v>0</v>
      </c>
      <c r="V27" s="17">
        <f>MAYO!V27+JUNIO!AL27</f>
        <v>0</v>
      </c>
      <c r="W27" s="17">
        <f>MAYO!W27+JUNIO!AM27</f>
        <v>0</v>
      </c>
      <c r="X27" s="20">
        <f t="shared" si="17"/>
        <v>0</v>
      </c>
      <c r="Y27" s="21">
        <f>MAYO!AA27</f>
        <v>0</v>
      </c>
      <c r="Z27" s="457">
        <v>0</v>
      </c>
      <c r="AA27" s="20">
        <f t="shared" si="18"/>
        <v>0</v>
      </c>
      <c r="AB27" s="21">
        <f>MAYO!AD27</f>
        <v>0</v>
      </c>
      <c r="AC27" s="457">
        <v>0</v>
      </c>
      <c r="AD27" s="20">
        <f t="shared" si="19"/>
        <v>0</v>
      </c>
      <c r="AE27" s="21">
        <f>MAYO!AG27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204581543</v>
      </c>
      <c r="AR27" s="456">
        <f>AD170</f>
        <v>71401290</v>
      </c>
      <c r="AS27" s="456">
        <f>AG170</f>
        <v>63396313</v>
      </c>
      <c r="AT27" s="528"/>
      <c r="AU27" s="456">
        <f t="shared" si="25"/>
        <v>0.34901139639952761</v>
      </c>
      <c r="AV27" s="456">
        <f t="shared" si="26"/>
        <v>0.30988285683229988</v>
      </c>
      <c r="AW27" s="456">
        <f>(AR27-AD174-AD183-AD191)/$AO$2*12+AD174+AD183+AD191</f>
        <v>135988526</v>
      </c>
      <c r="AX27" s="456">
        <f>(AS27-AG174-AG183-AG191)/$AO$2*12+AG174+AG183+AG191</f>
        <v>120923642</v>
      </c>
      <c r="AY27" s="456">
        <f t="shared" si="27"/>
        <v>-68593017</v>
      </c>
      <c r="AZ27" s="170">
        <f t="shared" si="28"/>
        <v>83657901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x14ac:dyDescent="0.2">
      <c r="A28" s="57">
        <f>+IF(MAYO!A28=0,"",MAYO!A28)</f>
        <v>1130103</v>
      </c>
      <c r="B28" s="60" t="str">
        <f>+IF(MAYO!B28=0,"",MAYO!B28)</f>
        <v>SUBSIDIO A LA OFERTA- ATENCION PERSONAS POBRES NO CUBIERTOS CON SUBSIDIO A LA DEMANDA</v>
      </c>
      <c r="C28" s="53">
        <f t="shared" ref="C28:N28" si="30">C29+C32+C35</f>
        <v>227076373</v>
      </c>
      <c r="D28" s="53">
        <f t="shared" si="30"/>
        <v>-227076373</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+IF(MAYO!S28=0,"",MAYO!S28)</f>
        <v>1010104-10</v>
      </c>
      <c r="T28" s="55" t="str">
        <f>+IF(MAYO!T28=0,"",MAYO!T28)</f>
        <v>Subsidio de Alimentación</v>
      </c>
      <c r="U28" s="29">
        <f>+ENERO!U28</f>
        <v>9130335</v>
      </c>
      <c r="V28" s="17">
        <f>MAYO!V28+JUNIO!AL28</f>
        <v>0</v>
      </c>
      <c r="W28" s="17">
        <f>MAYO!W28+JUNIO!AM28</f>
        <v>0</v>
      </c>
      <c r="X28" s="20">
        <f t="shared" si="17"/>
        <v>9130335</v>
      </c>
      <c r="Y28" s="21">
        <f>MAYO!AA28</f>
        <v>3878586</v>
      </c>
      <c r="Z28" s="457">
        <v>749850</v>
      </c>
      <c r="AA28" s="20">
        <f t="shared" si="18"/>
        <v>4628436</v>
      </c>
      <c r="AB28" s="21">
        <f>MAYO!AD28</f>
        <v>3878586</v>
      </c>
      <c r="AC28" s="457">
        <v>749850</v>
      </c>
      <c r="AD28" s="20">
        <f t="shared" si="19"/>
        <v>4628436</v>
      </c>
      <c r="AE28" s="21">
        <f>MAYO!AG28</f>
        <v>3878586</v>
      </c>
      <c r="AF28" s="457">
        <v>380314</v>
      </c>
      <c r="AG28" s="20">
        <f t="shared" si="20"/>
        <v>4258900</v>
      </c>
      <c r="AH28" s="21">
        <f t="shared" si="21"/>
        <v>4501899</v>
      </c>
      <c r="AI28" s="17">
        <f t="shared" si="22"/>
        <v>4501899</v>
      </c>
      <c r="AJ28" s="18">
        <f t="shared" si="23"/>
        <v>4871435</v>
      </c>
      <c r="AK28" s="10"/>
      <c r="AL28" s="455">
        <v>0</v>
      </c>
      <c r="AM28" s="458">
        <v>0</v>
      </c>
      <c r="AN28" s="10"/>
      <c r="AO28" s="428"/>
      <c r="AP28" s="535" t="s">
        <v>129</v>
      </c>
      <c r="AQ28" s="528">
        <f>X193</f>
        <v>388893217</v>
      </c>
      <c r="AR28" s="528">
        <f>AD193</f>
        <v>195518048</v>
      </c>
      <c r="AS28" s="528">
        <f>AG193</f>
        <v>120197703</v>
      </c>
      <c r="AT28" s="528"/>
      <c r="AU28" s="456">
        <f t="shared" si="25"/>
        <v>0.50275509948017427</v>
      </c>
      <c r="AV28" s="456">
        <f t="shared" si="26"/>
        <v>0.30907636787092641</v>
      </c>
      <c r="AW28" s="456">
        <f>(AR28-AD205)/$AO$2*12+AD205</f>
        <v>330818805</v>
      </c>
      <c r="AX28" s="456">
        <f>(AS28-AG205)/$AO$2*12+AG205</f>
        <v>181913175</v>
      </c>
      <c r="AY28" s="456">
        <f t="shared" si="27"/>
        <v>-58074412</v>
      </c>
      <c r="AZ28" s="170">
        <f t="shared" si="28"/>
        <v>206980042</v>
      </c>
      <c r="BA28" s="467"/>
      <c r="BB28" s="467"/>
      <c r="BC28" s="467"/>
      <c r="BD28" s="467"/>
      <c r="BE28" s="467"/>
      <c r="BF28" s="467"/>
      <c r="BG28" s="467"/>
      <c r="BH28" s="467"/>
      <c r="BI28" s="467"/>
      <c r="BJ28" s="467"/>
      <c r="BK28" s="467"/>
      <c r="BL28" s="467"/>
      <c r="BM28" s="89" t="s">
        <v>478</v>
      </c>
      <c r="BN28" s="101">
        <f>+X194-X196-X205</f>
        <v>125637876</v>
      </c>
      <c r="BO28" s="99">
        <f>+AA194-AA196-AA205</f>
        <v>57135928</v>
      </c>
      <c r="BP28" s="99">
        <f>+AD194-AD196-AD205</f>
        <v>57135926</v>
      </c>
      <c r="BQ28" s="100">
        <f>+AF194-AF196-AF205</f>
        <v>8758718</v>
      </c>
      <c r="BR28" s="10"/>
    </row>
    <row r="29" spans="1:70" s="10" customFormat="1" ht="15" x14ac:dyDescent="0.25">
      <c r="A29" s="61" t="str">
        <f>+IF(MAYO!A29=0,"",MAYO!A29)</f>
        <v>1130103-1</v>
      </c>
      <c r="B29" s="62" t="str">
        <f>+IF(MAYO!B29=0,"",MAYO!B29)</f>
        <v>Prestación de Servicios de salud  1er Nivel</v>
      </c>
      <c r="C29" s="17">
        <f t="shared" ref="C29:N29" si="31">SUM(C30:C31)</f>
        <v>227076373</v>
      </c>
      <c r="D29" s="17">
        <f t="shared" si="31"/>
        <v>-227076373</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+IF(MAYO!S29=0,"",MAYO!S29)</f>
        <v>1010104-11</v>
      </c>
      <c r="T29" s="55" t="str">
        <f>+IF(MAYO!T29=0,"",MAYO!T29)</f>
        <v>Gastos de Representación</v>
      </c>
      <c r="U29" s="29">
        <f>+ENERO!U29</f>
        <v>0</v>
      </c>
      <c r="V29" s="17">
        <f>MAYO!V29+JUNIO!AL29</f>
        <v>0</v>
      </c>
      <c r="W29" s="17">
        <f>MAYO!W29+JUNIO!AM29</f>
        <v>0</v>
      </c>
      <c r="X29" s="20">
        <f t="shared" si="17"/>
        <v>0</v>
      </c>
      <c r="Y29" s="21">
        <f>MAYO!AA29</f>
        <v>0</v>
      </c>
      <c r="Z29" s="457">
        <v>0</v>
      </c>
      <c r="AA29" s="20">
        <f t="shared" si="18"/>
        <v>0</v>
      </c>
      <c r="AB29" s="21">
        <f>MAYO!AD29</f>
        <v>0</v>
      </c>
      <c r="AC29" s="457">
        <v>0</v>
      </c>
      <c r="AD29" s="20">
        <f t="shared" si="19"/>
        <v>0</v>
      </c>
      <c r="AE29" s="21">
        <f>MAYO!AG29</f>
        <v>0</v>
      </c>
      <c r="AF29" s="457">
        <v>0</v>
      </c>
      <c r="AG29" s="20">
        <f t="shared" si="20"/>
        <v>0</v>
      </c>
      <c r="AH29" s="21">
        <f t="shared" si="21"/>
        <v>0</v>
      </c>
      <c r="AI29" s="17">
        <f t="shared" si="22"/>
        <v>0</v>
      </c>
      <c r="AJ29" s="18">
        <f t="shared" si="23"/>
        <v>0</v>
      </c>
      <c r="AL29" s="455">
        <v>0</v>
      </c>
      <c r="AM29" s="458">
        <v>0</v>
      </c>
      <c r="AO29" s="23"/>
      <c r="AP29" s="536" t="s">
        <v>133</v>
      </c>
      <c r="AQ29" s="14">
        <f>X207</f>
        <v>0</v>
      </c>
      <c r="AR29" s="14">
        <f>AD207</f>
        <v>0</v>
      </c>
      <c r="AS29" s="14">
        <f>AG207</f>
        <v>0</v>
      </c>
      <c r="AT29" s="401"/>
      <c r="AU29" s="419" t="str">
        <f t="shared" si="25"/>
        <v xml:space="preserve"> </v>
      </c>
      <c r="AV29" s="419" t="str">
        <f t="shared" si="26"/>
        <v xml:space="preserve"> </v>
      </c>
      <c r="AW29" s="533">
        <f>(AR29-AD218)/$AO$2*12+AD218</f>
        <v>0</v>
      </c>
      <c r="AX29" s="533">
        <f>(AS29-AG218)/$AO$2*12+AG218</f>
        <v>0</v>
      </c>
      <c r="AY29" s="533">
        <f t="shared" si="27"/>
        <v>0</v>
      </c>
      <c r="AZ29" s="62">
        <f t="shared" si="28"/>
        <v>0</v>
      </c>
      <c r="BA29" s="467"/>
      <c r="BB29" s="514"/>
      <c r="BC29" s="514"/>
      <c r="BD29" s="514"/>
      <c r="BE29" s="514"/>
      <c r="BF29" s="514"/>
      <c r="BG29" s="467"/>
      <c r="BH29" s="467"/>
      <c r="BI29" s="467"/>
      <c r="BJ29" s="467"/>
      <c r="BK29" s="467"/>
      <c r="BM29" s="128" t="s">
        <v>72</v>
      </c>
      <c r="BN29" s="124">
        <f>X232-X256-X241</f>
        <v>120000000</v>
      </c>
      <c r="BO29" s="125">
        <f>AA232-AA256-AA241</f>
        <v>95294461</v>
      </c>
      <c r="BP29" s="125">
        <f>AD232-AD256-AD241</f>
        <v>95294461</v>
      </c>
      <c r="BQ29" s="126">
        <f>AF232-AF256-AF241</f>
        <v>17309492</v>
      </c>
      <c r="BR29" s="467"/>
    </row>
    <row r="30" spans="1:70" s="514" customFormat="1" ht="15" x14ac:dyDescent="0.25">
      <c r="A30" s="188" t="str">
        <f>+IF(MAYO!A30=0,"",MAYO!A30)</f>
        <v>1130103-1-1</v>
      </c>
      <c r="B30" s="189" t="str">
        <f>+CONCATENATE("Vigencia ",INSTRUCCIONES!$F$3)</f>
        <v>Vigencia 2014</v>
      </c>
      <c r="C30" s="456">
        <f>+ENERO!C30</f>
        <v>227076373</v>
      </c>
      <c r="D30" s="456">
        <f>MAYO!D30+JUNIO!P30</f>
        <v>-227076373</v>
      </c>
      <c r="E30" s="456">
        <f>MAYO!E30+JUNIO!Q30</f>
        <v>0</v>
      </c>
      <c r="F30" s="170">
        <f>SUM(C30:E30)</f>
        <v>0</v>
      </c>
      <c r="G30" s="283">
        <f>MAYO!I30</f>
        <v>0</v>
      </c>
      <c r="H30" s="457">
        <v>0</v>
      </c>
      <c r="I30" s="170">
        <f>SUM(G30:H30)</f>
        <v>0</v>
      </c>
      <c r="J30" s="283">
        <f>MAYO!L30</f>
        <v>0</v>
      </c>
      <c r="K30" s="457">
        <v>0</v>
      </c>
      <c r="L30" s="170">
        <f>SUM(J30:K30)</f>
        <v>0</v>
      </c>
      <c r="M30" s="283">
        <f>F30-I30</f>
        <v>0</v>
      </c>
      <c r="N30" s="170">
        <f>F30-L30</f>
        <v>0</v>
      </c>
      <c r="O30" s="10"/>
      <c r="P30" s="455">
        <v>0</v>
      </c>
      <c r="Q30" s="458">
        <v>0</v>
      </c>
      <c r="R30" s="10"/>
      <c r="S30" s="156" t="str">
        <f>+IF(MAYO!S30=0,"",MAYO!S30)</f>
        <v>1010104-12</v>
      </c>
      <c r="T30" s="55" t="str">
        <f>+IF(MAYO!T30=0,"",MAYO!T30)</f>
        <v xml:space="preserve"> Indemnizaciones por Vacaciones o Supresión de Cargos por Reestructuración</v>
      </c>
      <c r="U30" s="29">
        <f>+ENERO!U30</f>
        <v>0</v>
      </c>
      <c r="V30" s="17">
        <f>MAYO!V30+JUNIO!AL30</f>
        <v>0</v>
      </c>
      <c r="W30" s="17">
        <f>MAYO!W30+JUNIO!AM30</f>
        <v>0</v>
      </c>
      <c r="X30" s="20">
        <f t="shared" si="17"/>
        <v>0</v>
      </c>
      <c r="Y30" s="21">
        <f>MAYO!AA30</f>
        <v>0</v>
      </c>
      <c r="Z30" s="457">
        <v>0</v>
      </c>
      <c r="AA30" s="20">
        <f t="shared" si="18"/>
        <v>0</v>
      </c>
      <c r="AB30" s="21">
        <f>MAYO!AD30</f>
        <v>0</v>
      </c>
      <c r="AC30" s="457">
        <v>0</v>
      </c>
      <c r="AD30" s="20">
        <f t="shared" si="19"/>
        <v>0</v>
      </c>
      <c r="AE30" s="21">
        <f>MAYO!AG30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120000000</v>
      </c>
      <c r="AR30" s="456">
        <f>AD220+AD232</f>
        <v>95294461</v>
      </c>
      <c r="AS30" s="456">
        <f>AG220+AG232</f>
        <v>72589968</v>
      </c>
      <c r="AT30" s="528"/>
      <c r="AU30" s="456">
        <f t="shared" si="25"/>
        <v>0.79412050833333336</v>
      </c>
      <c r="AV30" s="456">
        <f t="shared" si="26"/>
        <v>0.60491640000000002</v>
      </c>
      <c r="AW30" s="456">
        <f>(AR30-AD225-AD230-AD241-AD256)/$AO$2*12+AD225+AD230+AD241+AD256</f>
        <v>190588922</v>
      </c>
      <c r="AX30" s="456">
        <f>(AS30-AG225-AG230-AG241-AG256)/$AO$2*12+AG225+AG230+AG241+AG256</f>
        <v>145179936</v>
      </c>
      <c r="AY30" s="456">
        <f t="shared" si="27"/>
        <v>70588922</v>
      </c>
      <c r="AZ30" s="170">
        <f t="shared" si="28"/>
        <v>-25179936</v>
      </c>
      <c r="BA30" s="467"/>
      <c r="BG30" s="467"/>
      <c r="BH30" s="467"/>
      <c r="BI30" s="467"/>
      <c r="BJ30" s="467"/>
      <c r="BK30" s="467"/>
      <c r="BL30" s="467"/>
      <c r="BM30" s="128" t="s">
        <v>76</v>
      </c>
      <c r="BN30" s="124">
        <f>X220-X225-X230</f>
        <v>0</v>
      </c>
      <c r="BO30" s="125">
        <f>AA220-AA225-AA230</f>
        <v>0</v>
      </c>
      <c r="BP30" s="125">
        <f>AD220-AD225-AD230</f>
        <v>0</v>
      </c>
      <c r="BQ30" s="126">
        <f>AF220-AF225-AF230</f>
        <v>0</v>
      </c>
      <c r="BR30" s="467"/>
    </row>
    <row r="31" spans="1:70" s="514" customFormat="1" ht="15" x14ac:dyDescent="0.25">
      <c r="A31" s="188" t="str">
        <f>+IF(MAYO!A31=0,"",MAYO!A31)</f>
        <v>1130103-1-2</v>
      </c>
      <c r="B31" s="189" t="str">
        <f>+IF(MAYO!B31=0,"",MAYO!B31)</f>
        <v>Vigencias Anteriores</v>
      </c>
      <c r="C31" s="456">
        <f>+ENERO!C31</f>
        <v>0</v>
      </c>
      <c r="D31" s="456">
        <f>MAYO!D31+JUNIO!P31</f>
        <v>0</v>
      </c>
      <c r="E31" s="456">
        <f>MAYO!E31+JUNIO!Q31</f>
        <v>0</v>
      </c>
      <c r="F31" s="170">
        <f>SUM(C31:E31)</f>
        <v>0</v>
      </c>
      <c r="G31" s="283">
        <f>MAYO!I31</f>
        <v>0</v>
      </c>
      <c r="H31" s="457">
        <v>0</v>
      </c>
      <c r="I31" s="170">
        <f>SUM(G31:H31)</f>
        <v>0</v>
      </c>
      <c r="J31" s="283">
        <f>MAYO!L31</f>
        <v>0</v>
      </c>
      <c r="K31" s="457">
        <v>0</v>
      </c>
      <c r="L31" s="170">
        <f>SUM(J31:K31)</f>
        <v>0</v>
      </c>
      <c r="M31" s="283">
        <f>F31-I31</f>
        <v>0</v>
      </c>
      <c r="N31" s="170">
        <f>F31-L31</f>
        <v>0</v>
      </c>
      <c r="O31" s="467"/>
      <c r="P31" s="455">
        <v>0</v>
      </c>
      <c r="Q31" s="458">
        <v>0</v>
      </c>
      <c r="R31" s="10"/>
      <c r="S31" s="156" t="str">
        <f>+IF(MAYO!S31=0,"",MAYO!S31)</f>
        <v>1010104-13</v>
      </c>
      <c r="T31" s="55" t="str">
        <f>+IF(MAYO!T31=0,"",MAYO!T31)</f>
        <v>Bonificación Especial por Recreación</v>
      </c>
      <c r="U31" s="29">
        <f>+ENERO!U31</f>
        <v>2046504</v>
      </c>
      <c r="V31" s="17">
        <f>MAYO!V31+JUNIO!AL31</f>
        <v>0</v>
      </c>
      <c r="W31" s="17">
        <f>MAYO!W31+JUNIO!AM31</f>
        <v>0</v>
      </c>
      <c r="X31" s="20">
        <f t="shared" si="17"/>
        <v>2046504</v>
      </c>
      <c r="Y31" s="21">
        <f>MAYO!AA31</f>
        <v>575152</v>
      </c>
      <c r="Z31" s="457">
        <v>411886</v>
      </c>
      <c r="AA31" s="20">
        <f t="shared" si="18"/>
        <v>987038</v>
      </c>
      <c r="AB31" s="21">
        <f>MAYO!AD31</f>
        <v>575152</v>
      </c>
      <c r="AC31" s="457">
        <v>411886</v>
      </c>
      <c r="AD31" s="20">
        <f t="shared" si="19"/>
        <v>987038</v>
      </c>
      <c r="AE31" s="21">
        <f>MAYO!AG31</f>
        <v>575152</v>
      </c>
      <c r="AF31" s="457">
        <v>55808</v>
      </c>
      <c r="AG31" s="20">
        <f t="shared" si="20"/>
        <v>630960</v>
      </c>
      <c r="AH31" s="21">
        <f t="shared" si="21"/>
        <v>1059466</v>
      </c>
      <c r="AI31" s="17">
        <f t="shared" si="22"/>
        <v>1059466</v>
      </c>
      <c r="AJ31" s="18">
        <f t="shared" si="23"/>
        <v>1415544</v>
      </c>
      <c r="AK31" s="10"/>
      <c r="AL31" s="455">
        <v>0</v>
      </c>
      <c r="AM31" s="458">
        <v>0</v>
      </c>
      <c r="AN31" s="10"/>
      <c r="AO31" s="428"/>
      <c r="AP31" s="507" t="s">
        <v>139</v>
      </c>
      <c r="AQ31" s="528">
        <f>X258</f>
        <v>0</v>
      </c>
      <c r="AR31" s="528">
        <f>AD258</f>
        <v>8328205</v>
      </c>
      <c r="AS31" s="528">
        <f>AG258</f>
        <v>-1480741062</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145919491</v>
      </c>
      <c r="BO31" s="125">
        <f>AA33+AA41+AA55+AA61+AA81+AA88+AA102+AA108+AA121+AA139+AA143+AA153+AA168+AA174+AA183+AA191+AA205+AA218+AA230+AA241+AA256+AA225</f>
        <v>145453491</v>
      </c>
      <c r="BP31" s="125">
        <f>AD33+AD41+AD55+AD61+AD81+AD88+AD102+AD108+AD121+AD139+AD143+AD153+AD168+AD174+AD183+AD191+AD205+AD218+AD230+AD241+AD256+AD225</f>
        <v>145453491</v>
      </c>
      <c r="BQ31" s="126">
        <f>AF33+AF41+AF55+AF61+AF81+AF88+AF102+AF108+AF121+AF139+AF143+AF153+AF168+AF174+AF183+AF191+AF205+AF218+AF230+AF241+AF256+AF225</f>
        <v>0</v>
      </c>
      <c r="BR31" s="10"/>
    </row>
    <row r="32" spans="1:70" s="10" customFormat="1" ht="15.75" thickBot="1" x14ac:dyDescent="0.3">
      <c r="A32" s="61" t="str">
        <f>+IF(MAYO!A32=0,"",MAYO!A32)</f>
        <v>1130103-2</v>
      </c>
      <c r="B32" s="62" t="str">
        <f>+IF(MAYO!B32=0,"",MAYO!B32)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+IF(MAYO!S32=0,"",MAYO!S32)</f>
        <v>1010104-14</v>
      </c>
      <c r="T32" s="55" t="str">
        <f>+IF(MAYO!T32=0,"",MAYO!T32)</f>
        <v/>
      </c>
      <c r="U32" s="29">
        <f>+ENERO!U32</f>
        <v>0</v>
      </c>
      <c r="V32" s="17">
        <f>MAYO!V32+JUNIO!AL32</f>
        <v>0</v>
      </c>
      <c r="W32" s="17">
        <f>MAYO!W32+JUNIO!AM32</f>
        <v>0</v>
      </c>
      <c r="X32" s="20">
        <f t="shared" si="17"/>
        <v>0</v>
      </c>
      <c r="Y32" s="21">
        <f>MAYO!AA32</f>
        <v>0</v>
      </c>
      <c r="Z32" s="457">
        <v>0</v>
      </c>
      <c r="AA32" s="20">
        <f t="shared" si="18"/>
        <v>0</v>
      </c>
      <c r="AB32" s="21">
        <f>MAYO!AD32</f>
        <v>0</v>
      </c>
      <c r="AC32" s="457">
        <v>0</v>
      </c>
      <c r="AD32" s="20">
        <f t="shared" si="19"/>
        <v>0</v>
      </c>
      <c r="AE32" s="21">
        <f>MAYO!AG32</f>
        <v>0</v>
      </c>
      <c r="AF32" s="457">
        <v>0</v>
      </c>
      <c r="AG32" s="20">
        <f t="shared" si="20"/>
        <v>0</v>
      </c>
      <c r="AH32" s="21">
        <f t="shared" si="21"/>
        <v>0</v>
      </c>
      <c r="AI32" s="17">
        <f t="shared" si="22"/>
        <v>0</v>
      </c>
      <c r="AJ32" s="18">
        <f t="shared" si="23"/>
        <v>0</v>
      </c>
      <c r="AL32" s="455">
        <v>0</v>
      </c>
      <c r="AM32" s="458">
        <v>0</v>
      </c>
      <c r="AO32" s="23"/>
      <c r="AP32" s="537" t="s">
        <v>144</v>
      </c>
      <c r="AQ32" s="483">
        <f>SUM(AQ22:AQ31)</f>
        <v>3690024195</v>
      </c>
      <c r="AR32" s="483">
        <f>SUM(AR22:AR31)</f>
        <v>1781028903</v>
      </c>
      <c r="AS32" s="483">
        <f>SUM(AS22:AS31)</f>
        <v>0</v>
      </c>
      <c r="AT32" s="538"/>
      <c r="AU32" s="539">
        <f t="shared" si="25"/>
        <v>0.48266049458789523</v>
      </c>
      <c r="AV32" s="539">
        <f t="shared" si="26"/>
        <v>0</v>
      </c>
      <c r="AW32" s="430">
        <f>SUM(AW22:AW31)</f>
        <v>3594045255.833333</v>
      </c>
      <c r="AX32" s="430">
        <f>SUM(AX22:AX31)</f>
        <v>3031736177.833333</v>
      </c>
      <c r="AY32" s="430">
        <f>SUM(AY22:AY31)</f>
        <v>-95978939.166666687</v>
      </c>
      <c r="AZ32" s="431">
        <f>SUM(AZ22:AZ31)</f>
        <v>658288017.16666675</v>
      </c>
      <c r="BA32" s="467"/>
      <c r="BB32" s="514"/>
      <c r="BC32" s="514"/>
      <c r="BD32" s="514"/>
      <c r="BE32" s="514"/>
      <c r="BF32" s="514"/>
      <c r="BG32" s="467"/>
      <c r="BH32" s="467"/>
      <c r="BI32" s="467"/>
      <c r="BJ32" s="467"/>
      <c r="BK32" s="467"/>
      <c r="BM32" s="128" t="s">
        <v>140</v>
      </c>
      <c r="BN32" s="124">
        <f>+BN7+BN25+BN29+BN30+BN31</f>
        <v>3690024195</v>
      </c>
      <c r="BO32" s="125">
        <f t="shared" ref="BO32:BQ32" si="33">+BO7+BO25+BO29+BO30+BO31</f>
        <v>1772727711</v>
      </c>
      <c r="BP32" s="125">
        <f t="shared" si="33"/>
        <v>1772700698</v>
      </c>
      <c r="BQ32" s="126">
        <f t="shared" si="33"/>
        <v>186488014</v>
      </c>
      <c r="BR32" s="467"/>
    </row>
    <row r="33" spans="1:70" s="514" customFormat="1" ht="15.75" thickBot="1" x14ac:dyDescent="0.3">
      <c r="A33" s="188" t="str">
        <f>+IF(MAYO!A33=0,"",MAYO!A33)</f>
        <v>1130103-2-1</v>
      </c>
      <c r="B33" s="189" t="str">
        <f>+CONCATENATE("Vigencia ",INSTRUCCIONES!$F$3)</f>
        <v>Vigencia 2014</v>
      </c>
      <c r="C33" s="456">
        <f>+ENERO!C33</f>
        <v>0</v>
      </c>
      <c r="D33" s="456">
        <f>MAYO!D33+JUNIO!P33</f>
        <v>0</v>
      </c>
      <c r="E33" s="456">
        <f>MAYO!E33+JUNIO!Q33</f>
        <v>0</v>
      </c>
      <c r="F33" s="170">
        <f>SUM(C33:E33)</f>
        <v>0</v>
      </c>
      <c r="G33" s="283">
        <f>MAYO!I33</f>
        <v>0</v>
      </c>
      <c r="H33" s="457">
        <v>0</v>
      </c>
      <c r="I33" s="170">
        <f>SUM(G33:H33)</f>
        <v>0</v>
      </c>
      <c r="J33" s="283">
        <f>MAYO!L33</f>
        <v>0</v>
      </c>
      <c r="K33" s="457">
        <v>0</v>
      </c>
      <c r="L33" s="170">
        <f>SUM(J33:K33)</f>
        <v>0</v>
      </c>
      <c r="M33" s="283">
        <f>F33-I33</f>
        <v>0</v>
      </c>
      <c r="N33" s="170">
        <f>F33-L33</f>
        <v>0</v>
      </c>
      <c r="O33" s="10"/>
      <c r="P33" s="455">
        <v>0</v>
      </c>
      <c r="Q33" s="458">
        <v>0</v>
      </c>
      <c r="R33" s="10"/>
      <c r="S33" s="155">
        <f>+IF(MAYO!S33=0,"",MAYO!S33)</f>
        <v>1010199</v>
      </c>
      <c r="T33" s="159" t="str">
        <f>+IF(MAYO!T33=0,"",MAYO!T33)</f>
        <v>Vigencias Anteriores</v>
      </c>
      <c r="U33" s="29">
        <f>+ENERO!U33</f>
        <v>4029851</v>
      </c>
      <c r="V33" s="17">
        <f>MAYO!V33+JUNIO!AL33</f>
        <v>-3476851</v>
      </c>
      <c r="W33" s="17">
        <f>MAYO!W33+JUNIO!AM33</f>
        <v>0</v>
      </c>
      <c r="X33" s="20">
        <f t="shared" si="17"/>
        <v>553000</v>
      </c>
      <c r="Y33" s="21">
        <f>MAYO!AA33</f>
        <v>553000</v>
      </c>
      <c r="Z33" s="457">
        <v>0</v>
      </c>
      <c r="AA33" s="20">
        <f t="shared" si="18"/>
        <v>553000</v>
      </c>
      <c r="AB33" s="21">
        <f>MAYO!AD33</f>
        <v>553000</v>
      </c>
      <c r="AC33" s="457">
        <v>0</v>
      </c>
      <c r="AD33" s="20">
        <f t="shared" si="19"/>
        <v>553000</v>
      </c>
      <c r="AE33" s="21">
        <f>MAYO!AG33</f>
        <v>553000</v>
      </c>
      <c r="AF33" s="457">
        <v>0</v>
      </c>
      <c r="AG33" s="20">
        <f t="shared" si="20"/>
        <v>553000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388404578</v>
      </c>
      <c r="BP33" s="131">
        <f>AD258</f>
        <v>8328205</v>
      </c>
      <c r="BQ33" s="132">
        <f>AF258</f>
        <v>1722507278</v>
      </c>
      <c r="BR33" s="467"/>
    </row>
    <row r="34" spans="1:70" s="514" customFormat="1" ht="16.5" thickBot="1" x14ac:dyDescent="0.25">
      <c r="A34" s="188" t="str">
        <f>+IF(MAYO!A34=0,"",MAYO!A34)</f>
        <v>1130103-2-2</v>
      </c>
      <c r="B34" s="189" t="str">
        <f>+IF(MAYO!B34=0,"",MAYO!B34)</f>
        <v>Vigencias Anteriores</v>
      </c>
      <c r="C34" s="456">
        <f>+ENERO!C34</f>
        <v>0</v>
      </c>
      <c r="D34" s="456">
        <f>MAYO!D34+JUNIO!P34</f>
        <v>0</v>
      </c>
      <c r="E34" s="456">
        <f>MAYO!E34+JUNIO!Q34</f>
        <v>0</v>
      </c>
      <c r="F34" s="170">
        <f>SUM(C34:E34)</f>
        <v>0</v>
      </c>
      <c r="G34" s="283">
        <f>MAYO!I34</f>
        <v>0</v>
      </c>
      <c r="H34" s="457">
        <v>0</v>
      </c>
      <c r="I34" s="170">
        <f>SUM(G34:H34)</f>
        <v>0</v>
      </c>
      <c r="J34" s="283">
        <f>MAYO!L34</f>
        <v>0</v>
      </c>
      <c r="K34" s="457">
        <v>0</v>
      </c>
      <c r="L34" s="170">
        <f>SUM(J34:K34)</f>
        <v>0</v>
      </c>
      <c r="M34" s="283">
        <f>F34-I34</f>
        <v>0</v>
      </c>
      <c r="N34" s="170">
        <f>F34-L34</f>
        <v>0</v>
      </c>
      <c r="O34" s="467"/>
      <c r="P34" s="455">
        <v>0</v>
      </c>
      <c r="Q34" s="458">
        <v>0</v>
      </c>
      <c r="R34" s="10"/>
      <c r="S34" s="448" t="str">
        <f>+IF(MAYO!S34=0,"",MAYO!S34)</f>
        <v/>
      </c>
      <c r="T34" s="649" t="str">
        <f>+IF(MAYO!T34=0,"",MAYO!T34)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x14ac:dyDescent="0.25">
      <c r="A35" s="61" t="str">
        <f>+IF(MAYO!A35=0,"",MAYO!A35)</f>
        <v>1130103-3</v>
      </c>
      <c r="B35" s="62" t="str">
        <f>+IF(MAYO!B35=0,"",MAYO!B35)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+IF(MAYO!S35=0,"",MAYO!S35)</f>
        <v>1010200</v>
      </c>
      <c r="T35" s="158" t="str">
        <f>+IF(MAYO!T35=0,"",MAYO!T35)</f>
        <v>Servicios Personales Indirectos</v>
      </c>
      <c r="U35" s="157">
        <f t="shared" ref="U35:AJ35" si="35">SUM(U36:U41)</f>
        <v>113755696</v>
      </c>
      <c r="V35" s="144">
        <f t="shared" si="35"/>
        <v>-2668000</v>
      </c>
      <c r="W35" s="144">
        <f t="shared" si="35"/>
        <v>1200000</v>
      </c>
      <c r="X35" s="152">
        <f t="shared" si="35"/>
        <v>112287696</v>
      </c>
      <c r="Y35" s="151">
        <f t="shared" si="35"/>
        <v>30279567</v>
      </c>
      <c r="Z35" s="144">
        <f t="shared" si="35"/>
        <v>6615665</v>
      </c>
      <c r="AA35" s="152">
        <f t="shared" si="35"/>
        <v>36895232</v>
      </c>
      <c r="AB35" s="151">
        <f t="shared" si="35"/>
        <v>30278767</v>
      </c>
      <c r="AC35" s="144">
        <f t="shared" si="35"/>
        <v>6616465</v>
      </c>
      <c r="AD35" s="152">
        <f t="shared" si="35"/>
        <v>36895232</v>
      </c>
      <c r="AE35" s="151">
        <f t="shared" si="35"/>
        <v>27726894</v>
      </c>
      <c r="AF35" s="144">
        <f t="shared" si="35"/>
        <v>4921669</v>
      </c>
      <c r="AG35" s="152">
        <f t="shared" si="35"/>
        <v>32648563</v>
      </c>
      <c r="AH35" s="151">
        <f t="shared" si="35"/>
        <v>75392464</v>
      </c>
      <c r="AI35" s="144">
        <f t="shared" si="35"/>
        <v>75392464</v>
      </c>
      <c r="AJ35" s="153">
        <f t="shared" si="35"/>
        <v>79639133</v>
      </c>
      <c r="AK35" s="10"/>
      <c r="AL35" s="151">
        <f>SUM(AL36:AL41)</f>
        <v>0</v>
      </c>
      <c r="AM35" s="153">
        <f>SUM(AM36:AM41)</f>
        <v>0</v>
      </c>
      <c r="AN35" s="10"/>
      <c r="AO35" s="428"/>
      <c r="AP35" s="547"/>
      <c r="AQ35" s="363"/>
      <c r="AR35" s="548"/>
      <c r="AS35" s="548"/>
      <c r="AT35" s="548"/>
      <c r="AU35" s="549">
        <f>AR17-AR32</f>
        <v>253840665</v>
      </c>
      <c r="AV35" s="550">
        <f>AS17-AR32</f>
        <v>-126262721</v>
      </c>
      <c r="AW35" s="550" t="s">
        <v>158</v>
      </c>
      <c r="AX35" s="551"/>
      <c r="AY35" s="550">
        <f>AY17+AY32</f>
        <v>93690760.833333313</v>
      </c>
      <c r="AZ35" s="552">
        <f>AZ17+AY32</f>
        <v>-665985658.16666675</v>
      </c>
      <c r="BB35" s="514"/>
      <c r="BC35" s="514"/>
      <c r="BD35" s="514"/>
      <c r="BE35" s="514"/>
      <c r="BF35" s="514"/>
    </row>
    <row r="36" spans="1:70" s="467" customFormat="1" ht="15.75" thickBot="1" x14ac:dyDescent="0.25">
      <c r="A36" s="188" t="str">
        <f>+IF(MAYO!A36=0,"",MAYO!A36)</f>
        <v>1130103-3-1</v>
      </c>
      <c r="B36" s="189" t="str">
        <f>+CONCATENATE("Vigencia ",INSTRUCCIONES!$F$3)</f>
        <v>Vigencia 2014</v>
      </c>
      <c r="C36" s="456">
        <f>+ENERO!C36</f>
        <v>0</v>
      </c>
      <c r="D36" s="456">
        <f>MAYO!D36+JUNIO!P36</f>
        <v>0</v>
      </c>
      <c r="E36" s="456">
        <f>MAYO!E36+JUNIO!Q36</f>
        <v>0</v>
      </c>
      <c r="F36" s="170">
        <f>SUM(C36:E36)</f>
        <v>0</v>
      </c>
      <c r="G36" s="283">
        <f>MAYO!I36</f>
        <v>0</v>
      </c>
      <c r="H36" s="457">
        <v>0</v>
      </c>
      <c r="I36" s="170">
        <f>SUM(G36:H36)</f>
        <v>0</v>
      </c>
      <c r="J36" s="283">
        <f>MAYO!L36</f>
        <v>0</v>
      </c>
      <c r="K36" s="457">
        <v>0</v>
      </c>
      <c r="L36" s="170">
        <f>SUM(J36:K36)</f>
        <v>0</v>
      </c>
      <c r="M36" s="283">
        <f>F36-I36</f>
        <v>0</v>
      </c>
      <c r="N36" s="170">
        <f>F36-L36</f>
        <v>0</v>
      </c>
      <c r="O36" s="10"/>
      <c r="P36" s="455">
        <v>0</v>
      </c>
      <c r="Q36" s="458">
        <v>0</v>
      </c>
      <c r="R36" s="10"/>
      <c r="S36" s="155" t="str">
        <f>+IF(MAYO!S36=0,"",MAYO!S36)</f>
        <v>1010200-1</v>
      </c>
      <c r="T36" s="159" t="str">
        <f>+IF(MAYO!T36=0,"",MAYO!T36)</f>
        <v>Remuneración y Honorarios por Servicios Técnicos y Profesionales</v>
      </c>
      <c r="U36" s="29">
        <f>+ENERO!U36</f>
        <v>16339906</v>
      </c>
      <c r="V36" s="17">
        <f>MAYO!V36+JUNIO!AL36</f>
        <v>0</v>
      </c>
      <c r="W36" s="17">
        <f>MAYO!W36+JUNIO!AM36</f>
        <v>0</v>
      </c>
      <c r="X36" s="20">
        <f t="shared" ref="X36:X41" si="36">SUM(U36:W36)</f>
        <v>16339906</v>
      </c>
      <c r="Y36" s="21">
        <f>MAYO!AA36</f>
        <v>4807492</v>
      </c>
      <c r="Z36" s="457">
        <v>1201873</v>
      </c>
      <c r="AA36" s="20">
        <f t="shared" ref="AA36:AA41" si="37">SUM(Y36:Z36)</f>
        <v>6009365</v>
      </c>
      <c r="AB36" s="21">
        <f>MAYO!AD36</f>
        <v>4807492</v>
      </c>
      <c r="AC36" s="457">
        <v>1201873</v>
      </c>
      <c r="AD36" s="20">
        <f t="shared" ref="AD36:AD41" si="38">SUM(AB36:AC36)</f>
        <v>6009365</v>
      </c>
      <c r="AE36" s="21">
        <f>MAYO!AG36</f>
        <v>3605619</v>
      </c>
      <c r="AF36" s="457">
        <v>1201873</v>
      </c>
      <c r="AG36" s="20">
        <f t="shared" ref="AG36:AG41" si="39">SUM(AE36:AF36)</f>
        <v>4807492</v>
      </c>
      <c r="AH36" s="21">
        <f t="shared" ref="AH36:AH41" si="40">X36-AA36</f>
        <v>10330541</v>
      </c>
      <c r="AI36" s="17">
        <f t="shared" ref="AI36:AI41" si="41">X36-AD36</f>
        <v>10330541</v>
      </c>
      <c r="AJ36" s="18">
        <f t="shared" ref="AJ36:AJ41" si="42">X36-AG36</f>
        <v>11532414</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x14ac:dyDescent="0.2">
      <c r="A37" s="188" t="str">
        <f>+IF(MAYO!A37=0,"",MAYO!A37)</f>
        <v>1130103-3-2</v>
      </c>
      <c r="B37" s="189" t="str">
        <f>+IF(MAYO!B37=0,"",MAYO!B37)</f>
        <v>Vigencias Anteriores</v>
      </c>
      <c r="C37" s="456">
        <f>+ENERO!C37</f>
        <v>0</v>
      </c>
      <c r="D37" s="456">
        <f>MAYO!D37+JUNIO!P37</f>
        <v>0</v>
      </c>
      <c r="E37" s="456">
        <f>MAYO!E37+JUNIO!Q37</f>
        <v>0</v>
      </c>
      <c r="F37" s="170">
        <f>SUM(C37:E37)</f>
        <v>0</v>
      </c>
      <c r="G37" s="283">
        <f>MAYO!I37</f>
        <v>0</v>
      </c>
      <c r="H37" s="457">
        <v>0</v>
      </c>
      <c r="I37" s="170">
        <f>SUM(G37:H37)</f>
        <v>0</v>
      </c>
      <c r="J37" s="283">
        <f>MAYO!L37</f>
        <v>0</v>
      </c>
      <c r="K37" s="457">
        <v>0</v>
      </c>
      <c r="L37" s="170">
        <f>SUM(J37:K37)</f>
        <v>0</v>
      </c>
      <c r="M37" s="283">
        <f>F37-I37</f>
        <v>0</v>
      </c>
      <c r="N37" s="170">
        <f>F37-L37</f>
        <v>0</v>
      </c>
      <c r="P37" s="455">
        <v>0</v>
      </c>
      <c r="Q37" s="458">
        <v>0</v>
      </c>
      <c r="R37" s="10"/>
      <c r="S37" s="155" t="str">
        <f>+IF(MAYO!S37=0,"",MAYO!S37)</f>
        <v>1010200-2</v>
      </c>
      <c r="T37" s="159" t="str">
        <f>+IF(MAYO!T37=0,"",MAYO!T37)</f>
        <v>Personal Supernumerario</v>
      </c>
      <c r="U37" s="29">
        <f>+ENERO!U37</f>
        <v>10000000</v>
      </c>
      <c r="V37" s="17">
        <f>MAYO!V37+JUNIO!AL37</f>
        <v>0</v>
      </c>
      <c r="W37" s="17">
        <f>MAYO!W37+JUNIO!AM37</f>
        <v>0</v>
      </c>
      <c r="X37" s="20">
        <f t="shared" si="36"/>
        <v>10000000</v>
      </c>
      <c r="Y37" s="21">
        <f>MAYO!AA37</f>
        <v>0</v>
      </c>
      <c r="Z37" s="457">
        <v>0</v>
      </c>
      <c r="AA37" s="20">
        <f t="shared" si="37"/>
        <v>0</v>
      </c>
      <c r="AB37" s="21">
        <f>MAYO!AD37</f>
        <v>0</v>
      </c>
      <c r="AC37" s="457">
        <v>0</v>
      </c>
      <c r="AD37" s="20">
        <f t="shared" si="38"/>
        <v>0</v>
      </c>
      <c r="AE37" s="21">
        <f>MAYO!AG37</f>
        <v>0</v>
      </c>
      <c r="AF37" s="457">
        <v>0</v>
      </c>
      <c r="AG37" s="20">
        <f t="shared" si="39"/>
        <v>0</v>
      </c>
      <c r="AH37" s="21">
        <f t="shared" si="40"/>
        <v>10000000</v>
      </c>
      <c r="AI37" s="17">
        <f t="shared" si="41"/>
        <v>10000000</v>
      </c>
      <c r="AJ37" s="18">
        <f t="shared" si="42"/>
        <v>10000000</v>
      </c>
      <c r="AK37" s="10"/>
      <c r="AL37" s="455">
        <v>0</v>
      </c>
      <c r="AM37" s="458">
        <v>0</v>
      </c>
      <c r="AN37" s="10"/>
      <c r="AO37" s="26" t="s">
        <v>161</v>
      </c>
    </row>
    <row r="38" spans="1:70" s="467" customFormat="1" x14ac:dyDescent="0.2">
      <c r="A38" s="718"/>
      <c r="B38" s="719"/>
      <c r="C38" s="720"/>
      <c r="D38" s="720"/>
      <c r="E38" s="720"/>
      <c r="F38" s="721"/>
      <c r="G38" s="722"/>
      <c r="H38" s="723"/>
      <c r="I38" s="721"/>
      <c r="J38" s="722"/>
      <c r="K38" s="723"/>
      <c r="L38" s="721"/>
      <c r="M38" s="722"/>
      <c r="N38" s="721"/>
      <c r="O38" s="726"/>
      <c r="P38" s="724"/>
      <c r="Q38" s="725"/>
      <c r="R38" s="10"/>
      <c r="S38" s="155" t="str">
        <f>+IF(MAYO!S38=0,"",MAYO!S38)</f>
        <v>1010200-3</v>
      </c>
      <c r="T38" s="159" t="str">
        <f>+IF(MAYO!T38=0,"",MAYO!T38)</f>
        <v>Honorarios de la Junta Directiva</v>
      </c>
      <c r="U38" s="29">
        <f>+ENERO!U38</f>
        <v>1098240</v>
      </c>
      <c r="V38" s="17">
        <f>MAYO!V38+JUNIO!AL38</f>
        <v>0</v>
      </c>
      <c r="W38" s="17">
        <f>MAYO!W38+JUNIO!AM38</f>
        <v>1200000</v>
      </c>
      <c r="X38" s="20">
        <f t="shared" si="36"/>
        <v>2298240</v>
      </c>
      <c r="Y38" s="21">
        <f>MAYO!AA38</f>
        <v>1084950</v>
      </c>
      <c r="Z38" s="457">
        <v>0</v>
      </c>
      <c r="AA38" s="20">
        <f t="shared" si="37"/>
        <v>1084950</v>
      </c>
      <c r="AB38" s="21">
        <f>MAYO!AD38</f>
        <v>1084950</v>
      </c>
      <c r="AC38" s="457">
        <v>0</v>
      </c>
      <c r="AD38" s="20">
        <f t="shared" si="38"/>
        <v>1084950</v>
      </c>
      <c r="AE38" s="21">
        <f>MAYO!AG38</f>
        <v>1084950</v>
      </c>
      <c r="AF38" s="457">
        <v>0</v>
      </c>
      <c r="AG38" s="20">
        <f t="shared" si="39"/>
        <v>1084950</v>
      </c>
      <c r="AH38" s="21">
        <f t="shared" si="40"/>
        <v>1213290</v>
      </c>
      <c r="AI38" s="17">
        <f t="shared" si="41"/>
        <v>1213290</v>
      </c>
      <c r="AJ38" s="18">
        <f t="shared" si="42"/>
        <v>1213290</v>
      </c>
      <c r="AK38" s="10"/>
      <c r="AL38" s="455">
        <v>0</v>
      </c>
      <c r="AM38" s="458">
        <v>0</v>
      </c>
      <c r="AN38" s="10"/>
      <c r="AO38" s="365"/>
      <c r="AP38" s="365"/>
      <c r="AQ38" s="365"/>
      <c r="AR38" s="365"/>
      <c r="AS38" s="365"/>
      <c r="AT38" s="365"/>
      <c r="AU38" s="365"/>
      <c r="AV38" s="365"/>
      <c r="AW38" s="365"/>
      <c r="AX38" s="365"/>
      <c r="AY38" s="365"/>
      <c r="AZ38" s="365"/>
    </row>
    <row r="39" spans="1:70" s="467" customFormat="1" x14ac:dyDescent="0.2">
      <c r="A39" s="718"/>
      <c r="B39" s="719"/>
      <c r="C39" s="720"/>
      <c r="D39" s="720"/>
      <c r="E39" s="720"/>
      <c r="F39" s="721"/>
      <c r="G39" s="722"/>
      <c r="H39" s="723"/>
      <c r="I39" s="721"/>
      <c r="J39" s="722"/>
      <c r="K39" s="723"/>
      <c r="L39" s="721"/>
      <c r="M39" s="722"/>
      <c r="N39" s="721"/>
      <c r="O39" s="726"/>
      <c r="P39" s="724"/>
      <c r="Q39" s="725"/>
      <c r="R39" s="10"/>
      <c r="S39" s="155" t="str">
        <f>+IF(MAYO!S39=0,"",MAYO!S39)</f>
        <v>1010200-4</v>
      </c>
      <c r="T39" s="159" t="str">
        <f>+IF(MAYO!T39=0,"",MAYO!T39)</f>
        <v>Otros Honorarios (Servicios de Cooperativa)</v>
      </c>
      <c r="U39" s="29">
        <f>+ENERO!U39</f>
        <v>80796809</v>
      </c>
      <c r="V39" s="17">
        <f>MAYO!V39+JUNIO!AL39</f>
        <v>0</v>
      </c>
      <c r="W39" s="17">
        <f>MAYO!W39+JUNIO!AM39</f>
        <v>0</v>
      </c>
      <c r="X39" s="20">
        <f t="shared" si="36"/>
        <v>80796809</v>
      </c>
      <c r="Y39" s="21">
        <f>MAYO!AA39</f>
        <v>21534384</v>
      </c>
      <c r="Z39" s="457">
        <v>5413792</v>
      </c>
      <c r="AA39" s="20">
        <f t="shared" si="37"/>
        <v>26948176</v>
      </c>
      <c r="AB39" s="21">
        <f>MAYO!AD39</f>
        <v>21533584</v>
      </c>
      <c r="AC39" s="457">
        <v>5414592</v>
      </c>
      <c r="AD39" s="20">
        <f t="shared" si="38"/>
        <v>26948176</v>
      </c>
      <c r="AE39" s="21">
        <f>MAYO!AG39</f>
        <v>20183584</v>
      </c>
      <c r="AF39" s="457">
        <v>3719796</v>
      </c>
      <c r="AG39" s="20">
        <f t="shared" si="39"/>
        <v>23903380</v>
      </c>
      <c r="AH39" s="21">
        <f t="shared" si="40"/>
        <v>53848633</v>
      </c>
      <c r="AI39" s="17">
        <f t="shared" si="41"/>
        <v>53848633</v>
      </c>
      <c r="AJ39" s="18">
        <f t="shared" si="42"/>
        <v>56893429</v>
      </c>
      <c r="AK39" s="10"/>
      <c r="AL39" s="455">
        <v>0</v>
      </c>
      <c r="AM39" s="458">
        <v>0</v>
      </c>
      <c r="AN39" s="10"/>
      <c r="AO39" s="365"/>
      <c r="AP39" s="365"/>
      <c r="AQ39" s="365"/>
      <c r="AR39" s="365"/>
      <c r="AS39" s="365"/>
      <c r="AT39" s="365"/>
      <c r="AU39" s="365"/>
      <c r="AV39" s="365"/>
      <c r="AW39" s="365"/>
      <c r="AX39" s="365"/>
      <c r="AY39" s="365"/>
      <c r="AZ39" s="365"/>
    </row>
    <row r="40" spans="1:70" s="514" customFormat="1" x14ac:dyDescent="0.2">
      <c r="A40" s="718"/>
      <c r="B40" s="719"/>
      <c r="C40" s="720"/>
      <c r="D40" s="720"/>
      <c r="E40" s="720"/>
      <c r="F40" s="721"/>
      <c r="G40" s="722"/>
      <c r="H40" s="723"/>
      <c r="I40" s="721"/>
      <c r="J40" s="722"/>
      <c r="K40" s="723"/>
      <c r="L40" s="721"/>
      <c r="M40" s="722"/>
      <c r="N40" s="721"/>
      <c r="O40" s="726"/>
      <c r="P40" s="724"/>
      <c r="Q40" s="725"/>
      <c r="R40" s="10"/>
      <c r="S40" s="155" t="str">
        <f>+IF(MAYO!S40=0,"",MAYO!S40)</f>
        <v>1010200-6</v>
      </c>
      <c r="T40" s="159" t="str">
        <f>+IF(MAYO!T40=0,"",MAYO!T40)</f>
        <v>Certificación, Habilitación y Acreditación</v>
      </c>
      <c r="U40" s="29">
        <f>+ENERO!U40</f>
        <v>0</v>
      </c>
      <c r="V40" s="17">
        <f>MAYO!V40+JUNIO!AL40</f>
        <v>0</v>
      </c>
      <c r="W40" s="17">
        <f>MAYO!W40+JUNIO!AM40</f>
        <v>0</v>
      </c>
      <c r="X40" s="20">
        <f t="shared" si="36"/>
        <v>0</v>
      </c>
      <c r="Y40" s="21">
        <f>MAYO!AA40</f>
        <v>0</v>
      </c>
      <c r="Z40" s="457">
        <v>0</v>
      </c>
      <c r="AA40" s="20">
        <f t="shared" si="37"/>
        <v>0</v>
      </c>
      <c r="AB40" s="21">
        <f>MAYO!AD40</f>
        <v>0</v>
      </c>
      <c r="AC40" s="457">
        <v>0</v>
      </c>
      <c r="AD40" s="20">
        <f t="shared" si="38"/>
        <v>0</v>
      </c>
      <c r="AE40" s="21">
        <f>MAYO!AG40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x14ac:dyDescent="0.2">
      <c r="A41" s="727"/>
      <c r="B41" s="728"/>
      <c r="C41" s="720"/>
      <c r="D41" s="720"/>
      <c r="E41" s="720"/>
      <c r="F41" s="721"/>
      <c r="G41" s="722"/>
      <c r="H41" s="723"/>
      <c r="I41" s="721"/>
      <c r="J41" s="722"/>
      <c r="K41" s="723"/>
      <c r="L41" s="721"/>
      <c r="M41" s="722"/>
      <c r="N41" s="721"/>
      <c r="O41" s="726"/>
      <c r="P41" s="724"/>
      <c r="Q41" s="725"/>
      <c r="R41" s="10"/>
      <c r="S41" s="155">
        <f>+IF(MAYO!S41=0,"",MAYO!S41)</f>
        <v>1010299</v>
      </c>
      <c r="T41" s="159" t="str">
        <f>+IF(MAYO!T41=0,"",MAYO!T41)</f>
        <v>Vigencias Anteriores</v>
      </c>
      <c r="U41" s="29">
        <f>+ENERO!U41</f>
        <v>5520741</v>
      </c>
      <c r="V41" s="17">
        <f>MAYO!V41+JUNIO!AL41</f>
        <v>-2668000</v>
      </c>
      <c r="W41" s="17">
        <f>MAYO!W41+JUNIO!AM41</f>
        <v>0</v>
      </c>
      <c r="X41" s="20">
        <f t="shared" si="36"/>
        <v>2852741</v>
      </c>
      <c r="Y41" s="21">
        <f>MAYO!AA41</f>
        <v>2852741</v>
      </c>
      <c r="Z41" s="457">
        <v>0</v>
      </c>
      <c r="AA41" s="20">
        <f t="shared" si="37"/>
        <v>2852741</v>
      </c>
      <c r="AB41" s="21">
        <f>MAYO!AD41</f>
        <v>2852741</v>
      </c>
      <c r="AC41" s="457">
        <v>0</v>
      </c>
      <c r="AD41" s="20">
        <f t="shared" si="38"/>
        <v>2852741</v>
      </c>
      <c r="AE41" s="21">
        <f>MAYO!AG41</f>
        <v>2852741</v>
      </c>
      <c r="AF41" s="457">
        <v>0</v>
      </c>
      <c r="AG41" s="20">
        <f t="shared" si="39"/>
        <v>2852741</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x14ac:dyDescent="0.2">
      <c r="A42" s="57">
        <f>+IF(MAYO!A42=0,"",MAYO!A42)</f>
        <v>1130106</v>
      </c>
      <c r="B42" s="45" t="str">
        <f>+IF(MAYO!B42=0,"",MAYO!B42)</f>
        <v>SALUD PUBLICA - PLAN DE INTERVENCIONES COLECTIVAS</v>
      </c>
      <c r="C42" s="53">
        <f t="shared" ref="C42:N42" si="43">SUM(C43:C44)</f>
        <v>125397398</v>
      </c>
      <c r="D42" s="53">
        <f t="shared" si="43"/>
        <v>0</v>
      </c>
      <c r="E42" s="53">
        <f t="shared" si="43"/>
        <v>0</v>
      </c>
      <c r="F42" s="54">
        <f t="shared" si="43"/>
        <v>125397398</v>
      </c>
      <c r="G42" s="52">
        <f t="shared" si="43"/>
        <v>30052581</v>
      </c>
      <c r="H42" s="53">
        <f t="shared" si="43"/>
        <v>20136678</v>
      </c>
      <c r="I42" s="54">
        <f t="shared" si="43"/>
        <v>50189259</v>
      </c>
      <c r="J42" s="52">
        <f t="shared" si="43"/>
        <v>31868581</v>
      </c>
      <c r="K42" s="53">
        <f t="shared" si="43"/>
        <v>1017527</v>
      </c>
      <c r="L42" s="54">
        <f t="shared" si="43"/>
        <v>32886108</v>
      </c>
      <c r="M42" s="52">
        <f t="shared" si="43"/>
        <v>75208139</v>
      </c>
      <c r="N42" s="54">
        <f t="shared" si="43"/>
        <v>92511290</v>
      </c>
      <c r="P42" s="52">
        <f>SUM(P43:P44)</f>
        <v>0</v>
      </c>
      <c r="Q42" s="54">
        <f>SUM(Q43:Q44)</f>
        <v>0</v>
      </c>
      <c r="R42" s="10"/>
      <c r="S42" s="448" t="str">
        <f>+IF(MAYO!S42=0,"",MAYO!S42)</f>
        <v/>
      </c>
      <c r="T42" s="649" t="str">
        <f>+IF(MAYO!T42=0,"",MAYO!T42)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x14ac:dyDescent="0.2">
      <c r="A43" s="188" t="str">
        <f>+IF(MAYO!A43=0,"",MAYO!A43)</f>
        <v>1130106-1</v>
      </c>
      <c r="B43" s="189" t="str">
        <f>+CONCATENATE("Vigencia ",INSTRUCCIONES!$F$3)</f>
        <v>Vigencia 2014</v>
      </c>
      <c r="C43" s="456">
        <f>+ENERO!C43</f>
        <v>125397398</v>
      </c>
      <c r="D43" s="456">
        <f>MAYO!D43+JUNIO!P43</f>
        <v>0</v>
      </c>
      <c r="E43" s="456">
        <f>MAYO!E43+JUNIO!Q43</f>
        <v>0</v>
      </c>
      <c r="F43" s="170">
        <f>SUM(C43:E43)</f>
        <v>125397398</v>
      </c>
      <c r="G43" s="283">
        <f>MAYO!I43</f>
        <v>30052581</v>
      </c>
      <c r="H43" s="457">
        <v>20136678</v>
      </c>
      <c r="I43" s="170">
        <f>SUM(G43:H43)</f>
        <v>50189259</v>
      </c>
      <c r="J43" s="283">
        <f>MAYO!L43</f>
        <v>31868581</v>
      </c>
      <c r="K43" s="457">
        <v>1017527</v>
      </c>
      <c r="L43" s="170">
        <f>SUM(J43:K43)</f>
        <v>32886108</v>
      </c>
      <c r="M43" s="283">
        <f>F43-I43</f>
        <v>75208139</v>
      </c>
      <c r="N43" s="170">
        <f>F43-L43</f>
        <v>92511290</v>
      </c>
      <c r="O43" s="467"/>
      <c r="P43" s="455">
        <v>0</v>
      </c>
      <c r="Q43" s="458">
        <v>0</v>
      </c>
      <c r="R43" s="10"/>
      <c r="S43" s="34">
        <f>+IF(MAYO!S43=0,"",MAYO!S43)</f>
        <v>1010300</v>
      </c>
      <c r="T43" s="158" t="str">
        <f>+IF(MAYO!T43=0,"",MAYO!T43)</f>
        <v>Contribuciones Inherentes nómina al Sector Privado</v>
      </c>
      <c r="U43" s="157">
        <f t="shared" ref="U43:AJ43" si="44">U44+U49+U55</f>
        <v>119647956</v>
      </c>
      <c r="V43" s="144">
        <f t="shared" si="44"/>
        <v>487148</v>
      </c>
      <c r="W43" s="144">
        <f t="shared" si="44"/>
        <v>0</v>
      </c>
      <c r="X43" s="152">
        <f t="shared" si="44"/>
        <v>120135104</v>
      </c>
      <c r="Y43" s="151">
        <f t="shared" si="44"/>
        <v>62164231</v>
      </c>
      <c r="Z43" s="144">
        <f t="shared" si="44"/>
        <v>4996450</v>
      </c>
      <c r="AA43" s="152">
        <f t="shared" si="44"/>
        <v>67160681</v>
      </c>
      <c r="AB43" s="151">
        <f t="shared" si="44"/>
        <v>62164231</v>
      </c>
      <c r="AC43" s="144">
        <f t="shared" si="44"/>
        <v>4996450</v>
      </c>
      <c r="AD43" s="152">
        <f t="shared" si="44"/>
        <v>67160681</v>
      </c>
      <c r="AE43" s="151">
        <f t="shared" si="44"/>
        <v>58269783</v>
      </c>
      <c r="AF43" s="144">
        <f t="shared" si="44"/>
        <v>3407300</v>
      </c>
      <c r="AG43" s="152">
        <f t="shared" si="44"/>
        <v>61677083</v>
      </c>
      <c r="AH43" s="151">
        <f t="shared" si="44"/>
        <v>52974423</v>
      </c>
      <c r="AI43" s="144">
        <f t="shared" si="44"/>
        <v>52974423</v>
      </c>
      <c r="AJ43" s="153">
        <f t="shared" si="44"/>
        <v>58458021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x14ac:dyDescent="0.2">
      <c r="A44" s="188" t="str">
        <f>+IF(MAYO!A44=0,"",MAYO!A44)</f>
        <v>1130106-2</v>
      </c>
      <c r="B44" s="189" t="str">
        <f>+IF(MAYO!B44=0,"",MAYO!B44)</f>
        <v>Vigencias Anteriores</v>
      </c>
      <c r="C44" s="456">
        <f>+ENERO!C44</f>
        <v>0</v>
      </c>
      <c r="D44" s="456">
        <f>MAYO!D44+JUNIO!P44</f>
        <v>0</v>
      </c>
      <c r="E44" s="456">
        <f>MAYO!E44+JUNIO!Q44</f>
        <v>0</v>
      </c>
      <c r="F44" s="170">
        <f>SUM(C44:E44)</f>
        <v>0</v>
      </c>
      <c r="G44" s="283">
        <f>MAYO!I44</f>
        <v>0</v>
      </c>
      <c r="H44" s="457">
        <v>0</v>
      </c>
      <c r="I44" s="170">
        <f>SUM(G44:H44)</f>
        <v>0</v>
      </c>
      <c r="J44" s="283">
        <f>MAYO!L44</f>
        <v>0</v>
      </c>
      <c r="K44" s="457">
        <v>0</v>
      </c>
      <c r="L44" s="170">
        <f>SUM(J44:K44)</f>
        <v>0</v>
      </c>
      <c r="M44" s="283">
        <f>F44-I44</f>
        <v>0</v>
      </c>
      <c r="N44" s="170">
        <f>F44-L44</f>
        <v>0</v>
      </c>
      <c r="O44" s="467"/>
      <c r="P44" s="455">
        <v>0</v>
      </c>
      <c r="Q44" s="458">
        <v>0</v>
      </c>
      <c r="R44" s="10"/>
      <c r="S44" s="155">
        <f>+IF(MAYO!S44=0,"",MAYO!S44)</f>
        <v>1010301</v>
      </c>
      <c r="T44" s="159" t="str">
        <f>+IF(MAYO!T44=0,"",MAYO!T44)</f>
        <v>Contribuciones - Sin Situación de Fondos</v>
      </c>
      <c r="U44" s="29">
        <f t="shared" ref="U44:AJ44" si="45">SUM(U45:U48)</f>
        <v>56401928</v>
      </c>
      <c r="V44" s="17">
        <f t="shared" si="45"/>
        <v>0</v>
      </c>
      <c r="W44" s="17">
        <f t="shared" si="45"/>
        <v>0</v>
      </c>
      <c r="X44" s="20">
        <f t="shared" si="45"/>
        <v>56401928</v>
      </c>
      <c r="Y44" s="21">
        <f t="shared" si="45"/>
        <v>14449425</v>
      </c>
      <c r="Z44" s="169">
        <f t="shared" si="45"/>
        <v>3263150</v>
      </c>
      <c r="AA44" s="20">
        <f t="shared" si="45"/>
        <v>17712575</v>
      </c>
      <c r="AB44" s="21">
        <f t="shared" si="45"/>
        <v>14449425</v>
      </c>
      <c r="AC44" s="169">
        <f t="shared" si="45"/>
        <v>3263150</v>
      </c>
      <c r="AD44" s="20">
        <f t="shared" si="45"/>
        <v>17712575</v>
      </c>
      <c r="AE44" s="21">
        <f t="shared" si="45"/>
        <v>14449425</v>
      </c>
      <c r="AF44" s="169">
        <f t="shared" si="45"/>
        <v>0</v>
      </c>
      <c r="AG44" s="20">
        <f t="shared" si="45"/>
        <v>14449425</v>
      </c>
      <c r="AH44" s="21">
        <f t="shared" si="45"/>
        <v>38689353</v>
      </c>
      <c r="AI44" s="17">
        <f t="shared" si="45"/>
        <v>38689353</v>
      </c>
      <c r="AJ44" s="18">
        <f t="shared" si="45"/>
        <v>41952503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x14ac:dyDescent="0.2">
      <c r="A45" s="57">
        <f>+IF(MAYO!A45=0,"",MAYO!A45)</f>
        <v>1130107</v>
      </c>
      <c r="B45" s="45" t="str">
        <f>+IF(MAYO!B45=0,"",MAYO!B45)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+IF(MAYO!S45=0,"",MAYO!S45)</f>
        <v>1010301-1</v>
      </c>
      <c r="T45" s="55" t="str">
        <f>+IF(MAYO!T45=0,"",MAYO!T45)</f>
        <v>Aportes a E.P.S.- Sin sit. Fondos</v>
      </c>
      <c r="U45" s="29">
        <f>+ENERO!U45</f>
        <v>24712429</v>
      </c>
      <c r="V45" s="17">
        <f>MAYO!V45+JUNIO!AL45</f>
        <v>0</v>
      </c>
      <c r="W45" s="17">
        <f>MAYO!W45+JUNIO!AM45</f>
        <v>0</v>
      </c>
      <c r="X45" s="20">
        <f>SUM(U45:W45)</f>
        <v>24712429</v>
      </c>
      <c r="Y45" s="21">
        <f>MAYO!AA45</f>
        <v>7115825</v>
      </c>
      <c r="Z45" s="457">
        <v>1352950</v>
      </c>
      <c r="AA45" s="20">
        <f>SUM(Y45:Z45)</f>
        <v>8468775</v>
      </c>
      <c r="AB45" s="21">
        <f>MAYO!AD45</f>
        <v>7115825</v>
      </c>
      <c r="AC45" s="457">
        <v>1352950</v>
      </c>
      <c r="AD45" s="20">
        <f>SUM(AB45:AC45)</f>
        <v>8468775</v>
      </c>
      <c r="AE45" s="21">
        <f>MAYO!AG45</f>
        <v>7115825</v>
      </c>
      <c r="AF45" s="457">
        <v>0</v>
      </c>
      <c r="AG45" s="20">
        <f>SUM(AE45:AF45)</f>
        <v>7115825</v>
      </c>
      <c r="AH45" s="21">
        <f>X45-AA45</f>
        <v>16243654</v>
      </c>
      <c r="AI45" s="17">
        <f>X45-AD45</f>
        <v>16243654</v>
      </c>
      <c r="AJ45" s="18">
        <f>X45-AG45</f>
        <v>17596604</v>
      </c>
      <c r="AK45" s="10"/>
      <c r="AL45" s="455">
        <v>0</v>
      </c>
      <c r="AM45" s="458">
        <v>0</v>
      </c>
      <c r="AN45" s="10"/>
      <c r="AO45" s="365"/>
      <c r="AP45" s="365"/>
      <c r="AQ45" s="365"/>
      <c r="AR45" s="365"/>
      <c r="AS45" s="365"/>
      <c r="AT45" s="365"/>
      <c r="AU45" s="365"/>
      <c r="AV45" s="365"/>
      <c r="AW45" s="365"/>
      <c r="AX45" s="365"/>
      <c r="AY45" s="365"/>
      <c r="AZ45" s="365"/>
    </row>
    <row r="46" spans="1:70" s="514" customFormat="1" ht="15" x14ac:dyDescent="0.2">
      <c r="A46" s="188" t="str">
        <f>+IF(MAYO!A46=0,"",MAYO!A46)</f>
        <v>1130107-1</v>
      </c>
      <c r="B46" s="189" t="str">
        <f>+CONCATENATE("Vigencia ",INSTRUCCIONES!$F$3)</f>
        <v>Vigencia 2014</v>
      </c>
      <c r="C46" s="456">
        <f>+ENERO!C46</f>
        <v>0</v>
      </c>
      <c r="D46" s="456">
        <f>MAYO!D46+JUNIO!P46</f>
        <v>0</v>
      </c>
      <c r="E46" s="456">
        <f>MAYO!E46+JUNIO!Q46</f>
        <v>0</v>
      </c>
      <c r="F46" s="170">
        <f>SUM(C46:E46)</f>
        <v>0</v>
      </c>
      <c r="G46" s="283">
        <f>MAYO!I46</f>
        <v>0</v>
      </c>
      <c r="H46" s="457">
        <v>0</v>
      </c>
      <c r="I46" s="170">
        <f>SUM(G46:H46)</f>
        <v>0</v>
      </c>
      <c r="J46" s="283">
        <f>MAYO!L46</f>
        <v>0</v>
      </c>
      <c r="K46" s="457">
        <v>0</v>
      </c>
      <c r="L46" s="170">
        <f>SUM(J46:K46)</f>
        <v>0</v>
      </c>
      <c r="M46" s="283">
        <f>F46-I46</f>
        <v>0</v>
      </c>
      <c r="N46" s="170">
        <f>F46-L46</f>
        <v>0</v>
      </c>
      <c r="O46" s="467"/>
      <c r="P46" s="455">
        <v>0</v>
      </c>
      <c r="Q46" s="458">
        <v>0</v>
      </c>
      <c r="R46" s="10"/>
      <c r="S46" s="156" t="str">
        <f>+IF(MAYO!S46=0,"",MAYO!S46)</f>
        <v>1010301-2</v>
      </c>
      <c r="T46" s="55" t="str">
        <f>+IF(MAYO!T46=0,"",MAYO!T46)</f>
        <v>Aportes Fondos Pensionales - Sin Sit. Fondos</v>
      </c>
      <c r="U46" s="29">
        <f>+ENERO!U46</f>
        <v>26693987</v>
      </c>
      <c r="V46" s="17">
        <f>MAYO!V46+JUNIO!AL46</f>
        <v>0</v>
      </c>
      <c r="W46" s="17">
        <f>MAYO!W46+JUNIO!AM46</f>
        <v>0</v>
      </c>
      <c r="X46" s="20">
        <f>SUM(U46:W46)</f>
        <v>26693987</v>
      </c>
      <c r="Y46" s="21">
        <f>MAYO!AA46</f>
        <v>7333600</v>
      </c>
      <c r="Z46" s="457">
        <v>1910200</v>
      </c>
      <c r="AA46" s="20">
        <f>SUM(Y46:Z46)</f>
        <v>9243800</v>
      </c>
      <c r="AB46" s="21">
        <f>MAYO!AD46</f>
        <v>7333600</v>
      </c>
      <c r="AC46" s="457">
        <v>1910200</v>
      </c>
      <c r="AD46" s="20">
        <f>SUM(AB46:AC46)</f>
        <v>9243800</v>
      </c>
      <c r="AE46" s="21">
        <f>MAYO!AG46</f>
        <v>7333600</v>
      </c>
      <c r="AF46" s="457">
        <v>0</v>
      </c>
      <c r="AG46" s="20">
        <f>SUM(AE46:AF46)</f>
        <v>7333600</v>
      </c>
      <c r="AH46" s="21">
        <f>X46-AA46</f>
        <v>17450187</v>
      </c>
      <c r="AI46" s="17">
        <f>X46-AD46</f>
        <v>17450187</v>
      </c>
      <c r="AJ46" s="18">
        <f>X46-AG46</f>
        <v>19360387</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x14ac:dyDescent="0.2">
      <c r="A47" s="188" t="str">
        <f>+IF(MAYO!A47=0,"",MAYO!A47)</f>
        <v>1130107-2</v>
      </c>
      <c r="B47" s="189" t="str">
        <f>+IF(MAYO!B47=0,"",MAYO!B47)</f>
        <v>Vigencias Anteriores</v>
      </c>
      <c r="C47" s="456">
        <f>+ENERO!C47</f>
        <v>0</v>
      </c>
      <c r="D47" s="456">
        <f>MAYO!D47+JUNIO!P47</f>
        <v>0</v>
      </c>
      <c r="E47" s="456">
        <f>MAYO!E47+JUNIO!Q47</f>
        <v>0</v>
      </c>
      <c r="F47" s="170">
        <f>SUM(C47:E47)</f>
        <v>0</v>
      </c>
      <c r="G47" s="283">
        <f>MAYO!I47</f>
        <v>0</v>
      </c>
      <c r="H47" s="457">
        <v>0</v>
      </c>
      <c r="I47" s="170">
        <f>SUM(G47:H47)</f>
        <v>0</v>
      </c>
      <c r="J47" s="283">
        <f>MAYO!L47</f>
        <v>0</v>
      </c>
      <c r="K47" s="457">
        <v>0</v>
      </c>
      <c r="L47" s="170">
        <f>SUM(J47:K47)</f>
        <v>0</v>
      </c>
      <c r="M47" s="283">
        <f>F47-I47</f>
        <v>0</v>
      </c>
      <c r="N47" s="170">
        <f>F47-L47</f>
        <v>0</v>
      </c>
      <c r="O47" s="467"/>
      <c r="P47" s="455">
        <v>0</v>
      </c>
      <c r="Q47" s="458">
        <v>0</v>
      </c>
      <c r="R47" s="10"/>
      <c r="S47" s="156" t="str">
        <f>+IF(MAYO!S47=0,"",MAYO!S47)</f>
        <v>1010301-3</v>
      </c>
      <c r="T47" s="55" t="str">
        <f>+IF(MAYO!T47=0,"",MAYO!T47)</f>
        <v xml:space="preserve">Aportes a Fondos de Cesantia - Sin Sit. de Fondos </v>
      </c>
      <c r="U47" s="29">
        <f>+ENERO!U47</f>
        <v>4995512</v>
      </c>
      <c r="V47" s="17">
        <f>MAYO!V47+JUNIO!AL47</f>
        <v>0</v>
      </c>
      <c r="W47" s="17">
        <f>MAYO!W47+JUNIO!AM47</f>
        <v>0</v>
      </c>
      <c r="X47" s="20">
        <f>SUM(U47:W47)</f>
        <v>4995512</v>
      </c>
      <c r="Y47" s="21">
        <f>MAYO!AA47</f>
        <v>0</v>
      </c>
      <c r="Z47" s="457">
        <v>0</v>
      </c>
      <c r="AA47" s="20">
        <f>SUM(Y47:Z47)</f>
        <v>0</v>
      </c>
      <c r="AB47" s="21">
        <f>MAYO!AD47</f>
        <v>0</v>
      </c>
      <c r="AC47" s="457">
        <v>0</v>
      </c>
      <c r="AD47" s="20">
        <f>SUM(AB47:AC47)</f>
        <v>0</v>
      </c>
      <c r="AE47" s="21">
        <f>MAYO!AG47</f>
        <v>0</v>
      </c>
      <c r="AF47" s="457">
        <v>0</v>
      </c>
      <c r="AG47" s="20">
        <f>SUM(AE47:AF47)</f>
        <v>0</v>
      </c>
      <c r="AH47" s="21">
        <f>X47-AA47</f>
        <v>4995512</v>
      </c>
      <c r="AI47" s="17">
        <f>X47-AD47</f>
        <v>4995512</v>
      </c>
      <c r="AJ47" s="18">
        <f>X47-AG47</f>
        <v>4995512</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x14ac:dyDescent="0.2">
      <c r="A48" s="57">
        <f>+IF(MAYO!A48=0,"",MAYO!A48)</f>
        <v>1130108</v>
      </c>
      <c r="B48" s="45" t="str">
        <f>+IF(MAYO!B48=0,"",MAYO!B48)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+IF(MAYO!S48=0,"",MAYO!S48)</f>
        <v>1010301-4</v>
      </c>
      <c r="T48" s="55" t="str">
        <f>+IF(MAYO!T48=0,"",MAYO!T48)</f>
        <v xml:space="preserve">Aporte a ARL. - Sin Sit. de Fondos </v>
      </c>
      <c r="U48" s="29">
        <f>+ENERO!U48</f>
        <v>0</v>
      </c>
      <c r="V48" s="17">
        <f>MAYO!V48+JUNIO!AL48</f>
        <v>0</v>
      </c>
      <c r="W48" s="17">
        <f>MAYO!W48+JUNIO!AM48</f>
        <v>0</v>
      </c>
      <c r="X48" s="20">
        <f>SUM(U48:W48)</f>
        <v>0</v>
      </c>
      <c r="Y48" s="21">
        <f>MAYO!AA48</f>
        <v>0</v>
      </c>
      <c r="Z48" s="457">
        <v>0</v>
      </c>
      <c r="AA48" s="20">
        <f>SUM(Y48:Z48)</f>
        <v>0</v>
      </c>
      <c r="AB48" s="21">
        <f>MAYO!AD48</f>
        <v>0</v>
      </c>
      <c r="AC48" s="457">
        <v>0</v>
      </c>
      <c r="AD48" s="20">
        <f>SUM(AB48:AC48)</f>
        <v>0</v>
      </c>
      <c r="AE48" s="21">
        <f>MAYO!AG48</f>
        <v>0</v>
      </c>
      <c r="AF48" s="457">
        <v>0</v>
      </c>
      <c r="AG48" s="20">
        <f>SUM(AE48:AF48)</f>
        <v>0</v>
      </c>
      <c r="AH48" s="21">
        <f>X48-AA48</f>
        <v>0</v>
      </c>
      <c r="AI48" s="17">
        <f>X48-AD48</f>
        <v>0</v>
      </c>
      <c r="AJ48" s="18">
        <f>X48-AG48</f>
        <v>0</v>
      </c>
      <c r="AK48" s="10"/>
      <c r="AL48" s="455">
        <v>0</v>
      </c>
      <c r="AM48" s="458">
        <v>0</v>
      </c>
      <c r="AN48" s="10"/>
      <c r="AO48" s="365"/>
      <c r="AP48" s="365"/>
      <c r="AQ48" s="365"/>
      <c r="AR48" s="365"/>
      <c r="AS48" s="365"/>
      <c r="AT48" s="365"/>
      <c r="AU48" s="365"/>
      <c r="AV48" s="365"/>
      <c r="AW48" s="365"/>
      <c r="AX48" s="365"/>
      <c r="AY48" s="365"/>
      <c r="AZ48" s="365"/>
    </row>
    <row r="49" spans="1:70" s="514" customFormat="1" ht="15" x14ac:dyDescent="0.2">
      <c r="A49" s="188" t="str">
        <f>+IF(MAYO!A49=0,"",MAYO!A49)</f>
        <v>1130108-1</v>
      </c>
      <c r="B49" s="189" t="str">
        <f>+CONCATENATE("Vigencia ",INSTRUCCIONES!$F$3)</f>
        <v>Vigencia 2014</v>
      </c>
      <c r="C49" s="456">
        <f>+ENERO!C49</f>
        <v>0</v>
      </c>
      <c r="D49" s="456">
        <f>MAYO!D49+JUNIO!P49</f>
        <v>0</v>
      </c>
      <c r="E49" s="456">
        <f>MAYO!E49+JUNIO!Q49</f>
        <v>0</v>
      </c>
      <c r="F49" s="170">
        <f>SUM(C49:E49)</f>
        <v>0</v>
      </c>
      <c r="G49" s="283">
        <f>MAYO!I49</f>
        <v>0</v>
      </c>
      <c r="H49" s="457">
        <v>0</v>
      </c>
      <c r="I49" s="170">
        <f>SUM(G49:H49)</f>
        <v>0</v>
      </c>
      <c r="J49" s="283">
        <f>MAYO!L49</f>
        <v>0</v>
      </c>
      <c r="K49" s="457">
        <v>0</v>
      </c>
      <c r="L49" s="170">
        <f>SUM(J49:K49)</f>
        <v>0</v>
      </c>
      <c r="M49" s="283">
        <f>F49-I49</f>
        <v>0</v>
      </c>
      <c r="N49" s="170">
        <f>F49-L49</f>
        <v>0</v>
      </c>
      <c r="O49" s="467"/>
      <c r="P49" s="455">
        <v>0</v>
      </c>
      <c r="Q49" s="458">
        <v>0</v>
      </c>
      <c r="R49" s="10"/>
      <c r="S49" s="155">
        <f>+IF(MAYO!S49=0,"",MAYO!S49)</f>
        <v>1010302</v>
      </c>
      <c r="T49" s="159" t="str">
        <f>+IF(MAYO!T49=0,"",MAYO!T49)</f>
        <v>Contribuciones - Otros</v>
      </c>
      <c r="U49" s="29">
        <f t="shared" ref="U49:AJ49" si="48">SUM(U50:U54)</f>
        <v>63246028</v>
      </c>
      <c r="V49" s="17">
        <f t="shared" si="48"/>
        <v>0</v>
      </c>
      <c r="W49" s="17">
        <f t="shared" si="48"/>
        <v>0</v>
      </c>
      <c r="X49" s="20">
        <f t="shared" si="48"/>
        <v>63246028</v>
      </c>
      <c r="Y49" s="21">
        <f t="shared" si="48"/>
        <v>47227658</v>
      </c>
      <c r="Z49" s="169">
        <f t="shared" si="48"/>
        <v>1733300</v>
      </c>
      <c r="AA49" s="20">
        <f t="shared" si="48"/>
        <v>48960958</v>
      </c>
      <c r="AB49" s="21">
        <f t="shared" si="48"/>
        <v>47227658</v>
      </c>
      <c r="AC49" s="169">
        <f t="shared" si="48"/>
        <v>1733300</v>
      </c>
      <c r="AD49" s="20">
        <f t="shared" si="48"/>
        <v>48960958</v>
      </c>
      <c r="AE49" s="21">
        <f t="shared" si="48"/>
        <v>43820358</v>
      </c>
      <c r="AF49" s="169">
        <f t="shared" si="48"/>
        <v>3407300</v>
      </c>
      <c r="AG49" s="20">
        <f t="shared" si="48"/>
        <v>47227658</v>
      </c>
      <c r="AH49" s="21">
        <f t="shared" si="48"/>
        <v>14285070</v>
      </c>
      <c r="AI49" s="17">
        <f t="shared" si="48"/>
        <v>14285070</v>
      </c>
      <c r="AJ49" s="18">
        <f t="shared" si="48"/>
        <v>16018370</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x14ac:dyDescent="0.2">
      <c r="A50" s="188" t="str">
        <f>+IF(MAYO!A50=0,"",MAYO!A50)</f>
        <v>1130108-2</v>
      </c>
      <c r="B50" s="189" t="str">
        <f>+IF(MAYO!B50=0,"",MAYO!B50)</f>
        <v>Vigencias Anteriores</v>
      </c>
      <c r="C50" s="456">
        <f>+ENERO!C50</f>
        <v>0</v>
      </c>
      <c r="D50" s="456">
        <f>MAYO!D50+JUNIO!P50</f>
        <v>0</v>
      </c>
      <c r="E50" s="456">
        <f>MAYO!E50+JUNIO!Q50</f>
        <v>0</v>
      </c>
      <c r="F50" s="170">
        <f>SUM(C50:E50)</f>
        <v>0</v>
      </c>
      <c r="G50" s="283">
        <f>MAYO!I50</f>
        <v>0</v>
      </c>
      <c r="H50" s="457">
        <v>0</v>
      </c>
      <c r="I50" s="170">
        <f>SUM(G50:H50)</f>
        <v>0</v>
      </c>
      <c r="J50" s="283">
        <f>MAYO!L50</f>
        <v>0</v>
      </c>
      <c r="K50" s="457">
        <v>0</v>
      </c>
      <c r="L50" s="170">
        <f>SUM(J50:K50)</f>
        <v>0</v>
      </c>
      <c r="M50" s="283">
        <f>F50-I50</f>
        <v>0</v>
      </c>
      <c r="N50" s="170">
        <f>F50-L50</f>
        <v>0</v>
      </c>
      <c r="O50" s="467"/>
      <c r="P50" s="455">
        <v>0</v>
      </c>
      <c r="Q50" s="458">
        <v>0</v>
      </c>
      <c r="R50" s="10"/>
      <c r="S50" s="156" t="str">
        <f>+IF(MAYO!S50=0,"",MAYO!S50)</f>
        <v>1010302-1</v>
      </c>
      <c r="T50" s="55" t="str">
        <f>+IF(MAYO!T50=0,"",MAYO!T50)</f>
        <v>Aportes a E.P.S.- Con sit. Fondos</v>
      </c>
      <c r="U50" s="29">
        <f>+ENERO!U50</f>
        <v>4719263</v>
      </c>
      <c r="V50" s="17">
        <f>MAYO!V50+JUNIO!AL50</f>
        <v>0</v>
      </c>
      <c r="W50" s="17">
        <f>MAYO!W50+JUNIO!AM50</f>
        <v>0</v>
      </c>
      <c r="X50" s="20">
        <f t="shared" ref="X50:X55" si="49">SUM(U50:W50)</f>
        <v>4719263</v>
      </c>
      <c r="Y50" s="21">
        <f>MAYO!AA50</f>
        <v>4318160</v>
      </c>
      <c r="Z50" s="457">
        <v>0</v>
      </c>
      <c r="AA50" s="20">
        <f t="shared" ref="AA50:AA55" si="50">SUM(Y50:Z50)</f>
        <v>4318160</v>
      </c>
      <c r="AB50" s="21">
        <f>MAYO!AD50</f>
        <v>4318160</v>
      </c>
      <c r="AC50" s="457">
        <v>0</v>
      </c>
      <c r="AD50" s="20">
        <f t="shared" ref="AD50:AD55" si="51">SUM(AB50:AC50)</f>
        <v>4318160</v>
      </c>
      <c r="AE50" s="21">
        <f>MAYO!AG50</f>
        <v>4318160</v>
      </c>
      <c r="AF50" s="457">
        <v>0</v>
      </c>
      <c r="AG50" s="20">
        <f t="shared" ref="AG50:AG55" si="52">SUM(AE50:AF50)</f>
        <v>4318160</v>
      </c>
      <c r="AH50" s="21">
        <f t="shared" ref="AH50:AH55" si="53">X50-AA50</f>
        <v>401103</v>
      </c>
      <c r="AI50" s="17">
        <f t="shared" ref="AI50:AI55" si="54">X50-AD50</f>
        <v>401103</v>
      </c>
      <c r="AJ50" s="18">
        <f t="shared" ref="AJ50:AJ55" si="55">X50-AG50</f>
        <v>401103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x14ac:dyDescent="0.2">
      <c r="A51" s="57">
        <f>+IF(MAYO!A51=0,"",MAYO!A51)</f>
        <v>1130109</v>
      </c>
      <c r="B51" s="45" t="str">
        <f>+IF(MAYO!B51=0,"",MAYO!B51)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+IF(MAYO!S51=0,"",MAYO!S51)</f>
        <v>1010302-2</v>
      </c>
      <c r="T51" s="55" t="str">
        <f>+IF(MAYO!T51=0,"",MAYO!T51)</f>
        <v>Aportes Fondos Pensionales - Con Sit. Fondos</v>
      </c>
      <c r="U51" s="29">
        <f>+ENERO!U51</f>
        <v>14856625</v>
      </c>
      <c r="V51" s="17">
        <f>MAYO!V51+JUNIO!AL51</f>
        <v>0</v>
      </c>
      <c r="W51" s="17">
        <f>MAYO!W51+JUNIO!AM51</f>
        <v>0</v>
      </c>
      <c r="X51" s="20">
        <f t="shared" si="49"/>
        <v>14856625</v>
      </c>
      <c r="Y51" s="21">
        <f>MAYO!AA51</f>
        <v>9604660</v>
      </c>
      <c r="Z51" s="457">
        <v>0</v>
      </c>
      <c r="AA51" s="20">
        <f t="shared" si="50"/>
        <v>9604660</v>
      </c>
      <c r="AB51" s="21">
        <f>MAYO!AD51</f>
        <v>9604660</v>
      </c>
      <c r="AC51" s="457">
        <v>0</v>
      </c>
      <c r="AD51" s="20">
        <f t="shared" si="51"/>
        <v>9604660</v>
      </c>
      <c r="AE51" s="21">
        <f>MAYO!AG51</f>
        <v>7691860</v>
      </c>
      <c r="AF51" s="457">
        <v>1912800</v>
      </c>
      <c r="AG51" s="20">
        <f t="shared" si="52"/>
        <v>9604660</v>
      </c>
      <c r="AH51" s="21">
        <f t="shared" si="53"/>
        <v>5251965</v>
      </c>
      <c r="AI51" s="17">
        <f t="shared" si="54"/>
        <v>5251965</v>
      </c>
      <c r="AJ51" s="18">
        <f t="shared" si="55"/>
        <v>5251965</v>
      </c>
      <c r="AK51" s="10"/>
      <c r="AL51" s="455">
        <v>0</v>
      </c>
      <c r="AM51" s="458">
        <v>0</v>
      </c>
      <c r="AN51" s="10"/>
      <c r="AO51" s="365"/>
      <c r="AP51" s="365"/>
      <c r="AQ51" s="365"/>
      <c r="AR51" s="365"/>
      <c r="AS51" s="365"/>
      <c r="AT51" s="365"/>
      <c r="AU51" s="365"/>
      <c r="AV51" s="365"/>
      <c r="AW51" s="365"/>
      <c r="AX51" s="365"/>
      <c r="AY51" s="365"/>
      <c r="AZ51" s="365"/>
    </row>
    <row r="52" spans="1:70" s="514" customFormat="1" ht="15" x14ac:dyDescent="0.2">
      <c r="A52" s="188" t="str">
        <f>+IF(MAYO!A52=0,"",MAYO!A52)</f>
        <v>1130109-1</v>
      </c>
      <c r="B52" s="189" t="str">
        <f>+CONCATENATE("Vigencia ",INSTRUCCIONES!$F$3)</f>
        <v>Vigencia 2014</v>
      </c>
      <c r="C52" s="456">
        <f>+ENERO!C52</f>
        <v>0</v>
      </c>
      <c r="D52" s="456">
        <f>MAYO!D52+JUNIO!P52</f>
        <v>0</v>
      </c>
      <c r="E52" s="456">
        <f>MAYO!E52+JUNIO!Q52</f>
        <v>0</v>
      </c>
      <c r="F52" s="170">
        <f>SUM(C52:E52)</f>
        <v>0</v>
      </c>
      <c r="G52" s="283">
        <f>MAYO!I52</f>
        <v>0</v>
      </c>
      <c r="H52" s="457">
        <v>0</v>
      </c>
      <c r="I52" s="170">
        <f>SUM(G52:H52)</f>
        <v>0</v>
      </c>
      <c r="J52" s="283">
        <f>MAYO!L52</f>
        <v>0</v>
      </c>
      <c r="K52" s="457">
        <v>0</v>
      </c>
      <c r="L52" s="170">
        <f>SUM(J52:K52)</f>
        <v>0</v>
      </c>
      <c r="M52" s="283">
        <f>F52-I52</f>
        <v>0</v>
      </c>
      <c r="N52" s="170">
        <f>F52-L52</f>
        <v>0</v>
      </c>
      <c r="O52" s="467"/>
      <c r="P52" s="455">
        <v>0</v>
      </c>
      <c r="Q52" s="458">
        <v>0</v>
      </c>
      <c r="R52" s="10"/>
      <c r="S52" s="156" t="str">
        <f>+IF(MAYO!S52=0,"",MAYO!S52)</f>
        <v>1010302-3</v>
      </c>
      <c r="T52" s="55" t="str">
        <f>+IF(MAYO!T52=0,"",MAYO!T52)</f>
        <v xml:space="preserve">Aportes a Fondos de Cesantia - Con Sit. de Fondos </v>
      </c>
      <c r="U52" s="29">
        <f>+ENERO!U52</f>
        <v>26296821</v>
      </c>
      <c r="V52" s="17">
        <f>MAYO!V52+JUNIO!AL52</f>
        <v>0</v>
      </c>
      <c r="W52" s="17">
        <f>MAYO!W52+JUNIO!AM52</f>
        <v>0</v>
      </c>
      <c r="X52" s="20">
        <f t="shared" si="49"/>
        <v>26296821</v>
      </c>
      <c r="Y52" s="21">
        <f>MAYO!AA52</f>
        <v>25977938</v>
      </c>
      <c r="Z52" s="457">
        <v>0</v>
      </c>
      <c r="AA52" s="20">
        <f t="shared" si="50"/>
        <v>25977938</v>
      </c>
      <c r="AB52" s="21">
        <f>MAYO!AD52</f>
        <v>25977938</v>
      </c>
      <c r="AC52" s="457">
        <v>0</v>
      </c>
      <c r="AD52" s="20">
        <f t="shared" si="51"/>
        <v>25977938</v>
      </c>
      <c r="AE52" s="21">
        <f>MAYO!AG52</f>
        <v>25977938</v>
      </c>
      <c r="AF52" s="457">
        <v>0</v>
      </c>
      <c r="AG52" s="20">
        <f t="shared" si="52"/>
        <v>25977938</v>
      </c>
      <c r="AH52" s="21">
        <f t="shared" si="53"/>
        <v>318883</v>
      </c>
      <c r="AI52" s="17">
        <f t="shared" si="54"/>
        <v>318883</v>
      </c>
      <c r="AJ52" s="18">
        <f t="shared" si="55"/>
        <v>318883</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x14ac:dyDescent="0.2">
      <c r="A53" s="188" t="str">
        <f>+IF(MAYO!A53=0,"",MAYO!A53)</f>
        <v>1130109-2</v>
      </c>
      <c r="B53" s="189" t="str">
        <f>+IF(MAYO!B53=0,"",MAYO!B53)</f>
        <v>Vigencias Anteriores</v>
      </c>
      <c r="C53" s="456">
        <f>+ENERO!C53</f>
        <v>0</v>
      </c>
      <c r="D53" s="456">
        <f>MAYO!D53+JUNIO!P53</f>
        <v>0</v>
      </c>
      <c r="E53" s="456">
        <f>MAYO!E53+JUNIO!Q53</f>
        <v>0</v>
      </c>
      <c r="F53" s="170">
        <f>SUM(C53:E53)</f>
        <v>0</v>
      </c>
      <c r="G53" s="283">
        <f>MAYO!I53</f>
        <v>0</v>
      </c>
      <c r="H53" s="457">
        <v>0</v>
      </c>
      <c r="I53" s="170">
        <f>SUM(G53:H53)</f>
        <v>0</v>
      </c>
      <c r="J53" s="283">
        <f>MAYO!L53</f>
        <v>0</v>
      </c>
      <c r="K53" s="457">
        <v>0</v>
      </c>
      <c r="L53" s="170">
        <f>SUM(J53:K53)</f>
        <v>0</v>
      </c>
      <c r="M53" s="283">
        <f>F53-I53</f>
        <v>0</v>
      </c>
      <c r="N53" s="170">
        <f>F53-L53</f>
        <v>0</v>
      </c>
      <c r="O53" s="467"/>
      <c r="P53" s="455">
        <v>0</v>
      </c>
      <c r="Q53" s="458">
        <v>0</v>
      </c>
      <c r="R53" s="10"/>
      <c r="S53" s="156" t="str">
        <f>+IF(MAYO!S53=0,"",MAYO!S53)</f>
        <v>1010302-4</v>
      </c>
      <c r="T53" s="55" t="str">
        <f>+IF(MAYO!T53=0,"",MAYO!T53)</f>
        <v>Aporte a ARL. - Con Sit. de Fondos</v>
      </c>
      <c r="U53" s="29">
        <f>+ENERO!U53</f>
        <v>1807452</v>
      </c>
      <c r="V53" s="17">
        <f>MAYO!V53+JUNIO!AL53</f>
        <v>0</v>
      </c>
      <c r="W53" s="17">
        <f>MAYO!W53+JUNIO!AM53</f>
        <v>0</v>
      </c>
      <c r="X53" s="20">
        <f t="shared" si="49"/>
        <v>1807452</v>
      </c>
      <c r="Y53" s="21">
        <f>MAYO!AA53</f>
        <v>1480600</v>
      </c>
      <c r="Z53" s="457">
        <v>307800</v>
      </c>
      <c r="AA53" s="20">
        <f t="shared" si="50"/>
        <v>1788400</v>
      </c>
      <c r="AB53" s="21">
        <f>MAYO!AD53</f>
        <v>1480600</v>
      </c>
      <c r="AC53" s="457">
        <v>307800</v>
      </c>
      <c r="AD53" s="20">
        <f t="shared" si="51"/>
        <v>1788400</v>
      </c>
      <c r="AE53" s="21">
        <f>MAYO!AG53</f>
        <v>1165100</v>
      </c>
      <c r="AF53" s="457">
        <v>315500</v>
      </c>
      <c r="AG53" s="20">
        <f t="shared" si="52"/>
        <v>1480600</v>
      </c>
      <c r="AH53" s="21">
        <f t="shared" si="53"/>
        <v>19052</v>
      </c>
      <c r="AI53" s="17">
        <f t="shared" si="54"/>
        <v>19052</v>
      </c>
      <c r="AJ53" s="18">
        <f t="shared" si="55"/>
        <v>326852</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x14ac:dyDescent="0.2">
      <c r="A54" s="57">
        <f>+IF(MAYO!A54=0,"",MAYO!A54)</f>
        <v>1130110</v>
      </c>
      <c r="B54" s="45" t="str">
        <f>+IF(MAYO!B54=0,"",MAYO!B54)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+IF(MAYO!S54=0,"",MAYO!S54)</f>
        <v>1010302-5</v>
      </c>
      <c r="T54" s="55" t="str">
        <f>+IF(MAYO!T54=0,"",MAYO!T54)</f>
        <v>Aporte a Caja Compensación Familiar</v>
      </c>
      <c r="U54" s="29">
        <f>+ENERO!U54</f>
        <v>15565867</v>
      </c>
      <c r="V54" s="17">
        <f>MAYO!V54+JUNIO!AL54</f>
        <v>0</v>
      </c>
      <c r="W54" s="17">
        <f>MAYO!W54+JUNIO!AM54</f>
        <v>0</v>
      </c>
      <c r="X54" s="20">
        <f t="shared" si="49"/>
        <v>15565867</v>
      </c>
      <c r="Y54" s="21">
        <f>MAYO!AA54</f>
        <v>5846300</v>
      </c>
      <c r="Z54" s="457">
        <v>1425500</v>
      </c>
      <c r="AA54" s="20">
        <f t="shared" si="50"/>
        <v>7271800</v>
      </c>
      <c r="AB54" s="21">
        <f>MAYO!AD54</f>
        <v>5846300</v>
      </c>
      <c r="AC54" s="457">
        <v>1425500</v>
      </c>
      <c r="AD54" s="20">
        <f t="shared" si="51"/>
        <v>7271800</v>
      </c>
      <c r="AE54" s="21">
        <f>MAYO!AG54</f>
        <v>4667300</v>
      </c>
      <c r="AF54" s="457">
        <v>1179000</v>
      </c>
      <c r="AG54" s="20">
        <f t="shared" si="52"/>
        <v>5846300</v>
      </c>
      <c r="AH54" s="21">
        <f t="shared" si="53"/>
        <v>8294067</v>
      </c>
      <c r="AI54" s="17">
        <f t="shared" si="54"/>
        <v>8294067</v>
      </c>
      <c r="AJ54" s="18">
        <f t="shared" si="55"/>
        <v>9719567</v>
      </c>
      <c r="AK54" s="10"/>
      <c r="AL54" s="455">
        <v>0</v>
      </c>
      <c r="AM54" s="458">
        <v>0</v>
      </c>
      <c r="AN54" s="10"/>
      <c r="AO54" s="365"/>
      <c r="AP54" s="365"/>
      <c r="AQ54" s="365"/>
      <c r="AR54" s="365"/>
      <c r="AS54" s="365"/>
      <c r="AT54" s="365"/>
      <c r="AU54" s="365"/>
      <c r="AV54" s="365"/>
      <c r="AW54" s="365"/>
      <c r="AX54" s="365"/>
      <c r="AY54" s="365"/>
      <c r="AZ54" s="365"/>
    </row>
    <row r="55" spans="1:70" s="514" customFormat="1" ht="15" x14ac:dyDescent="0.2">
      <c r="A55" s="188" t="str">
        <f>+IF(MAYO!A55=0,"",MAYO!A55)</f>
        <v>1130110-1</v>
      </c>
      <c r="B55" s="189" t="str">
        <f>+CONCATENATE("Vigencia ",INSTRUCCIONES!$F$3)</f>
        <v>Vigencia 2014</v>
      </c>
      <c r="C55" s="456">
        <f>+ENERO!C55</f>
        <v>0</v>
      </c>
      <c r="D55" s="456">
        <f>MAYO!D55+JUNIO!P55</f>
        <v>0</v>
      </c>
      <c r="E55" s="456">
        <f>MAYO!E55+JUNIO!Q55</f>
        <v>0</v>
      </c>
      <c r="F55" s="170">
        <f>SUM(C55:E55)</f>
        <v>0</v>
      </c>
      <c r="G55" s="283">
        <f>MAYO!I55</f>
        <v>0</v>
      </c>
      <c r="H55" s="457">
        <v>0</v>
      </c>
      <c r="I55" s="170">
        <f>SUM(G55:H55)</f>
        <v>0</v>
      </c>
      <c r="J55" s="283">
        <f>MAYO!L55</f>
        <v>0</v>
      </c>
      <c r="K55" s="457">
        <v>0</v>
      </c>
      <c r="L55" s="170">
        <f>SUM(J55:K55)</f>
        <v>0</v>
      </c>
      <c r="M55" s="283">
        <f>F55-I55</f>
        <v>0</v>
      </c>
      <c r="N55" s="170">
        <f>F55-L55</f>
        <v>0</v>
      </c>
      <c r="O55" s="467"/>
      <c r="P55" s="455">
        <v>0</v>
      </c>
      <c r="Q55" s="458">
        <v>0</v>
      </c>
      <c r="R55" s="10"/>
      <c r="S55" s="155">
        <f>+IF(MAYO!S55=0,"",MAYO!S55)</f>
        <v>1010399</v>
      </c>
      <c r="T55" s="159" t="str">
        <f>+IF(MAYO!T55=0,"",MAYO!T55)</f>
        <v>Vigencias Anteriores</v>
      </c>
      <c r="U55" s="29">
        <f>+ENERO!U55</f>
        <v>0</v>
      </c>
      <c r="V55" s="17">
        <f>MAYO!V55+JUNIO!AL55</f>
        <v>487148</v>
      </c>
      <c r="W55" s="17">
        <f>MAYO!W55+JUNIO!AM55</f>
        <v>0</v>
      </c>
      <c r="X55" s="20">
        <f t="shared" si="49"/>
        <v>487148</v>
      </c>
      <c r="Y55" s="21">
        <f>MAYO!AA55</f>
        <v>487148</v>
      </c>
      <c r="Z55" s="457">
        <v>0</v>
      </c>
      <c r="AA55" s="20">
        <f t="shared" si="50"/>
        <v>487148</v>
      </c>
      <c r="AB55" s="21">
        <f>MAYO!AD55</f>
        <v>487148</v>
      </c>
      <c r="AC55" s="457">
        <v>0</v>
      </c>
      <c r="AD55" s="20">
        <f t="shared" si="51"/>
        <v>487148</v>
      </c>
      <c r="AE55" s="21">
        <f>MAYO!AG55</f>
        <v>0</v>
      </c>
      <c r="AF55" s="457">
        <v>0</v>
      </c>
      <c r="AG55" s="20">
        <f t="shared" si="52"/>
        <v>0</v>
      </c>
      <c r="AH55" s="21">
        <f t="shared" si="53"/>
        <v>0</v>
      </c>
      <c r="AI55" s="17">
        <f t="shared" si="54"/>
        <v>0</v>
      </c>
      <c r="AJ55" s="18">
        <f t="shared" si="55"/>
        <v>487148</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x14ac:dyDescent="0.2">
      <c r="A56" s="188" t="str">
        <f>+IF(MAYO!A56=0,"",MAYO!A56)</f>
        <v>1130110-2</v>
      </c>
      <c r="B56" s="189" t="str">
        <f>+IF(MAYO!B56=0,"",MAYO!B56)</f>
        <v>Vigencias Anteriores</v>
      </c>
      <c r="C56" s="456">
        <f>+ENERO!C56</f>
        <v>0</v>
      </c>
      <c r="D56" s="456">
        <f>MAYO!D56+JUNIO!P56</f>
        <v>0</v>
      </c>
      <c r="E56" s="456">
        <f>MAYO!E56+JUNIO!Q56</f>
        <v>0</v>
      </c>
      <c r="F56" s="170">
        <f>SUM(C56:E56)</f>
        <v>0</v>
      </c>
      <c r="G56" s="283">
        <f>MAYO!I56</f>
        <v>0</v>
      </c>
      <c r="H56" s="457">
        <v>0</v>
      </c>
      <c r="I56" s="170">
        <f>SUM(G56:H56)</f>
        <v>0</v>
      </c>
      <c r="J56" s="283">
        <f>MAYO!L56</f>
        <v>0</v>
      </c>
      <c r="K56" s="457">
        <v>0</v>
      </c>
      <c r="L56" s="170">
        <f>SUM(J56:K56)</f>
        <v>0</v>
      </c>
      <c r="M56" s="283">
        <f>F56-I56</f>
        <v>0</v>
      </c>
      <c r="N56" s="170">
        <f>F56-L56</f>
        <v>0</v>
      </c>
      <c r="O56" s="467"/>
      <c r="P56" s="455">
        <v>0</v>
      </c>
      <c r="Q56" s="458">
        <v>0</v>
      </c>
      <c r="R56" s="10"/>
      <c r="S56" s="448" t="str">
        <f>+IF(MAYO!S56=0,"",MAYO!S56)</f>
        <v/>
      </c>
      <c r="T56" s="649" t="str">
        <f>+IF(MAYO!T56=0,"",MAYO!T56)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x14ac:dyDescent="0.2">
      <c r="A57" s="57">
        <f>+IF(MAYO!A57=0,"",MAYO!A57)</f>
        <v>1130111</v>
      </c>
      <c r="B57" s="45" t="str">
        <f>+IF(MAYO!B57=0,"",MAYO!B57)</f>
        <v>IPS PRIVADAS</v>
      </c>
      <c r="C57" s="53">
        <f t="shared" ref="C57:N57" si="58">SUM(C58:C59)</f>
        <v>0</v>
      </c>
      <c r="D57" s="53">
        <f t="shared" si="58"/>
        <v>0</v>
      </c>
      <c r="E57" s="53">
        <f t="shared" si="58"/>
        <v>0</v>
      </c>
      <c r="F57" s="54">
        <f t="shared" si="58"/>
        <v>0</v>
      </c>
      <c r="G57" s="52">
        <f t="shared" si="58"/>
        <v>0</v>
      </c>
      <c r="H57" s="53">
        <f t="shared" si="58"/>
        <v>0</v>
      </c>
      <c r="I57" s="54">
        <f t="shared" si="58"/>
        <v>0</v>
      </c>
      <c r="J57" s="52">
        <f t="shared" si="58"/>
        <v>0</v>
      </c>
      <c r="K57" s="53">
        <f t="shared" si="58"/>
        <v>0</v>
      </c>
      <c r="L57" s="54">
        <f t="shared" si="58"/>
        <v>0</v>
      </c>
      <c r="M57" s="52">
        <f t="shared" si="58"/>
        <v>0</v>
      </c>
      <c r="N57" s="54">
        <f t="shared" si="58"/>
        <v>0</v>
      </c>
      <c r="P57" s="52">
        <f>SUM(P58:P59)</f>
        <v>0</v>
      </c>
      <c r="Q57" s="54">
        <f>SUM(Q58:Q59)</f>
        <v>0</v>
      </c>
      <c r="R57" s="10"/>
      <c r="S57" s="34">
        <f>+IF(MAYO!S57=0,"",MAYO!S57)</f>
        <v>1010400</v>
      </c>
      <c r="T57" s="158" t="str">
        <f>+IF(MAYO!T57=0,"",MAYO!T57)</f>
        <v>Contribuciones Inherentes nómina del Sector Publico</v>
      </c>
      <c r="U57" s="157">
        <f t="shared" ref="U57:AJ57" si="59">U58+U61</f>
        <v>19457334</v>
      </c>
      <c r="V57" s="144">
        <f t="shared" si="59"/>
        <v>0</v>
      </c>
      <c r="W57" s="144">
        <f t="shared" si="59"/>
        <v>0</v>
      </c>
      <c r="X57" s="152">
        <f t="shared" si="59"/>
        <v>19457334</v>
      </c>
      <c r="Y57" s="151">
        <f t="shared" si="59"/>
        <v>7545200</v>
      </c>
      <c r="Z57" s="144">
        <f t="shared" si="59"/>
        <v>1473500</v>
      </c>
      <c r="AA57" s="152">
        <f t="shared" si="59"/>
        <v>9018700</v>
      </c>
      <c r="AB57" s="151">
        <f t="shared" si="59"/>
        <v>7545200</v>
      </c>
      <c r="AC57" s="144">
        <f t="shared" si="59"/>
        <v>1473500</v>
      </c>
      <c r="AD57" s="152">
        <f t="shared" si="59"/>
        <v>9018700</v>
      </c>
      <c r="AE57" s="151">
        <f t="shared" si="59"/>
        <v>6071900</v>
      </c>
      <c r="AF57" s="144">
        <f t="shared" si="59"/>
        <v>1473300</v>
      </c>
      <c r="AG57" s="152">
        <f t="shared" si="59"/>
        <v>7545200</v>
      </c>
      <c r="AH57" s="151">
        <f t="shared" si="59"/>
        <v>10438634</v>
      </c>
      <c r="AI57" s="144">
        <f t="shared" si="59"/>
        <v>10438634</v>
      </c>
      <c r="AJ57" s="153">
        <f t="shared" si="59"/>
        <v>11912134</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x14ac:dyDescent="0.2">
      <c r="A58" s="188" t="str">
        <f>+IF(MAYO!A58=0,"",MAYO!A58)</f>
        <v>1130111-1</v>
      </c>
      <c r="B58" s="189" t="str">
        <f>+CONCATENATE("Vigencia ",INSTRUCCIONES!$F$3)</f>
        <v>Vigencia 2014</v>
      </c>
      <c r="C58" s="456">
        <f>+ENERO!C58</f>
        <v>0</v>
      </c>
      <c r="D58" s="456">
        <f>MAYO!D58+JUNIO!P58</f>
        <v>0</v>
      </c>
      <c r="E58" s="456">
        <f>MAYO!E58+JUNIO!Q58</f>
        <v>0</v>
      </c>
      <c r="F58" s="170">
        <f>SUM(C58:E58)</f>
        <v>0</v>
      </c>
      <c r="G58" s="283">
        <f>MAYO!I58</f>
        <v>0</v>
      </c>
      <c r="H58" s="457">
        <v>0</v>
      </c>
      <c r="I58" s="170">
        <f>SUM(G58:H58)</f>
        <v>0</v>
      </c>
      <c r="J58" s="283">
        <f>MAYO!L58</f>
        <v>0</v>
      </c>
      <c r="K58" s="457">
        <v>0</v>
      </c>
      <c r="L58" s="170">
        <f>SUM(J58:K58)</f>
        <v>0</v>
      </c>
      <c r="M58" s="283">
        <f>F58-I58</f>
        <v>0</v>
      </c>
      <c r="N58" s="170">
        <f>F58-L58</f>
        <v>0</v>
      </c>
      <c r="O58" s="467"/>
      <c r="P58" s="455">
        <v>0</v>
      </c>
      <c r="Q58" s="458">
        <v>0</v>
      </c>
      <c r="R58" s="10"/>
      <c r="S58" s="155">
        <f>+IF(MAYO!S58=0,"",MAYO!S58)</f>
        <v>1010402</v>
      </c>
      <c r="T58" s="159" t="str">
        <f>+IF(MAYO!T58=0,"",MAYO!T58)</f>
        <v>Contribuciones - Otros</v>
      </c>
      <c r="U58" s="29">
        <f t="shared" ref="U58:AJ58" si="60">SUM(U59:U60)</f>
        <v>19457334</v>
      </c>
      <c r="V58" s="17">
        <f t="shared" si="60"/>
        <v>0</v>
      </c>
      <c r="W58" s="17">
        <f t="shared" si="60"/>
        <v>0</v>
      </c>
      <c r="X58" s="20">
        <f t="shared" si="60"/>
        <v>19457334</v>
      </c>
      <c r="Y58" s="21">
        <f t="shared" si="60"/>
        <v>7545200</v>
      </c>
      <c r="Z58" s="169">
        <f t="shared" si="60"/>
        <v>1473500</v>
      </c>
      <c r="AA58" s="20">
        <f t="shared" si="60"/>
        <v>9018700</v>
      </c>
      <c r="AB58" s="21">
        <f t="shared" si="60"/>
        <v>7545200</v>
      </c>
      <c r="AC58" s="169">
        <f t="shared" si="60"/>
        <v>1473500</v>
      </c>
      <c r="AD58" s="20">
        <f t="shared" si="60"/>
        <v>9018700</v>
      </c>
      <c r="AE58" s="21">
        <f t="shared" si="60"/>
        <v>6071900</v>
      </c>
      <c r="AF58" s="169">
        <f t="shared" si="60"/>
        <v>1473300</v>
      </c>
      <c r="AG58" s="20">
        <f t="shared" si="60"/>
        <v>7545200</v>
      </c>
      <c r="AH58" s="21">
        <f t="shared" si="60"/>
        <v>10438634</v>
      </c>
      <c r="AI58" s="17">
        <f t="shared" si="60"/>
        <v>10438634</v>
      </c>
      <c r="AJ58" s="18">
        <f t="shared" si="60"/>
        <v>11912134</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x14ac:dyDescent="0.2">
      <c r="A59" s="188" t="str">
        <f>+IF(MAYO!A59=0,"",MAYO!A59)</f>
        <v>1130111-2</v>
      </c>
      <c r="B59" s="189" t="str">
        <f>+IF(MAYO!B59=0,"",MAYO!B59)</f>
        <v>Vigencias Anteriores</v>
      </c>
      <c r="C59" s="456">
        <f>+ENERO!C59</f>
        <v>0</v>
      </c>
      <c r="D59" s="456">
        <f>MAYO!D59+JUNIO!P59</f>
        <v>0</v>
      </c>
      <c r="E59" s="456">
        <f>MAYO!E59+JUNIO!Q59</f>
        <v>0</v>
      </c>
      <c r="F59" s="170">
        <f>SUM(C59:E59)</f>
        <v>0</v>
      </c>
      <c r="G59" s="283">
        <f>MAYO!I59</f>
        <v>0</v>
      </c>
      <c r="H59" s="457">
        <v>0</v>
      </c>
      <c r="I59" s="170">
        <f>SUM(G59:H59)</f>
        <v>0</v>
      </c>
      <c r="J59" s="283">
        <f>MAYO!L59</f>
        <v>0</v>
      </c>
      <c r="K59" s="457">
        <v>0</v>
      </c>
      <c r="L59" s="170">
        <f>SUM(J59:K59)</f>
        <v>0</v>
      </c>
      <c r="M59" s="283">
        <f>F59-I59</f>
        <v>0</v>
      </c>
      <c r="N59" s="170">
        <f>F59-L59</f>
        <v>0</v>
      </c>
      <c r="O59" s="467"/>
      <c r="P59" s="455">
        <v>0</v>
      </c>
      <c r="Q59" s="458">
        <v>0</v>
      </c>
      <c r="R59" s="10"/>
      <c r="S59" s="156" t="str">
        <f>+IF(MAYO!S59=0,"",MAYO!S59)</f>
        <v>1010402-1</v>
      </c>
      <c r="T59" s="159" t="str">
        <f>+IF(MAYO!T59=0,"",MAYO!T59)</f>
        <v>S.E.N.A.</v>
      </c>
      <c r="U59" s="29">
        <f>+ENERO!U59</f>
        <v>7782934</v>
      </c>
      <c r="V59" s="17">
        <f>MAYO!V59+JUNIO!AL59</f>
        <v>0</v>
      </c>
      <c r="W59" s="17">
        <f>MAYO!W59+JUNIO!AM59</f>
        <v>0</v>
      </c>
      <c r="X59" s="20">
        <f>SUM(U59:W59)</f>
        <v>7782934</v>
      </c>
      <c r="Y59" s="21">
        <f>MAYO!AA59</f>
        <v>2939000</v>
      </c>
      <c r="Z59" s="457">
        <v>589400</v>
      </c>
      <c r="AA59" s="20">
        <f>SUM(Y59:Z59)</f>
        <v>3528400</v>
      </c>
      <c r="AB59" s="21">
        <f>MAYO!AD59</f>
        <v>2939000</v>
      </c>
      <c r="AC59" s="457">
        <v>589400</v>
      </c>
      <c r="AD59" s="20">
        <f>SUM(AB59:AC59)</f>
        <v>3528400</v>
      </c>
      <c r="AE59" s="21">
        <f>MAYO!AG59</f>
        <v>2349700</v>
      </c>
      <c r="AF59" s="457">
        <v>589300</v>
      </c>
      <c r="AG59" s="20">
        <f>SUM(AE59:AF59)</f>
        <v>2939000</v>
      </c>
      <c r="AH59" s="21">
        <f>X59-AA59</f>
        <v>4254534</v>
      </c>
      <c r="AI59" s="17">
        <f>X59-AD59</f>
        <v>4254534</v>
      </c>
      <c r="AJ59" s="18">
        <f>X59-AG59</f>
        <v>4843934</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x14ac:dyDescent="0.2">
      <c r="A60" s="57">
        <f>+IF(MAYO!A60=0,"",MAYO!A60)</f>
        <v>1130112</v>
      </c>
      <c r="B60" s="45" t="str">
        <f>+IF(MAYO!B60=0,"",MAYO!B60)</f>
        <v>IPS PUBLICAS</v>
      </c>
      <c r="C60" s="53">
        <f t="shared" ref="C60:N60" si="61">SUM(C61:C62)</f>
        <v>8883897</v>
      </c>
      <c r="D60" s="53">
        <f t="shared" si="61"/>
        <v>0</v>
      </c>
      <c r="E60" s="53">
        <f t="shared" si="61"/>
        <v>0</v>
      </c>
      <c r="F60" s="54">
        <f t="shared" si="61"/>
        <v>8883897</v>
      </c>
      <c r="G60" s="52">
        <f t="shared" si="61"/>
        <v>3624117</v>
      </c>
      <c r="H60" s="53">
        <f t="shared" si="61"/>
        <v>174649</v>
      </c>
      <c r="I60" s="54">
        <f t="shared" si="61"/>
        <v>3798766</v>
      </c>
      <c r="J60" s="52">
        <f t="shared" si="61"/>
        <v>2416863</v>
      </c>
      <c r="K60" s="53">
        <f t="shared" si="61"/>
        <v>335843</v>
      </c>
      <c r="L60" s="54">
        <f t="shared" si="61"/>
        <v>2752706</v>
      </c>
      <c r="M60" s="52">
        <f t="shared" si="61"/>
        <v>5085131</v>
      </c>
      <c r="N60" s="54">
        <f t="shared" si="61"/>
        <v>6131191</v>
      </c>
      <c r="P60" s="52">
        <f>SUM(P61:P62)</f>
        <v>0</v>
      </c>
      <c r="Q60" s="54">
        <f>SUM(Q61:Q62)</f>
        <v>0</v>
      </c>
      <c r="R60" s="10"/>
      <c r="S60" s="156" t="str">
        <f>+IF(MAYO!S60=0,"",MAYO!S60)</f>
        <v>1010402-2</v>
      </c>
      <c r="T60" s="159" t="str">
        <f>+IF(MAYO!T60=0,"",MAYO!T60)</f>
        <v>I.C.B.F.</v>
      </c>
      <c r="U60" s="29">
        <f>+ENERO!U60</f>
        <v>11674400</v>
      </c>
      <c r="V60" s="17">
        <f>MAYO!V60+JUNIO!AL60</f>
        <v>0</v>
      </c>
      <c r="W60" s="17">
        <f>MAYO!W60+JUNIO!AM60</f>
        <v>0</v>
      </c>
      <c r="X60" s="20">
        <f>SUM(U60:W60)</f>
        <v>11674400</v>
      </c>
      <c r="Y60" s="21">
        <f>MAYO!AA60</f>
        <v>4606200</v>
      </c>
      <c r="Z60" s="457">
        <v>884100</v>
      </c>
      <c r="AA60" s="20">
        <f>SUM(Y60:Z60)</f>
        <v>5490300</v>
      </c>
      <c r="AB60" s="21">
        <f>MAYO!AD60</f>
        <v>4606200</v>
      </c>
      <c r="AC60" s="457">
        <v>884100</v>
      </c>
      <c r="AD60" s="20">
        <f>SUM(AB60:AC60)</f>
        <v>5490300</v>
      </c>
      <c r="AE60" s="21">
        <f>MAYO!AG60</f>
        <v>3722200</v>
      </c>
      <c r="AF60" s="457">
        <v>884000</v>
      </c>
      <c r="AG60" s="20">
        <f>SUM(AE60:AF60)</f>
        <v>4606200</v>
      </c>
      <c r="AH60" s="21">
        <f>X60-AA60</f>
        <v>6184100</v>
      </c>
      <c r="AI60" s="17">
        <f>X60-AD60</f>
        <v>6184100</v>
      </c>
      <c r="AJ60" s="18">
        <f>X60-AG60</f>
        <v>7068200</v>
      </c>
      <c r="AK60" s="10"/>
      <c r="AL60" s="455">
        <v>0</v>
      </c>
      <c r="AM60" s="458">
        <v>0</v>
      </c>
      <c r="AN60" s="10"/>
      <c r="AO60" s="365"/>
      <c r="AP60" s="365"/>
      <c r="AQ60" s="365"/>
      <c r="AR60" s="365"/>
      <c r="AS60" s="365"/>
      <c r="AT60" s="365"/>
      <c r="AU60" s="365"/>
      <c r="AV60" s="365"/>
      <c r="AW60" s="365"/>
      <c r="AX60" s="365"/>
      <c r="AY60" s="365"/>
      <c r="AZ60" s="365"/>
    </row>
    <row r="61" spans="1:70" s="514" customFormat="1" ht="15" x14ac:dyDescent="0.2">
      <c r="A61" s="188" t="str">
        <f>+IF(MAYO!A61=0,"",MAYO!A61)</f>
        <v>1130112-1</v>
      </c>
      <c r="B61" s="189" t="str">
        <f>+CONCATENATE("Vigencia ",INSTRUCCIONES!$F$3)</f>
        <v>Vigencia 2014</v>
      </c>
      <c r="C61" s="456">
        <f>+ENERO!C61</f>
        <v>5883897</v>
      </c>
      <c r="D61" s="456">
        <f>MAYO!D61+JUNIO!P61</f>
        <v>0</v>
      </c>
      <c r="E61" s="456">
        <f>MAYO!E61+JUNIO!Q61</f>
        <v>0</v>
      </c>
      <c r="F61" s="170">
        <f>SUM(C61:E61)</f>
        <v>5883897</v>
      </c>
      <c r="G61" s="283">
        <f>MAYO!I61</f>
        <v>1260632</v>
      </c>
      <c r="H61" s="457">
        <v>0</v>
      </c>
      <c r="I61" s="170">
        <f>SUM(G61:H61)</f>
        <v>1260632</v>
      </c>
      <c r="J61" s="283">
        <f>MAYO!L61</f>
        <v>53378</v>
      </c>
      <c r="K61" s="457">
        <v>161194</v>
      </c>
      <c r="L61" s="170">
        <f>SUM(J61:K61)</f>
        <v>214572</v>
      </c>
      <c r="M61" s="283">
        <f>F61-I61</f>
        <v>4623265</v>
      </c>
      <c r="N61" s="170">
        <f>F61-L61</f>
        <v>5669325</v>
      </c>
      <c r="O61" s="467"/>
      <c r="P61" s="455">
        <v>0</v>
      </c>
      <c r="Q61" s="458">
        <v>0</v>
      </c>
      <c r="R61" s="10"/>
      <c r="S61" s="155">
        <f>+IF(MAYO!S61=0,"",MAYO!S61)</f>
        <v>1010499</v>
      </c>
      <c r="T61" s="159" t="str">
        <f>+IF(MAYO!T61=0,"",MAYO!T61)</f>
        <v>Vigencias Anteriores</v>
      </c>
      <c r="U61" s="29">
        <f>+ENERO!U61</f>
        <v>0</v>
      </c>
      <c r="V61" s="17">
        <f>MAYO!V61+JUNIO!AL61</f>
        <v>0</v>
      </c>
      <c r="W61" s="17">
        <f>MAYO!W61+JUNIO!AM61</f>
        <v>0</v>
      </c>
      <c r="X61" s="20">
        <f>SUM(U61:W61)</f>
        <v>0</v>
      </c>
      <c r="Y61" s="21">
        <f>MAYO!AA61</f>
        <v>0</v>
      </c>
      <c r="Z61" s="457">
        <v>0</v>
      </c>
      <c r="AA61" s="20">
        <f>SUM(Y61:Z61)</f>
        <v>0</v>
      </c>
      <c r="AB61" s="21">
        <f>MAYO!AD61</f>
        <v>0</v>
      </c>
      <c r="AC61" s="457">
        <v>0</v>
      </c>
      <c r="AD61" s="20">
        <f>SUM(AB61:AC61)</f>
        <v>0</v>
      </c>
      <c r="AE61" s="21">
        <f>MAYO!AG61</f>
        <v>0</v>
      </c>
      <c r="AF61" s="457">
        <v>0</v>
      </c>
      <c r="AG61" s="20">
        <f>SUM(AE61:AF61)</f>
        <v>0</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x14ac:dyDescent="0.2">
      <c r="A62" s="188" t="str">
        <f>+IF(MAYO!A62=0,"",MAYO!A62)</f>
        <v>1130112-2</v>
      </c>
      <c r="B62" s="189" t="str">
        <f>+IF(MAYO!B62=0,"",MAYO!B62)</f>
        <v>Vigencias Anteriores</v>
      </c>
      <c r="C62" s="456">
        <f>+ENERO!C62</f>
        <v>3000000</v>
      </c>
      <c r="D62" s="456">
        <f>MAYO!D62+JUNIO!P62</f>
        <v>0</v>
      </c>
      <c r="E62" s="456">
        <f>MAYO!E62+JUNIO!Q62</f>
        <v>0</v>
      </c>
      <c r="F62" s="170">
        <f>SUM(C62:E62)</f>
        <v>3000000</v>
      </c>
      <c r="G62" s="283">
        <f>MAYO!I62</f>
        <v>2363485</v>
      </c>
      <c r="H62" s="457">
        <v>174649</v>
      </c>
      <c r="I62" s="170">
        <f>SUM(G62:H62)</f>
        <v>2538134</v>
      </c>
      <c r="J62" s="283">
        <f>MAYO!L62</f>
        <v>2363485</v>
      </c>
      <c r="K62" s="457">
        <v>174649</v>
      </c>
      <c r="L62" s="170">
        <f>SUM(J62:K62)</f>
        <v>2538134</v>
      </c>
      <c r="M62" s="283">
        <f>F62-I62</f>
        <v>461866</v>
      </c>
      <c r="N62" s="170">
        <f>F62-L62</f>
        <v>461866</v>
      </c>
      <c r="O62" s="467"/>
      <c r="P62" s="455">
        <v>0</v>
      </c>
      <c r="Q62" s="458">
        <v>0</v>
      </c>
      <c r="R62" s="10"/>
      <c r="S62" s="448" t="str">
        <f>+IF(MAYO!S62=0,"",MAYO!S62)</f>
        <v/>
      </c>
      <c r="T62" s="649" t="str">
        <f>+IF(MAYO!T62=0,"",MAYO!T62)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x14ac:dyDescent="0.2">
      <c r="A63" s="57">
        <f>+IF(MAYO!A63=0,"",MAYO!A63)</f>
        <v>1130113</v>
      </c>
      <c r="B63" s="45" t="str">
        <f>+IF(MAYO!B63=0,"",MAYO!B63)</f>
        <v>COMPAÑIAS DE SEGUROS  - ACCIDENTES DE TRANSITO (SOAT)</v>
      </c>
      <c r="C63" s="53">
        <f t="shared" ref="C63:N63" si="62">SUM(C64:C65)</f>
        <v>52973202</v>
      </c>
      <c r="D63" s="53">
        <f t="shared" si="62"/>
        <v>0</v>
      </c>
      <c r="E63" s="53">
        <f t="shared" si="62"/>
        <v>0</v>
      </c>
      <c r="F63" s="54">
        <f t="shared" si="62"/>
        <v>52973202</v>
      </c>
      <c r="G63" s="52">
        <f t="shared" si="62"/>
        <v>22443950</v>
      </c>
      <c r="H63" s="53">
        <f t="shared" si="62"/>
        <v>2521305</v>
      </c>
      <c r="I63" s="54">
        <f t="shared" si="62"/>
        <v>24965255</v>
      </c>
      <c r="J63" s="52">
        <f t="shared" si="62"/>
        <v>18043586</v>
      </c>
      <c r="K63" s="53">
        <f t="shared" si="62"/>
        <v>2068494</v>
      </c>
      <c r="L63" s="54">
        <f t="shared" si="62"/>
        <v>20112080</v>
      </c>
      <c r="M63" s="52">
        <f t="shared" si="62"/>
        <v>28007947</v>
      </c>
      <c r="N63" s="54">
        <f t="shared" si="62"/>
        <v>32861122</v>
      </c>
      <c r="P63" s="52">
        <f>SUM(P64:P65)</f>
        <v>0</v>
      </c>
      <c r="Q63" s="54">
        <f>SUM(Q64:Q65)</f>
        <v>0</v>
      </c>
      <c r="R63" s="10"/>
      <c r="S63" s="469">
        <f>+IF(MAYO!S63=0,"",MAYO!S63)</f>
        <v>1020010</v>
      </c>
      <c r="T63" s="470" t="str">
        <f>+IF(MAYO!T63=0,"",MAYO!T63)</f>
        <v>Gastos de Operación</v>
      </c>
      <c r="U63" s="157">
        <f t="shared" ref="U63:AJ63" si="63">U65+U83+U90+U104</f>
        <v>1656122409</v>
      </c>
      <c r="V63" s="144">
        <f t="shared" si="63"/>
        <v>5657703</v>
      </c>
      <c r="W63" s="144">
        <f t="shared" si="63"/>
        <v>18789110</v>
      </c>
      <c r="X63" s="152">
        <f t="shared" si="63"/>
        <v>1680569222</v>
      </c>
      <c r="Y63" s="151">
        <f t="shared" si="63"/>
        <v>655100277</v>
      </c>
      <c r="Z63" s="144">
        <f t="shared" si="63"/>
        <v>104935257</v>
      </c>
      <c r="AA63" s="152">
        <f t="shared" si="63"/>
        <v>760035534</v>
      </c>
      <c r="AB63" s="151">
        <f t="shared" si="63"/>
        <v>655099477</v>
      </c>
      <c r="AC63" s="144">
        <f t="shared" si="63"/>
        <v>104936057</v>
      </c>
      <c r="AD63" s="152">
        <f t="shared" si="63"/>
        <v>760035534</v>
      </c>
      <c r="AE63" s="151">
        <f t="shared" si="63"/>
        <v>613749921</v>
      </c>
      <c r="AF63" s="144">
        <f t="shared" si="63"/>
        <v>73986287</v>
      </c>
      <c r="AG63" s="152">
        <f t="shared" si="63"/>
        <v>687736208</v>
      </c>
      <c r="AH63" s="151">
        <f t="shared" si="63"/>
        <v>920533688</v>
      </c>
      <c r="AI63" s="144">
        <f t="shared" si="63"/>
        <v>920533688</v>
      </c>
      <c r="AJ63" s="153">
        <f t="shared" si="63"/>
        <v>992833014</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x14ac:dyDescent="0.2">
      <c r="A64" s="188" t="str">
        <f>+IF(MAYO!A64=0,"",MAYO!A64)</f>
        <v>1130113-1</v>
      </c>
      <c r="B64" s="189" t="str">
        <f>+CONCATENATE("Vigencia ",INSTRUCCIONES!$F$3)</f>
        <v>Vigencia 2014</v>
      </c>
      <c r="C64" s="456">
        <f>+ENERO!C64</f>
        <v>40103182</v>
      </c>
      <c r="D64" s="456">
        <f>MAYO!D64+JUNIO!P64</f>
        <v>0</v>
      </c>
      <c r="E64" s="456">
        <f>MAYO!E64+JUNIO!Q64</f>
        <v>0</v>
      </c>
      <c r="F64" s="170">
        <f>SUM(C64:E64)</f>
        <v>40103182</v>
      </c>
      <c r="G64" s="283">
        <f>MAYO!I64</f>
        <v>14326224</v>
      </c>
      <c r="H64" s="457">
        <v>2521305</v>
      </c>
      <c r="I64" s="170">
        <f>SUM(G64:H64)</f>
        <v>16847529</v>
      </c>
      <c r="J64" s="283">
        <f>MAYO!L64</f>
        <v>9925860</v>
      </c>
      <c r="K64" s="457">
        <v>2068494</v>
      </c>
      <c r="L64" s="170">
        <f>SUM(J64:K64)</f>
        <v>11994354</v>
      </c>
      <c r="M64" s="283">
        <f>F64-I64</f>
        <v>23255653</v>
      </c>
      <c r="N64" s="170">
        <f>F64-L64</f>
        <v>28108828</v>
      </c>
      <c r="O64" s="467"/>
      <c r="P64" s="455">
        <v>0</v>
      </c>
      <c r="Q64" s="458">
        <v>0</v>
      </c>
      <c r="R64" s="10"/>
      <c r="S64" s="448" t="str">
        <f>+IF(MAYO!S64=0,"",MAYO!S64)</f>
        <v/>
      </c>
      <c r="T64" s="649" t="str">
        <f>+IF(MAYO!T64=0,"",MAYO!T64)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x14ac:dyDescent="0.2">
      <c r="A65" s="188" t="str">
        <f>+IF(MAYO!A65=0,"",MAYO!A65)</f>
        <v>1130113-2</v>
      </c>
      <c r="B65" s="189" t="str">
        <f>+IF(MAYO!B65=0,"",MAYO!B65)</f>
        <v>Vigencias Anteriores</v>
      </c>
      <c r="C65" s="456">
        <f>+ENERO!C65</f>
        <v>12870020</v>
      </c>
      <c r="D65" s="456">
        <f>MAYO!D65+JUNIO!P65</f>
        <v>0</v>
      </c>
      <c r="E65" s="456">
        <f>MAYO!E65+JUNIO!Q65</f>
        <v>0</v>
      </c>
      <c r="F65" s="170">
        <f>SUM(C65:E65)</f>
        <v>12870020</v>
      </c>
      <c r="G65" s="283">
        <f>MAYO!I65</f>
        <v>8117726</v>
      </c>
      <c r="H65" s="457">
        <v>0</v>
      </c>
      <c r="I65" s="170">
        <f>SUM(G65:H65)</f>
        <v>8117726</v>
      </c>
      <c r="J65" s="283">
        <f>MAYO!L65</f>
        <v>8117726</v>
      </c>
      <c r="K65" s="457">
        <v>0</v>
      </c>
      <c r="L65" s="170">
        <f>SUM(J65:K65)</f>
        <v>8117726</v>
      </c>
      <c r="M65" s="283">
        <f>F65-I65</f>
        <v>4752294</v>
      </c>
      <c r="N65" s="170">
        <f>F65-L65</f>
        <v>4752294</v>
      </c>
      <c r="O65" s="467"/>
      <c r="P65" s="455">
        <v>0</v>
      </c>
      <c r="Q65" s="458">
        <v>0</v>
      </c>
      <c r="R65" s="10"/>
      <c r="S65" s="34">
        <f>+IF(MAYO!S65=0,"",MAYO!S65)</f>
        <v>1020100</v>
      </c>
      <c r="T65" s="158" t="str">
        <f>+IF(MAYO!T65=0,"",MAYO!T65)</f>
        <v>Servicios Personales Asociados a Nómina</v>
      </c>
      <c r="U65" s="157">
        <f t="shared" ref="U65:AJ65" si="64">SUM(U66:U69)+U81</f>
        <v>1157487731</v>
      </c>
      <c r="V65" s="144">
        <f t="shared" si="64"/>
        <v>5657703</v>
      </c>
      <c r="W65" s="144">
        <f t="shared" si="64"/>
        <v>8749212</v>
      </c>
      <c r="X65" s="152">
        <f t="shared" si="64"/>
        <v>1171894646</v>
      </c>
      <c r="Y65" s="151">
        <f t="shared" si="64"/>
        <v>447656026</v>
      </c>
      <c r="Z65" s="144">
        <f t="shared" si="64"/>
        <v>89164595</v>
      </c>
      <c r="AA65" s="152">
        <f t="shared" si="64"/>
        <v>536820621</v>
      </c>
      <c r="AB65" s="151">
        <f t="shared" si="64"/>
        <v>447656026</v>
      </c>
      <c r="AC65" s="144">
        <f t="shared" si="64"/>
        <v>89164595</v>
      </c>
      <c r="AD65" s="152">
        <f t="shared" si="64"/>
        <v>536820621</v>
      </c>
      <c r="AE65" s="151">
        <f t="shared" si="64"/>
        <v>427775560</v>
      </c>
      <c r="AF65" s="144">
        <f t="shared" si="64"/>
        <v>54703268</v>
      </c>
      <c r="AG65" s="152">
        <f t="shared" si="64"/>
        <v>482478828</v>
      </c>
      <c r="AH65" s="151">
        <f t="shared" si="64"/>
        <v>635074025</v>
      </c>
      <c r="AI65" s="144">
        <f t="shared" si="64"/>
        <v>635074025</v>
      </c>
      <c r="AJ65" s="153">
        <f t="shared" si="64"/>
        <v>689415818</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x14ac:dyDescent="0.2">
      <c r="A66" s="57">
        <f>+IF(MAYO!A66=0,"",MAYO!A66)</f>
        <v>1130114</v>
      </c>
      <c r="B66" s="45" t="str">
        <f>+IF(MAYO!B66=0,"",MAYO!B66)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+IF(MAYO!S66=0,"",MAYO!S66)</f>
        <v>1020101</v>
      </c>
      <c r="T66" s="159" t="str">
        <f>+IF(MAYO!T66=0,"",MAYO!T66)</f>
        <v>Sueldos del Personal de nómina</v>
      </c>
      <c r="U66" s="29">
        <f>+ENERO!U66</f>
        <v>901111176</v>
      </c>
      <c r="V66" s="17">
        <f>MAYO!V66+JUNIO!AL66</f>
        <v>0</v>
      </c>
      <c r="W66" s="17">
        <f>MAYO!W66+JUNIO!AM66</f>
        <v>0</v>
      </c>
      <c r="X66" s="20">
        <f>SUM(U66:W66)</f>
        <v>901111176</v>
      </c>
      <c r="Y66" s="21">
        <f>MAYO!AA66</f>
        <v>378055675</v>
      </c>
      <c r="Z66" s="457">
        <v>75485689</v>
      </c>
      <c r="AA66" s="20">
        <f>SUM(Y66:Z66)</f>
        <v>453541364</v>
      </c>
      <c r="AB66" s="21">
        <f>MAYO!AD66</f>
        <v>378055675</v>
      </c>
      <c r="AC66" s="457">
        <v>75485689</v>
      </c>
      <c r="AD66" s="20">
        <f>SUM(AB66:AC66)</f>
        <v>453541364</v>
      </c>
      <c r="AE66" s="21">
        <f>MAYO!AG66</f>
        <v>360480939</v>
      </c>
      <c r="AF66" s="457">
        <v>44701937</v>
      </c>
      <c r="AG66" s="20">
        <f>SUM(AE66:AF66)</f>
        <v>405182876</v>
      </c>
      <c r="AH66" s="21">
        <f>X66-AA66</f>
        <v>447569812</v>
      </c>
      <c r="AI66" s="17">
        <f>X66-AD66</f>
        <v>447569812</v>
      </c>
      <c r="AJ66" s="18">
        <f>X66-AG66</f>
        <v>495928300</v>
      </c>
      <c r="AK66" s="10"/>
      <c r="AL66" s="455">
        <v>0</v>
      </c>
      <c r="AM66" s="458">
        <v>0</v>
      </c>
      <c r="AN66" s="10"/>
      <c r="AO66" s="365"/>
      <c r="AP66" s="365"/>
      <c r="AQ66" s="365"/>
      <c r="AR66" s="365"/>
      <c r="AS66" s="365"/>
      <c r="AT66" s="365"/>
      <c r="AU66" s="365"/>
      <c r="AV66" s="365"/>
      <c r="AW66" s="365"/>
      <c r="AX66" s="365"/>
      <c r="AY66" s="365"/>
      <c r="AZ66" s="365"/>
    </row>
    <row r="67" spans="1:70" s="514" customFormat="1" ht="15" x14ac:dyDescent="0.2">
      <c r="A67" s="188" t="str">
        <f>+IF(MAYO!A67=0,"",MAYO!A67)</f>
        <v>1130114-1</v>
      </c>
      <c r="B67" s="189" t="str">
        <f>+CONCATENATE("Vigencia ",INSTRUCCIONES!$F$3)</f>
        <v>Vigencia 2014</v>
      </c>
      <c r="C67" s="456">
        <f>+ENERO!C67</f>
        <v>0</v>
      </c>
      <c r="D67" s="456">
        <f>MAYO!D67+JUNIO!P67</f>
        <v>0</v>
      </c>
      <c r="E67" s="456">
        <f>MAYO!E67+JUNIO!Q67</f>
        <v>0</v>
      </c>
      <c r="F67" s="170">
        <f>SUM(C67:E67)</f>
        <v>0</v>
      </c>
      <c r="G67" s="283">
        <f>MAYO!I67</f>
        <v>0</v>
      </c>
      <c r="H67" s="457">
        <v>0</v>
      </c>
      <c r="I67" s="170">
        <f>SUM(G67:H67)</f>
        <v>0</v>
      </c>
      <c r="J67" s="283">
        <f>MAYO!L67</f>
        <v>0</v>
      </c>
      <c r="K67" s="457">
        <v>0</v>
      </c>
      <c r="L67" s="170">
        <f>SUM(J67:K67)</f>
        <v>0</v>
      </c>
      <c r="M67" s="283">
        <f>F67-I67</f>
        <v>0</v>
      </c>
      <c r="N67" s="170">
        <f>F67-L67</f>
        <v>0</v>
      </c>
      <c r="O67" s="467"/>
      <c r="P67" s="455">
        <v>0</v>
      </c>
      <c r="Q67" s="458">
        <v>0</v>
      </c>
      <c r="R67" s="10"/>
      <c r="S67" s="155">
        <f>+IF(MAYO!S67=0,"",MAYO!S67)</f>
        <v>1020102</v>
      </c>
      <c r="T67" s="159" t="str">
        <f>+IF(MAYO!T67=0,"",MAYO!T67)</f>
        <v>Horas Extras,Dominic.,Festivos y Rec. Nocturnos</v>
      </c>
      <c r="U67" s="29">
        <f>+ENERO!U67</f>
        <v>116857377</v>
      </c>
      <c r="V67" s="17">
        <f>MAYO!V67+JUNIO!AL67</f>
        <v>0</v>
      </c>
      <c r="W67" s="17">
        <f>MAYO!W67+JUNIO!AM67</f>
        <v>0</v>
      </c>
      <c r="X67" s="20">
        <f>SUM(U67:W67)</f>
        <v>116857377</v>
      </c>
      <c r="Y67" s="21">
        <f>MAYO!AA67</f>
        <v>36923201</v>
      </c>
      <c r="Z67" s="457">
        <v>7680120</v>
      </c>
      <c r="AA67" s="20">
        <f>SUM(Y67:Z67)</f>
        <v>44603321</v>
      </c>
      <c r="AB67" s="21">
        <f>MAYO!AD67</f>
        <v>36923201</v>
      </c>
      <c r="AC67" s="457">
        <v>7680120</v>
      </c>
      <c r="AD67" s="20">
        <f>SUM(AB67:AC67)</f>
        <v>44603321</v>
      </c>
      <c r="AE67" s="21">
        <f>MAYO!AG67</f>
        <v>36892947</v>
      </c>
      <c r="AF67" s="457">
        <v>7680120</v>
      </c>
      <c r="AG67" s="20">
        <f>SUM(AE67:AF67)</f>
        <v>44573067</v>
      </c>
      <c r="AH67" s="21">
        <f>X67-AA67</f>
        <v>72254056</v>
      </c>
      <c r="AI67" s="17">
        <f>X67-AD67</f>
        <v>72254056</v>
      </c>
      <c r="AJ67" s="18">
        <f>X67-AG67</f>
        <v>72284310</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x14ac:dyDescent="0.2">
      <c r="A68" s="188" t="str">
        <f>+IF(MAYO!A68=0,"",MAYO!A68)</f>
        <v>1130114-2</v>
      </c>
      <c r="B68" s="189" t="str">
        <f>+IF(MAYO!B68=0,"",MAYO!B68)</f>
        <v>Vigencias Anteriores</v>
      </c>
      <c r="C68" s="456">
        <f>+ENERO!C68</f>
        <v>0</v>
      </c>
      <c r="D68" s="456">
        <f>MAYO!D68+JUNIO!P68</f>
        <v>0</v>
      </c>
      <c r="E68" s="456">
        <f>MAYO!E68+JUNIO!Q68</f>
        <v>0</v>
      </c>
      <c r="F68" s="170">
        <f>SUM(C68:E68)</f>
        <v>0</v>
      </c>
      <c r="G68" s="283">
        <f>MAYO!I68</f>
        <v>0</v>
      </c>
      <c r="H68" s="457">
        <v>0</v>
      </c>
      <c r="I68" s="170">
        <f>SUM(G68:H68)</f>
        <v>0</v>
      </c>
      <c r="J68" s="283">
        <f>MAYO!L68</f>
        <v>0</v>
      </c>
      <c r="K68" s="457">
        <v>0</v>
      </c>
      <c r="L68" s="170">
        <f>SUM(J68:K68)</f>
        <v>0</v>
      </c>
      <c r="M68" s="283">
        <f>F68-I68</f>
        <v>0</v>
      </c>
      <c r="N68" s="170">
        <f>F68-L68</f>
        <v>0</v>
      </c>
      <c r="O68" s="467"/>
      <c r="P68" s="455">
        <v>0</v>
      </c>
      <c r="Q68" s="458">
        <v>0</v>
      </c>
      <c r="R68" s="10"/>
      <c r="S68" s="155">
        <f>+IF(MAYO!S68=0,"",MAYO!S68)</f>
        <v>1020103</v>
      </c>
      <c r="T68" s="159" t="str">
        <f>+IF(MAYO!T68=0,"",MAYO!T68)</f>
        <v>Prima Técnica</v>
      </c>
      <c r="U68" s="29">
        <f>+ENERO!U68</f>
        <v>0</v>
      </c>
      <c r="V68" s="17">
        <f>MAYO!V68+JUNIO!AL68</f>
        <v>0</v>
      </c>
      <c r="W68" s="17">
        <f>MAYO!W68+JUNIO!AM68</f>
        <v>0</v>
      </c>
      <c r="X68" s="20">
        <f>SUM(U68:W68)</f>
        <v>0</v>
      </c>
      <c r="Y68" s="21">
        <f>MAYO!AA68</f>
        <v>0</v>
      </c>
      <c r="Z68" s="457">
        <v>0</v>
      </c>
      <c r="AA68" s="20">
        <f>SUM(Y68:Z68)</f>
        <v>0</v>
      </c>
      <c r="AB68" s="21">
        <f>MAYO!AD68</f>
        <v>0</v>
      </c>
      <c r="AC68" s="457">
        <v>0</v>
      </c>
      <c r="AD68" s="20">
        <f>SUM(AB68:AC68)</f>
        <v>0</v>
      </c>
      <c r="AE68" s="21">
        <f>MAYO!AG68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x14ac:dyDescent="0.2">
      <c r="A69" s="57">
        <f>+IF(MAYO!A69=0,"",MAYO!A69)</f>
        <v>1130115</v>
      </c>
      <c r="B69" s="45" t="str">
        <f>+IF(MAYO!B69=0,"",MAYO!B69)</f>
        <v>ENTIDADES DE REGIMEN ESPECIAL (Magisterio, Fuerza Pca.)</v>
      </c>
      <c r="C69" s="53">
        <f t="shared" ref="C69:N69" si="66">SUM(C70:C71)</f>
        <v>111446544</v>
      </c>
      <c r="D69" s="53">
        <f t="shared" si="66"/>
        <v>0</v>
      </c>
      <c r="E69" s="53">
        <f t="shared" si="66"/>
        <v>0</v>
      </c>
      <c r="F69" s="54">
        <f t="shared" si="66"/>
        <v>111446544</v>
      </c>
      <c r="G69" s="52">
        <f t="shared" si="66"/>
        <v>56286556</v>
      </c>
      <c r="H69" s="53">
        <f t="shared" si="66"/>
        <v>4986414</v>
      </c>
      <c r="I69" s="54">
        <f t="shared" si="66"/>
        <v>61272970</v>
      </c>
      <c r="J69" s="52">
        <f t="shared" si="66"/>
        <v>39625564</v>
      </c>
      <c r="K69" s="53">
        <f t="shared" si="66"/>
        <v>937393</v>
      </c>
      <c r="L69" s="54">
        <f t="shared" si="66"/>
        <v>40562957</v>
      </c>
      <c r="M69" s="52">
        <f t="shared" si="66"/>
        <v>50173574</v>
      </c>
      <c r="N69" s="54">
        <f t="shared" si="66"/>
        <v>70883587</v>
      </c>
      <c r="P69" s="52">
        <f>SUM(P70:P71)</f>
        <v>0</v>
      </c>
      <c r="Q69" s="54">
        <f>SUM(Q70:Q71)</f>
        <v>0</v>
      </c>
      <c r="R69" s="10"/>
      <c r="S69" s="155">
        <f>+IF(MAYO!S69=0,"",MAYO!S69)</f>
        <v>1020104</v>
      </c>
      <c r="T69" s="159" t="str">
        <f>+IF(MAYO!T69=0,"",MAYO!T69)</f>
        <v>Otros</v>
      </c>
      <c r="U69" s="29">
        <f t="shared" ref="U69:AJ69" si="67">SUM(U70:U80)</f>
        <v>130781064</v>
      </c>
      <c r="V69" s="17">
        <f t="shared" si="67"/>
        <v>0</v>
      </c>
      <c r="W69" s="17">
        <f t="shared" si="67"/>
        <v>0</v>
      </c>
      <c r="X69" s="20">
        <f t="shared" si="67"/>
        <v>130781064</v>
      </c>
      <c r="Y69" s="21">
        <f t="shared" si="67"/>
        <v>9997121</v>
      </c>
      <c r="Z69" s="169">
        <f t="shared" si="67"/>
        <v>5998786</v>
      </c>
      <c r="AA69" s="20">
        <f t="shared" si="67"/>
        <v>15995907</v>
      </c>
      <c r="AB69" s="21">
        <f t="shared" si="67"/>
        <v>9997121</v>
      </c>
      <c r="AC69" s="169">
        <f t="shared" si="67"/>
        <v>5998786</v>
      </c>
      <c r="AD69" s="20">
        <f t="shared" si="67"/>
        <v>15995907</v>
      </c>
      <c r="AE69" s="21">
        <f t="shared" si="67"/>
        <v>7721645</v>
      </c>
      <c r="AF69" s="169">
        <f t="shared" si="67"/>
        <v>2321211</v>
      </c>
      <c r="AG69" s="20">
        <f t="shared" si="67"/>
        <v>10042856</v>
      </c>
      <c r="AH69" s="21">
        <f t="shared" si="67"/>
        <v>114785157</v>
      </c>
      <c r="AI69" s="17">
        <f t="shared" si="67"/>
        <v>114785157</v>
      </c>
      <c r="AJ69" s="18">
        <f t="shared" si="67"/>
        <v>120738208</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x14ac:dyDescent="0.2">
      <c r="A70" s="188" t="str">
        <f>+IF(MAYO!A70=0,"",MAYO!A70)</f>
        <v>1130115-1</v>
      </c>
      <c r="B70" s="189" t="str">
        <f>+CONCATENATE("Vigencia ",INSTRUCCIONES!$F$3)</f>
        <v>Vigencia 2014</v>
      </c>
      <c r="C70" s="456">
        <f>+ENERO!C70</f>
        <v>75639118</v>
      </c>
      <c r="D70" s="456">
        <f>MAYO!D70+JUNIO!P70</f>
        <v>0</v>
      </c>
      <c r="E70" s="456">
        <f>MAYO!E70+JUNIO!Q70</f>
        <v>0</v>
      </c>
      <c r="F70" s="170">
        <f>SUM(C70:E70)</f>
        <v>75639118</v>
      </c>
      <c r="G70" s="283">
        <f>MAYO!I70</f>
        <v>16764957</v>
      </c>
      <c r="H70" s="457">
        <v>4986414</v>
      </c>
      <c r="I70" s="170">
        <f>SUM(G70:H70)</f>
        <v>21751371</v>
      </c>
      <c r="J70" s="283">
        <f>MAYO!L70</f>
        <v>103965</v>
      </c>
      <c r="K70" s="457">
        <v>937393</v>
      </c>
      <c r="L70" s="170">
        <f>SUM(J70:K70)</f>
        <v>1041358</v>
      </c>
      <c r="M70" s="283">
        <f>F70-I70</f>
        <v>53887747</v>
      </c>
      <c r="N70" s="170">
        <f>F70-L70</f>
        <v>74597760</v>
      </c>
      <c r="O70" s="467"/>
      <c r="P70" s="455">
        <v>0</v>
      </c>
      <c r="Q70" s="458">
        <v>0</v>
      </c>
      <c r="R70" s="10"/>
      <c r="S70" s="156" t="str">
        <f>+IF(MAYO!S70=0,"",MAYO!S70)</f>
        <v>1020104-1</v>
      </c>
      <c r="T70" s="55" t="str">
        <f>+IF(MAYO!T70=0,"",MAYO!T70)</f>
        <v xml:space="preserve">Prima de Navidad </v>
      </c>
      <c r="U70" s="29">
        <f>+ENERO!U70</f>
        <v>78694383</v>
      </c>
      <c r="V70" s="17">
        <f>MAYO!V70+JUNIO!AL70</f>
        <v>0</v>
      </c>
      <c r="W70" s="17">
        <f>MAYO!W70+JUNIO!AM70</f>
        <v>0</v>
      </c>
      <c r="X70" s="20">
        <f t="shared" ref="X70:X81" si="68">SUM(U70:W70)</f>
        <v>78694383</v>
      </c>
      <c r="Y70" s="21">
        <f>MAYO!AA70</f>
        <v>0</v>
      </c>
      <c r="Z70" s="457">
        <v>0</v>
      </c>
      <c r="AA70" s="20">
        <f t="shared" ref="AA70:AA81" si="69">SUM(Y70:Z70)</f>
        <v>0</v>
      </c>
      <c r="AB70" s="21">
        <f>MAYO!AD70</f>
        <v>0</v>
      </c>
      <c r="AC70" s="457">
        <v>0</v>
      </c>
      <c r="AD70" s="20">
        <f t="shared" ref="AD70:AD81" si="70">SUM(AB70:AC70)</f>
        <v>0</v>
      </c>
      <c r="AE70" s="21">
        <f>MAYO!AG70</f>
        <v>0</v>
      </c>
      <c r="AF70" s="457">
        <v>0</v>
      </c>
      <c r="AG70" s="20">
        <f t="shared" ref="AG70:AG81" si="71">SUM(AE70:AF70)</f>
        <v>0</v>
      </c>
      <c r="AH70" s="21">
        <f t="shared" ref="AH70:AH81" si="72">X70-AA70</f>
        <v>78694383</v>
      </c>
      <c r="AI70" s="17">
        <f t="shared" ref="AI70:AI81" si="73">X70-AD70</f>
        <v>78694383</v>
      </c>
      <c r="AJ70" s="18">
        <f t="shared" ref="AJ70:AJ81" si="74">X70-AG70</f>
        <v>78694383</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x14ac:dyDescent="0.2">
      <c r="A71" s="188" t="str">
        <f>+IF(MAYO!A71=0,"",MAYO!A71)</f>
        <v>1130115-2</v>
      </c>
      <c r="B71" s="189" t="str">
        <f>+IF(MAYO!B71=0,"",MAYO!B71)</f>
        <v>Vigencias Anteriores</v>
      </c>
      <c r="C71" s="456">
        <f>+ENERO!C71</f>
        <v>35807426</v>
      </c>
      <c r="D71" s="456">
        <f>MAYO!D71+JUNIO!P71</f>
        <v>0</v>
      </c>
      <c r="E71" s="456">
        <f>MAYO!E71+JUNIO!Q71</f>
        <v>0</v>
      </c>
      <c r="F71" s="170">
        <f>SUM(C71:E71)</f>
        <v>35807426</v>
      </c>
      <c r="G71" s="283">
        <f>MAYO!I71</f>
        <v>39521599</v>
      </c>
      <c r="H71" s="457">
        <v>0</v>
      </c>
      <c r="I71" s="170">
        <f>SUM(G71:H71)</f>
        <v>39521599</v>
      </c>
      <c r="J71" s="283">
        <f>MAYO!L71</f>
        <v>39521599</v>
      </c>
      <c r="K71" s="457">
        <v>0</v>
      </c>
      <c r="L71" s="170">
        <f>SUM(J71:K71)</f>
        <v>39521599</v>
      </c>
      <c r="M71" s="283">
        <f>F71-I71</f>
        <v>-3714173</v>
      </c>
      <c r="N71" s="170">
        <f>F71-L71</f>
        <v>-3714173</v>
      </c>
      <c r="O71" s="467"/>
      <c r="P71" s="455">
        <v>0</v>
      </c>
      <c r="Q71" s="458">
        <v>0</v>
      </c>
      <c r="R71" s="10"/>
      <c r="S71" s="156" t="str">
        <f>+IF(MAYO!S71=0,"",MAYO!S71)</f>
        <v>1020104-2</v>
      </c>
      <c r="T71" s="55" t="str">
        <f>+IF(MAYO!T71=0,"",MAYO!T71)</f>
        <v>Prima Vida Cara</v>
      </c>
      <c r="U71" s="29">
        <f>+ENERO!U71</f>
        <v>0</v>
      </c>
      <c r="V71" s="17">
        <f>MAYO!V71+JUNIO!AL71</f>
        <v>0</v>
      </c>
      <c r="W71" s="17">
        <f>MAYO!W71+JUNIO!AM71</f>
        <v>0</v>
      </c>
      <c r="X71" s="20">
        <f t="shared" si="68"/>
        <v>0</v>
      </c>
      <c r="Y71" s="21">
        <f>MAYO!AA71</f>
        <v>0</v>
      </c>
      <c r="Z71" s="457">
        <v>0</v>
      </c>
      <c r="AA71" s="20">
        <f t="shared" si="69"/>
        <v>0</v>
      </c>
      <c r="AB71" s="21">
        <f>MAYO!AD71</f>
        <v>0</v>
      </c>
      <c r="AC71" s="457">
        <v>0</v>
      </c>
      <c r="AD71" s="20">
        <f t="shared" si="70"/>
        <v>0</v>
      </c>
      <c r="AE71" s="21">
        <f>MAYO!AG71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x14ac:dyDescent="0.2">
      <c r="A72" s="57">
        <f>+IF(MAYO!A72=0,"",MAYO!A72)</f>
        <v>1130116</v>
      </c>
      <c r="B72" s="45" t="str">
        <f>+IF(MAYO!B72=0,"",MAYO!B72)</f>
        <v>ADMINISTRADORAS DE RIESGOS PROFESIONALES</v>
      </c>
      <c r="C72" s="53">
        <f t="shared" ref="C72:N72" si="75">SUM(C73:C74)</f>
        <v>17675457</v>
      </c>
      <c r="D72" s="53">
        <f t="shared" si="75"/>
        <v>0</v>
      </c>
      <c r="E72" s="53">
        <f t="shared" si="75"/>
        <v>0</v>
      </c>
      <c r="F72" s="54">
        <f t="shared" si="75"/>
        <v>17675457</v>
      </c>
      <c r="G72" s="52">
        <f t="shared" si="75"/>
        <v>9877365</v>
      </c>
      <c r="H72" s="53">
        <f t="shared" si="75"/>
        <v>2936030</v>
      </c>
      <c r="I72" s="54">
        <f t="shared" si="75"/>
        <v>12813395</v>
      </c>
      <c r="J72" s="52">
        <f t="shared" si="75"/>
        <v>5224951</v>
      </c>
      <c r="K72" s="53">
        <f t="shared" si="75"/>
        <v>1888547</v>
      </c>
      <c r="L72" s="54">
        <f t="shared" si="75"/>
        <v>7113498</v>
      </c>
      <c r="M72" s="52">
        <f t="shared" si="75"/>
        <v>4862062</v>
      </c>
      <c r="N72" s="54">
        <f t="shared" si="75"/>
        <v>10561959</v>
      </c>
      <c r="P72" s="52">
        <f>SUM(P73:P74)</f>
        <v>0</v>
      </c>
      <c r="Q72" s="54">
        <f>SUM(Q73:Q74)</f>
        <v>0</v>
      </c>
      <c r="R72" s="10"/>
      <c r="S72" s="156" t="str">
        <f>+IF(MAYO!S72=0,"",MAYO!S72)</f>
        <v>1020104-3</v>
      </c>
      <c r="T72" s="55" t="str">
        <f>+IF(MAYO!T72=0,"",MAYO!T72)</f>
        <v>Prima de Vacaciones</v>
      </c>
      <c r="U72" s="29">
        <f>+ENERO!U72</f>
        <v>37546299</v>
      </c>
      <c r="V72" s="17">
        <f>MAYO!V72+JUNIO!AL72</f>
        <v>0</v>
      </c>
      <c r="W72" s="17">
        <f>MAYO!W72+JUNIO!AM72</f>
        <v>0</v>
      </c>
      <c r="X72" s="20">
        <f t="shared" si="68"/>
        <v>37546299</v>
      </c>
      <c r="Y72" s="21">
        <f>MAYO!AA72</f>
        <v>7598487</v>
      </c>
      <c r="Z72" s="457">
        <v>5007744</v>
      </c>
      <c r="AA72" s="20">
        <f t="shared" si="69"/>
        <v>12606231</v>
      </c>
      <c r="AB72" s="21">
        <f>MAYO!AD72</f>
        <v>7598487</v>
      </c>
      <c r="AC72" s="457">
        <v>5007744</v>
      </c>
      <c r="AD72" s="20">
        <f t="shared" si="70"/>
        <v>12606231</v>
      </c>
      <c r="AE72" s="21">
        <f>MAYO!AG72</f>
        <v>5590714</v>
      </c>
      <c r="AF72" s="457">
        <v>1905476</v>
      </c>
      <c r="AG72" s="20">
        <f t="shared" si="71"/>
        <v>7496190</v>
      </c>
      <c r="AH72" s="21">
        <f t="shared" si="72"/>
        <v>24940068</v>
      </c>
      <c r="AI72" s="17">
        <f t="shared" si="73"/>
        <v>24940068</v>
      </c>
      <c r="AJ72" s="18">
        <f t="shared" si="74"/>
        <v>30050109</v>
      </c>
      <c r="AK72" s="10"/>
      <c r="AL72" s="455">
        <v>0</v>
      </c>
      <c r="AM72" s="458">
        <v>0</v>
      </c>
      <c r="AN72" s="10"/>
      <c r="AO72" s="365"/>
      <c r="AP72" s="365"/>
      <c r="AQ72" s="365"/>
      <c r="AR72" s="365"/>
      <c r="AS72" s="365"/>
      <c r="AT72" s="365"/>
      <c r="AU72" s="365"/>
      <c r="AV72" s="365"/>
      <c r="AW72" s="365"/>
      <c r="AX72" s="365"/>
      <c r="AY72" s="365"/>
      <c r="AZ72" s="365"/>
    </row>
    <row r="73" spans="1:70" s="514" customFormat="1" ht="15" x14ac:dyDescent="0.2">
      <c r="A73" s="188" t="str">
        <f>+IF(MAYO!A73=0,"",MAYO!A73)</f>
        <v>1130116-1</v>
      </c>
      <c r="B73" s="189" t="str">
        <f>+CONCATENATE("Vigencia ",INSTRUCCIONES!$F$3)</f>
        <v>Vigencia 2014</v>
      </c>
      <c r="C73" s="456">
        <f>+ENERO!C73</f>
        <v>13187137</v>
      </c>
      <c r="D73" s="456">
        <f>MAYO!D73+JUNIO!P73</f>
        <v>0</v>
      </c>
      <c r="E73" s="456">
        <f>MAYO!E73+JUNIO!Q73</f>
        <v>0</v>
      </c>
      <c r="F73" s="170">
        <f>SUM(C73:E73)</f>
        <v>13187137</v>
      </c>
      <c r="G73" s="283">
        <f>MAYO!I73</f>
        <v>7249334</v>
      </c>
      <c r="H73" s="457">
        <v>2936030</v>
      </c>
      <c r="I73" s="170">
        <f>SUM(G73:H73)</f>
        <v>10185364</v>
      </c>
      <c r="J73" s="283">
        <f>MAYO!L73</f>
        <v>2596920</v>
      </c>
      <c r="K73" s="457">
        <v>1888547</v>
      </c>
      <c r="L73" s="170">
        <f>SUM(J73:K73)</f>
        <v>4485467</v>
      </c>
      <c r="M73" s="283">
        <f>F73-I73</f>
        <v>3001773</v>
      </c>
      <c r="N73" s="170">
        <f>F73-L73</f>
        <v>8701670</v>
      </c>
      <c r="O73" s="467"/>
      <c r="P73" s="455">
        <v>0</v>
      </c>
      <c r="Q73" s="458">
        <v>0</v>
      </c>
      <c r="R73" s="10"/>
      <c r="S73" s="156" t="str">
        <f>+IF(MAYO!S73=0,"",MAYO!S73)</f>
        <v>1020104-4</v>
      </c>
      <c r="T73" s="55" t="str">
        <f>+IF(MAYO!T73=0,"",MAYO!T73)</f>
        <v>Prima Clima</v>
      </c>
      <c r="U73" s="29">
        <f>+ENERO!U73</f>
        <v>0</v>
      </c>
      <c r="V73" s="17">
        <f>MAYO!V73+JUNIO!AL73</f>
        <v>0</v>
      </c>
      <c r="W73" s="17">
        <f>MAYO!W73+JUNIO!AM73</f>
        <v>0</v>
      </c>
      <c r="X73" s="20">
        <f t="shared" si="68"/>
        <v>0</v>
      </c>
      <c r="Y73" s="21">
        <f>MAYO!AA73</f>
        <v>0</v>
      </c>
      <c r="Z73" s="457">
        <v>0</v>
      </c>
      <c r="AA73" s="20">
        <f t="shared" si="69"/>
        <v>0</v>
      </c>
      <c r="AB73" s="21">
        <f>MAYO!AD73</f>
        <v>0</v>
      </c>
      <c r="AC73" s="457">
        <v>0</v>
      </c>
      <c r="AD73" s="20">
        <f t="shared" si="70"/>
        <v>0</v>
      </c>
      <c r="AE73" s="21">
        <f>MAYO!AG73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x14ac:dyDescent="0.2">
      <c r="A74" s="188" t="str">
        <f>+IF(MAYO!A74=0,"",MAYO!A74)</f>
        <v>1130116-2</v>
      </c>
      <c r="B74" s="189" t="str">
        <f>+IF(MAYO!B74=0,"",MAYO!B74)</f>
        <v>Vigencias Anteriores</v>
      </c>
      <c r="C74" s="456">
        <f>+ENERO!C74</f>
        <v>4488320</v>
      </c>
      <c r="D74" s="456">
        <f>MAYO!D74+JUNIO!P74</f>
        <v>0</v>
      </c>
      <c r="E74" s="456">
        <f>MAYO!E74+JUNIO!Q74</f>
        <v>0</v>
      </c>
      <c r="F74" s="170">
        <f>SUM(C74:E74)</f>
        <v>4488320</v>
      </c>
      <c r="G74" s="283">
        <f>MAYO!I74</f>
        <v>2628031</v>
      </c>
      <c r="H74" s="457">
        <v>0</v>
      </c>
      <c r="I74" s="170">
        <f>SUM(G74:H74)</f>
        <v>2628031</v>
      </c>
      <c r="J74" s="283">
        <f>MAYO!L74</f>
        <v>2628031</v>
      </c>
      <c r="K74" s="457">
        <v>0</v>
      </c>
      <c r="L74" s="170">
        <f>SUM(J74:K74)</f>
        <v>2628031</v>
      </c>
      <c r="M74" s="283">
        <f>F74-I74</f>
        <v>1860289</v>
      </c>
      <c r="N74" s="170">
        <f>F74-L74</f>
        <v>1860289</v>
      </c>
      <c r="O74" s="467"/>
      <c r="P74" s="455">
        <v>0</v>
      </c>
      <c r="Q74" s="458">
        <v>0</v>
      </c>
      <c r="R74" s="10"/>
      <c r="S74" s="156" t="str">
        <f>+IF(MAYO!S74=0,"",MAYO!S74)</f>
        <v>1020104-5</v>
      </c>
      <c r="T74" s="55" t="str">
        <f>+IF(MAYO!T74=0,"",MAYO!T74)</f>
        <v>Prima de Servicios</v>
      </c>
      <c r="U74" s="29">
        <f>+ENERO!U74</f>
        <v>5675116</v>
      </c>
      <c r="V74" s="17">
        <f>MAYO!V74+JUNIO!AL74</f>
        <v>0</v>
      </c>
      <c r="W74" s="17">
        <f>MAYO!W74+JUNIO!AM74</f>
        <v>0</v>
      </c>
      <c r="X74" s="20">
        <f t="shared" si="68"/>
        <v>5675116</v>
      </c>
      <c r="Y74" s="21">
        <f>MAYO!AA74</f>
        <v>0</v>
      </c>
      <c r="Z74" s="457">
        <v>0</v>
      </c>
      <c r="AA74" s="20">
        <f t="shared" si="69"/>
        <v>0</v>
      </c>
      <c r="AB74" s="21">
        <f>MAYO!AD74</f>
        <v>0</v>
      </c>
      <c r="AC74" s="457">
        <v>0</v>
      </c>
      <c r="AD74" s="20">
        <f t="shared" si="70"/>
        <v>0</v>
      </c>
      <c r="AE74" s="21">
        <f>MAYO!AG74</f>
        <v>0</v>
      </c>
      <c r="AF74" s="457">
        <v>0</v>
      </c>
      <c r="AG74" s="20">
        <f t="shared" si="71"/>
        <v>0</v>
      </c>
      <c r="AH74" s="21">
        <f t="shared" si="72"/>
        <v>5675116</v>
      </c>
      <c r="AI74" s="17">
        <f t="shared" si="73"/>
        <v>5675116</v>
      </c>
      <c r="AJ74" s="18">
        <f t="shared" si="74"/>
        <v>5675116</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x14ac:dyDescent="0.2">
      <c r="A75" s="57">
        <f>+IF(MAYO!A75=0,"",MAYO!A75)</f>
        <v>1130117</v>
      </c>
      <c r="B75" s="45" t="str">
        <f>+IF(MAYO!B75=0,"",MAYO!B75)</f>
        <v>CUOTAS DE RECUPERACION</v>
      </c>
      <c r="C75" s="53">
        <f t="shared" ref="C75:N75" si="76">SUM(C76:C77)</f>
        <v>1100000</v>
      </c>
      <c r="D75" s="53">
        <f t="shared" si="76"/>
        <v>0</v>
      </c>
      <c r="E75" s="53">
        <f t="shared" si="76"/>
        <v>0</v>
      </c>
      <c r="F75" s="54">
        <f t="shared" si="76"/>
        <v>1100000</v>
      </c>
      <c r="G75" s="52">
        <f t="shared" si="76"/>
        <v>32860005</v>
      </c>
      <c r="H75" s="53">
        <f t="shared" si="76"/>
        <v>0</v>
      </c>
      <c r="I75" s="54">
        <f t="shared" si="76"/>
        <v>32860005</v>
      </c>
      <c r="J75" s="52">
        <f t="shared" si="76"/>
        <v>32860005</v>
      </c>
      <c r="K75" s="53">
        <f t="shared" si="76"/>
        <v>0</v>
      </c>
      <c r="L75" s="54">
        <f t="shared" si="76"/>
        <v>32860005</v>
      </c>
      <c r="M75" s="52">
        <f t="shared" si="76"/>
        <v>-31760005</v>
      </c>
      <c r="N75" s="54">
        <f t="shared" si="76"/>
        <v>-31760005</v>
      </c>
      <c r="P75" s="52">
        <f>SUM(P76:P77)</f>
        <v>0</v>
      </c>
      <c r="Q75" s="54">
        <f>SUM(Q76:Q77)</f>
        <v>0</v>
      </c>
      <c r="R75" s="10"/>
      <c r="S75" s="156" t="str">
        <f>+IF(MAYO!S75=0,"",MAYO!S75)</f>
        <v>1020104-8</v>
      </c>
      <c r="T75" s="55" t="str">
        <f>+IF(MAYO!T75=0,"",MAYO!T75)</f>
        <v>Bonific. por Servicios Prestados (Convencional)</v>
      </c>
      <c r="U75" s="29">
        <f>+ENERO!U75</f>
        <v>0</v>
      </c>
      <c r="V75" s="17">
        <f>MAYO!V75+JUNIO!AL75</f>
        <v>0</v>
      </c>
      <c r="W75" s="17">
        <f>MAYO!W75+JUNIO!AM75</f>
        <v>0</v>
      </c>
      <c r="X75" s="20">
        <f t="shared" si="68"/>
        <v>0</v>
      </c>
      <c r="Y75" s="21">
        <f>MAYO!AA75</f>
        <v>0</v>
      </c>
      <c r="Z75" s="457">
        <v>0</v>
      </c>
      <c r="AA75" s="20">
        <f t="shared" si="69"/>
        <v>0</v>
      </c>
      <c r="AB75" s="21">
        <f>MAYO!AD75</f>
        <v>0</v>
      </c>
      <c r="AC75" s="457">
        <v>0</v>
      </c>
      <c r="AD75" s="20">
        <f t="shared" si="70"/>
        <v>0</v>
      </c>
      <c r="AE75" s="21">
        <f>MAYO!AG75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x14ac:dyDescent="0.2">
      <c r="A76" s="188" t="str">
        <f>+IF(MAYO!A76=0,"",MAYO!A76)</f>
        <v>1130117-1</v>
      </c>
      <c r="B76" s="189" t="str">
        <f>+CONCATENATE("Vigencia ",INSTRUCCIONES!$F$3)</f>
        <v>Vigencia 2014</v>
      </c>
      <c r="C76" s="456">
        <f>+ENERO!C76</f>
        <v>1100000</v>
      </c>
      <c r="D76" s="456">
        <f>MAYO!D76+JUNIO!P76</f>
        <v>0</v>
      </c>
      <c r="E76" s="456">
        <f>MAYO!E76+JUNIO!Q76</f>
        <v>0</v>
      </c>
      <c r="F76" s="170">
        <f t="shared" ref="F76:F83" si="77">SUM(C76:E76)</f>
        <v>1100000</v>
      </c>
      <c r="G76" s="283">
        <f>MAYO!I76</f>
        <v>32860005</v>
      </c>
      <c r="H76" s="457">
        <v>0</v>
      </c>
      <c r="I76" s="170">
        <f t="shared" ref="I76:I83" si="78">SUM(G76:H76)</f>
        <v>32860005</v>
      </c>
      <c r="J76" s="283">
        <f>MAYO!L76</f>
        <v>32860005</v>
      </c>
      <c r="K76" s="457">
        <v>0</v>
      </c>
      <c r="L76" s="170">
        <f t="shared" ref="L76:L83" si="79">SUM(J76:K76)</f>
        <v>32860005</v>
      </c>
      <c r="M76" s="283">
        <f t="shared" ref="M76:M83" si="80">F76-I76</f>
        <v>-31760005</v>
      </c>
      <c r="N76" s="170">
        <f t="shared" ref="N76:N83" si="81">F76-L76</f>
        <v>-31760005</v>
      </c>
      <c r="O76" s="467"/>
      <c r="P76" s="455">
        <v>0</v>
      </c>
      <c r="Q76" s="458">
        <v>0</v>
      </c>
      <c r="R76" s="10"/>
      <c r="S76" s="156" t="str">
        <f>+IF(MAYO!S76=0,"",MAYO!S76)</f>
        <v>1020104-9</v>
      </c>
      <c r="T76" s="55" t="str">
        <f>+IF(MAYO!T76=0,"",MAYO!T76)</f>
        <v>Auxilio de Transporte</v>
      </c>
      <c r="U76" s="29">
        <f>+ENERO!U76</f>
        <v>0</v>
      </c>
      <c r="V76" s="17">
        <f>MAYO!V76+JUNIO!AL76</f>
        <v>0</v>
      </c>
      <c r="W76" s="17">
        <f>MAYO!W76+JUNIO!AM76</f>
        <v>0</v>
      </c>
      <c r="X76" s="20">
        <f t="shared" si="68"/>
        <v>0</v>
      </c>
      <c r="Y76" s="21">
        <f>MAYO!AA76</f>
        <v>0</v>
      </c>
      <c r="Z76" s="457">
        <v>0</v>
      </c>
      <c r="AA76" s="20">
        <f t="shared" si="69"/>
        <v>0</v>
      </c>
      <c r="AB76" s="21">
        <f>MAYO!AD76</f>
        <v>0</v>
      </c>
      <c r="AC76" s="457">
        <v>0</v>
      </c>
      <c r="AD76" s="20">
        <f t="shared" si="70"/>
        <v>0</v>
      </c>
      <c r="AE76" s="21">
        <f>MAYO!AG76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x14ac:dyDescent="0.2">
      <c r="A77" s="188" t="str">
        <f>+IF(MAYO!A77=0,"",MAYO!A77)</f>
        <v>1130117-2</v>
      </c>
      <c r="B77" s="189" t="str">
        <f>+IF(MAYO!B77=0,"",MAYO!B77)</f>
        <v>Vigencias Anteriores</v>
      </c>
      <c r="C77" s="456">
        <f>+ENERO!C77</f>
        <v>0</v>
      </c>
      <c r="D77" s="456">
        <f>MAYO!D77+JUNIO!P77</f>
        <v>0</v>
      </c>
      <c r="E77" s="456">
        <f>MAYO!E77+JUNIO!Q77</f>
        <v>0</v>
      </c>
      <c r="F77" s="170">
        <f t="shared" si="77"/>
        <v>0</v>
      </c>
      <c r="G77" s="283">
        <f>MAYO!I77</f>
        <v>0</v>
      </c>
      <c r="H77" s="457">
        <v>0</v>
      </c>
      <c r="I77" s="170">
        <f t="shared" si="78"/>
        <v>0</v>
      </c>
      <c r="J77" s="283">
        <f>MAYO!L77</f>
        <v>0</v>
      </c>
      <c r="K77" s="457">
        <v>0</v>
      </c>
      <c r="L77" s="170">
        <f t="shared" si="79"/>
        <v>0</v>
      </c>
      <c r="M77" s="283">
        <f t="shared" si="80"/>
        <v>0</v>
      </c>
      <c r="N77" s="170">
        <f t="shared" si="81"/>
        <v>0</v>
      </c>
      <c r="O77" s="467"/>
      <c r="P77" s="455">
        <v>0</v>
      </c>
      <c r="Q77" s="458">
        <v>0</v>
      </c>
      <c r="R77" s="10"/>
      <c r="S77" s="156" t="str">
        <f>+IF(MAYO!S77=0,"",MAYO!S77)</f>
        <v>1020104-10</v>
      </c>
      <c r="T77" s="55" t="str">
        <f>+IF(MAYO!T77=0,"",MAYO!T77)</f>
        <v>Subsidio de Alimentación</v>
      </c>
      <c r="U77" s="29">
        <f>+ENERO!U77</f>
        <v>3859093</v>
      </c>
      <c r="V77" s="17">
        <f>MAYO!V77+JUNIO!AL77</f>
        <v>0</v>
      </c>
      <c r="W77" s="17">
        <f>MAYO!W77+JUNIO!AM77</f>
        <v>0</v>
      </c>
      <c r="X77" s="20">
        <f t="shared" si="68"/>
        <v>3859093</v>
      </c>
      <c r="Y77" s="21">
        <f>MAYO!AA77</f>
        <v>1390379</v>
      </c>
      <c r="Z77" s="457">
        <v>323344</v>
      </c>
      <c r="AA77" s="20">
        <f t="shared" si="69"/>
        <v>1713723</v>
      </c>
      <c r="AB77" s="21">
        <f>MAYO!AD77</f>
        <v>1390379</v>
      </c>
      <c r="AC77" s="457">
        <v>323344</v>
      </c>
      <c r="AD77" s="20">
        <f t="shared" si="70"/>
        <v>1713723</v>
      </c>
      <c r="AE77" s="21">
        <f>MAYO!AG77</f>
        <v>1390379</v>
      </c>
      <c r="AF77" s="457">
        <v>161672</v>
      </c>
      <c r="AG77" s="20">
        <f t="shared" si="71"/>
        <v>1552051</v>
      </c>
      <c r="AH77" s="21">
        <f t="shared" si="72"/>
        <v>2145370</v>
      </c>
      <c r="AI77" s="17">
        <f t="shared" si="73"/>
        <v>2145370</v>
      </c>
      <c r="AJ77" s="18">
        <f t="shared" si="74"/>
        <v>2307042</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x14ac:dyDescent="0.2">
      <c r="A78" s="57">
        <f>+IF(MAYO!A78=0,"",MAYO!A78)</f>
        <v>1130118</v>
      </c>
      <c r="B78" s="45" t="str">
        <f>+IF(MAYO!B78=0,"",MAYO!B78)</f>
        <v>PARTICULARES   (Venta de Contado)</v>
      </c>
      <c r="C78" s="53">
        <f>SUM(C79:C80)</f>
        <v>81679743</v>
      </c>
      <c r="D78" s="53">
        <f>SUM(D79:D80)</f>
        <v>0</v>
      </c>
      <c r="E78" s="53">
        <f>SUM(E79:E80)</f>
        <v>0</v>
      </c>
      <c r="F78" s="54">
        <f t="shared" si="77"/>
        <v>81679743</v>
      </c>
      <c r="G78" s="52">
        <f>SUM(G79:G80)</f>
        <v>11511157</v>
      </c>
      <c r="H78" s="53">
        <f>SUM(H79:H80)</f>
        <v>4424287</v>
      </c>
      <c r="I78" s="54">
        <f t="shared" si="78"/>
        <v>15935444</v>
      </c>
      <c r="J78" s="52">
        <f>SUM(J79:J80)</f>
        <v>11129613</v>
      </c>
      <c r="K78" s="53">
        <f>SUM(K79:K80)</f>
        <v>4442947</v>
      </c>
      <c r="L78" s="54">
        <f t="shared" si="79"/>
        <v>15572560</v>
      </c>
      <c r="M78" s="52">
        <f t="shared" si="80"/>
        <v>65744299</v>
      </c>
      <c r="N78" s="54">
        <f t="shared" si="81"/>
        <v>66107183</v>
      </c>
      <c r="O78" s="467"/>
      <c r="P78" s="52">
        <f>SUM(P79:P80)</f>
        <v>0</v>
      </c>
      <c r="Q78" s="54">
        <f>SUM(Q79:Q80)</f>
        <v>0</v>
      </c>
      <c r="R78" s="10"/>
      <c r="S78" s="156" t="str">
        <f>+IF(MAYO!S78=0,"",MAYO!S78)</f>
        <v>1020104-12</v>
      </c>
      <c r="T78" s="55" t="str">
        <f>+IF(MAYO!T78=0,"",MAYO!T78)</f>
        <v>Indemnizaciones por Vacaciones o Supresión de Cargos por Reestructuración</v>
      </c>
      <c r="U78" s="29">
        <f>+ENERO!U78</f>
        <v>0</v>
      </c>
      <c r="V78" s="17">
        <f>MAYO!V78+JUNIO!AL78</f>
        <v>0</v>
      </c>
      <c r="W78" s="17">
        <f>MAYO!W78+JUNIO!AM78</f>
        <v>0</v>
      </c>
      <c r="X78" s="20">
        <f t="shared" si="68"/>
        <v>0</v>
      </c>
      <c r="Y78" s="21">
        <f>MAYO!AA78</f>
        <v>0</v>
      </c>
      <c r="Z78" s="457">
        <v>0</v>
      </c>
      <c r="AA78" s="20">
        <f t="shared" si="69"/>
        <v>0</v>
      </c>
      <c r="AB78" s="21">
        <f>MAYO!AD78</f>
        <v>0</v>
      </c>
      <c r="AC78" s="457">
        <v>0</v>
      </c>
      <c r="AD78" s="20">
        <f t="shared" si="70"/>
        <v>0</v>
      </c>
      <c r="AE78" s="21">
        <f>MAYO!AG78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x14ac:dyDescent="0.2">
      <c r="A79" s="188" t="str">
        <f>+IF(MAYO!A79=0,"",MAYO!A79)</f>
        <v>1130118-1</v>
      </c>
      <c r="B79" s="189" t="str">
        <f>+CONCATENATE("Vigencia ",INSTRUCCIONES!$F$3)</f>
        <v>Vigencia 2014</v>
      </c>
      <c r="C79" s="456">
        <f>+ENERO!C79</f>
        <v>81679743</v>
      </c>
      <c r="D79" s="456">
        <f>MAYO!D79+JUNIO!P79</f>
        <v>0</v>
      </c>
      <c r="E79" s="456">
        <f>MAYO!E79+JUNIO!Q79</f>
        <v>0</v>
      </c>
      <c r="F79" s="170">
        <f t="shared" si="77"/>
        <v>81679743</v>
      </c>
      <c r="G79" s="283">
        <f>MAYO!I79</f>
        <v>11511157</v>
      </c>
      <c r="H79" s="457">
        <v>4424287</v>
      </c>
      <c r="I79" s="170">
        <f t="shared" si="78"/>
        <v>15935444</v>
      </c>
      <c r="J79" s="283">
        <f>MAYO!L79</f>
        <v>11129613</v>
      </c>
      <c r="K79" s="457">
        <v>4442947</v>
      </c>
      <c r="L79" s="170">
        <f t="shared" si="79"/>
        <v>15572560</v>
      </c>
      <c r="M79" s="283">
        <f t="shared" si="80"/>
        <v>65744299</v>
      </c>
      <c r="N79" s="170">
        <f t="shared" si="81"/>
        <v>66107183</v>
      </c>
      <c r="P79" s="455">
        <v>0</v>
      </c>
      <c r="Q79" s="458">
        <v>0</v>
      </c>
      <c r="R79" s="10"/>
      <c r="S79" s="156" t="str">
        <f>+IF(MAYO!S79=0,"",MAYO!S79)</f>
        <v>1020104-13</v>
      </c>
      <c r="T79" s="55" t="str">
        <f>+IF(MAYO!T79=0,"",MAYO!T79)</f>
        <v>Bonificación Especial por Recreación</v>
      </c>
      <c r="U79" s="29">
        <f>+ENERO!U79</f>
        <v>5006173</v>
      </c>
      <c r="V79" s="17">
        <f>MAYO!V79+JUNIO!AL79</f>
        <v>0</v>
      </c>
      <c r="W79" s="17">
        <f>MAYO!W79+JUNIO!AM79</f>
        <v>0</v>
      </c>
      <c r="X79" s="20">
        <f t="shared" si="68"/>
        <v>5006173</v>
      </c>
      <c r="Y79" s="21">
        <f>MAYO!AA79</f>
        <v>1008255</v>
      </c>
      <c r="Z79" s="457">
        <v>667698</v>
      </c>
      <c r="AA79" s="20">
        <f t="shared" si="69"/>
        <v>1675953</v>
      </c>
      <c r="AB79" s="21">
        <f>MAYO!AD79</f>
        <v>1008255</v>
      </c>
      <c r="AC79" s="457">
        <v>667698</v>
      </c>
      <c r="AD79" s="20">
        <f t="shared" si="70"/>
        <v>1675953</v>
      </c>
      <c r="AE79" s="21">
        <f>MAYO!AG79</f>
        <v>740552</v>
      </c>
      <c r="AF79" s="457">
        <v>254063</v>
      </c>
      <c r="AG79" s="20">
        <f t="shared" si="71"/>
        <v>994615</v>
      </c>
      <c r="AH79" s="21">
        <f t="shared" si="72"/>
        <v>3330220</v>
      </c>
      <c r="AI79" s="17">
        <f t="shared" si="73"/>
        <v>3330220</v>
      </c>
      <c r="AJ79" s="18">
        <f t="shared" si="74"/>
        <v>4011558</v>
      </c>
      <c r="AK79" s="10"/>
      <c r="AL79" s="455">
        <v>0</v>
      </c>
      <c r="AM79" s="458">
        <v>0</v>
      </c>
      <c r="AN79" s="10"/>
      <c r="AO79" s="365"/>
      <c r="AP79" s="365"/>
      <c r="AQ79" s="365"/>
      <c r="AR79" s="365"/>
      <c r="AS79" s="365"/>
      <c r="AT79" s="365"/>
      <c r="AU79" s="365"/>
      <c r="AV79" s="365"/>
      <c r="AW79" s="365"/>
      <c r="AX79" s="365"/>
      <c r="AY79" s="365"/>
      <c r="AZ79" s="365"/>
      <c r="BL79" s="10"/>
    </row>
    <row r="80" spans="1:70" s="10" customFormat="1" ht="15" x14ac:dyDescent="0.2">
      <c r="A80" s="188" t="str">
        <f>+IF(MAYO!A80=0,"",MAYO!A80)</f>
        <v>1130118-2</v>
      </c>
      <c r="B80" s="189" t="str">
        <f>+IF(MAYO!B80=0,"",MAYO!B80)</f>
        <v>Vigencias Anteriores</v>
      </c>
      <c r="C80" s="456">
        <f>+ENERO!C80</f>
        <v>0</v>
      </c>
      <c r="D80" s="456">
        <f>MAYO!D80+JUNIO!P80</f>
        <v>0</v>
      </c>
      <c r="E80" s="456">
        <f>MAYO!E80+JUNIO!Q80</f>
        <v>0</v>
      </c>
      <c r="F80" s="170">
        <f t="shared" si="77"/>
        <v>0</v>
      </c>
      <c r="G80" s="283">
        <f>MAYO!I80</f>
        <v>0</v>
      </c>
      <c r="H80" s="457">
        <v>0</v>
      </c>
      <c r="I80" s="170">
        <f t="shared" si="78"/>
        <v>0</v>
      </c>
      <c r="J80" s="283">
        <f>MAYO!L80</f>
        <v>0</v>
      </c>
      <c r="K80" s="457">
        <v>0</v>
      </c>
      <c r="L80" s="170">
        <f t="shared" si="79"/>
        <v>0</v>
      </c>
      <c r="M80" s="283">
        <f t="shared" si="80"/>
        <v>0</v>
      </c>
      <c r="N80" s="170">
        <f t="shared" si="81"/>
        <v>0</v>
      </c>
      <c r="O80" s="467"/>
      <c r="P80" s="455">
        <v>0</v>
      </c>
      <c r="Q80" s="458">
        <v>0</v>
      </c>
      <c r="S80" s="156" t="str">
        <f>+IF(MAYO!S80=0,"",MAYO!S80)</f>
        <v>1020104-14</v>
      </c>
      <c r="T80" s="55" t="str">
        <f>+IF(MAYO!T80=0,"",MAYO!T80)</f>
        <v/>
      </c>
      <c r="U80" s="29">
        <f>+ENERO!U80</f>
        <v>0</v>
      </c>
      <c r="V80" s="17">
        <f>MAYO!V80+JUNIO!AL80</f>
        <v>0</v>
      </c>
      <c r="W80" s="17">
        <f>MAYO!W80+JUNIO!AM80</f>
        <v>0</v>
      </c>
      <c r="X80" s="20">
        <f t="shared" si="68"/>
        <v>0</v>
      </c>
      <c r="Y80" s="21">
        <f>MAYO!AA80</f>
        <v>0</v>
      </c>
      <c r="Z80" s="457">
        <v>0</v>
      </c>
      <c r="AA80" s="20">
        <f t="shared" si="69"/>
        <v>0</v>
      </c>
      <c r="AB80" s="21">
        <f>MAYO!AD80</f>
        <v>0</v>
      </c>
      <c r="AC80" s="457">
        <v>0</v>
      </c>
      <c r="AD80" s="20">
        <f t="shared" si="70"/>
        <v>0</v>
      </c>
      <c r="AE80" s="21">
        <f>MAYO!AG80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x14ac:dyDescent="0.2">
      <c r="A81" s="57">
        <f>+IF(MAYO!A81=0,"",MAYO!A81)</f>
        <v>1130119</v>
      </c>
      <c r="B81" s="45" t="str">
        <f>+IF(MAYO!B81=0,"",MAYO!B81)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+IF(MAYO!S81=0,"",MAYO!S81)</f>
        <v>1020199</v>
      </c>
      <c r="T81" s="159" t="str">
        <f>+IF(MAYO!T81=0,"",MAYO!T81)</f>
        <v>Vigencias Anteriores</v>
      </c>
      <c r="U81" s="29">
        <f>+ENERO!U81</f>
        <v>8738114</v>
      </c>
      <c r="V81" s="17">
        <f>MAYO!V81+JUNIO!AL81</f>
        <v>5657703</v>
      </c>
      <c r="W81" s="17">
        <f>MAYO!W81+JUNIO!AM81</f>
        <v>8749212</v>
      </c>
      <c r="X81" s="20">
        <f t="shared" si="68"/>
        <v>23145029</v>
      </c>
      <c r="Y81" s="21">
        <f>MAYO!AA81</f>
        <v>22680029</v>
      </c>
      <c r="Z81" s="457">
        <v>0</v>
      </c>
      <c r="AA81" s="20">
        <f t="shared" si="69"/>
        <v>22680029</v>
      </c>
      <c r="AB81" s="21">
        <f>MAYO!AD81</f>
        <v>22680029</v>
      </c>
      <c r="AC81" s="457">
        <v>0</v>
      </c>
      <c r="AD81" s="20">
        <f t="shared" si="70"/>
        <v>22680029</v>
      </c>
      <c r="AE81" s="21">
        <f>MAYO!AG81</f>
        <v>22680029</v>
      </c>
      <c r="AF81" s="457">
        <v>0</v>
      </c>
      <c r="AG81" s="20">
        <f t="shared" si="71"/>
        <v>22680029</v>
      </c>
      <c r="AH81" s="21">
        <f t="shared" si="72"/>
        <v>465000</v>
      </c>
      <c r="AI81" s="17">
        <f t="shared" si="73"/>
        <v>465000</v>
      </c>
      <c r="AJ81" s="18">
        <f t="shared" si="74"/>
        <v>465000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x14ac:dyDescent="0.2">
      <c r="A82" s="188" t="str">
        <f>+IF(MAYO!A82=0,"",MAYO!A82)</f>
        <v>1130119-1</v>
      </c>
      <c r="B82" s="189" t="str">
        <f>+CONCATENATE("Vigencia ",INSTRUCCIONES!$F$3)</f>
        <v>Vigencia 2014</v>
      </c>
      <c r="C82" s="456">
        <f>+ENERO!C82</f>
        <v>0</v>
      </c>
      <c r="D82" s="456">
        <f>MAYO!D82+JUNIO!P82</f>
        <v>0</v>
      </c>
      <c r="E82" s="456">
        <f>MAYO!E82+JUNIO!Q82</f>
        <v>0</v>
      </c>
      <c r="F82" s="170">
        <f t="shared" si="77"/>
        <v>0</v>
      </c>
      <c r="G82" s="283">
        <f>MAYO!I82</f>
        <v>0</v>
      </c>
      <c r="H82" s="457">
        <v>0</v>
      </c>
      <c r="I82" s="170">
        <f t="shared" si="78"/>
        <v>0</v>
      </c>
      <c r="J82" s="283">
        <f>MAYO!L82</f>
        <v>0</v>
      </c>
      <c r="K82" s="457">
        <v>0</v>
      </c>
      <c r="L82" s="170">
        <f t="shared" si="79"/>
        <v>0</v>
      </c>
      <c r="M82" s="283">
        <f t="shared" si="80"/>
        <v>0</v>
      </c>
      <c r="N82" s="170">
        <f t="shared" si="81"/>
        <v>0</v>
      </c>
      <c r="P82" s="455">
        <v>0</v>
      </c>
      <c r="Q82" s="458">
        <v>0</v>
      </c>
      <c r="R82" s="10"/>
      <c r="S82" s="448" t="str">
        <f>+IF(MAYO!S82=0,"",MAYO!S82)</f>
        <v/>
      </c>
      <c r="T82" s="649" t="str">
        <f>+IF(MAYO!T82=0,"",MAYO!T82)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x14ac:dyDescent="0.2">
      <c r="A83" s="188" t="str">
        <f>+IF(MAYO!A83=0,"",MAYO!A83)</f>
        <v>1130119-2</v>
      </c>
      <c r="B83" s="189" t="str">
        <f>+IF(MAYO!B83=0,"",MAYO!B83)</f>
        <v>Vigencias Anteriores</v>
      </c>
      <c r="C83" s="456">
        <f>+ENERO!C83</f>
        <v>0</v>
      </c>
      <c r="D83" s="456">
        <f>MAYO!D83+JUNIO!P83</f>
        <v>0</v>
      </c>
      <c r="E83" s="456">
        <f>MAYO!E83+JUNIO!Q83</f>
        <v>0</v>
      </c>
      <c r="F83" s="170">
        <f t="shared" si="77"/>
        <v>0</v>
      </c>
      <c r="G83" s="283">
        <f>MAYO!I83</f>
        <v>0</v>
      </c>
      <c r="H83" s="457">
        <v>0</v>
      </c>
      <c r="I83" s="170">
        <f t="shared" si="78"/>
        <v>0</v>
      </c>
      <c r="J83" s="283">
        <f>MAYO!L83</f>
        <v>0</v>
      </c>
      <c r="K83" s="457">
        <v>0</v>
      </c>
      <c r="L83" s="170">
        <f t="shared" si="79"/>
        <v>0</v>
      </c>
      <c r="M83" s="283">
        <f t="shared" si="80"/>
        <v>0</v>
      </c>
      <c r="N83" s="170">
        <f t="shared" si="81"/>
        <v>0</v>
      </c>
      <c r="P83" s="455">
        <v>0</v>
      </c>
      <c r="Q83" s="458">
        <v>0</v>
      </c>
      <c r="R83" s="10"/>
      <c r="S83" s="34">
        <f>+IF(MAYO!S83=0,"",MAYO!S83)</f>
        <v>1020200</v>
      </c>
      <c r="T83" s="158" t="str">
        <f>+IF(MAYO!T83=0,"",MAYO!T83)</f>
        <v>Servicios Personales Indirectos</v>
      </c>
      <c r="U83" s="157">
        <f t="shared" ref="U83:AJ83" si="83">SUM(U84:U88)</f>
        <v>71000000</v>
      </c>
      <c r="V83" s="144">
        <f t="shared" si="83"/>
        <v>0</v>
      </c>
      <c r="W83" s="144">
        <f t="shared" si="83"/>
        <v>4687311</v>
      </c>
      <c r="X83" s="152">
        <f t="shared" si="83"/>
        <v>75687311</v>
      </c>
      <c r="Y83" s="151">
        <f t="shared" si="83"/>
        <v>24174608</v>
      </c>
      <c r="Z83" s="144">
        <f t="shared" si="83"/>
        <v>2018962</v>
      </c>
      <c r="AA83" s="152">
        <f t="shared" si="83"/>
        <v>26193570</v>
      </c>
      <c r="AB83" s="151">
        <f t="shared" si="83"/>
        <v>24173808</v>
      </c>
      <c r="AC83" s="144">
        <f t="shared" si="83"/>
        <v>2019762</v>
      </c>
      <c r="AD83" s="152">
        <f t="shared" si="83"/>
        <v>26193570</v>
      </c>
      <c r="AE83" s="151">
        <f t="shared" si="83"/>
        <v>17232289</v>
      </c>
      <c r="AF83" s="144">
        <f t="shared" si="83"/>
        <v>4892919</v>
      </c>
      <c r="AG83" s="152">
        <f t="shared" si="83"/>
        <v>22125208</v>
      </c>
      <c r="AH83" s="151">
        <f t="shared" si="83"/>
        <v>49493741</v>
      </c>
      <c r="AI83" s="144">
        <f t="shared" si="83"/>
        <v>49493741</v>
      </c>
      <c r="AJ83" s="153">
        <f t="shared" si="83"/>
        <v>53562103</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x14ac:dyDescent="0.2">
      <c r="A84" s="200" t="str">
        <f>+IF(MAYO!A84=0,"",MAYO!A84)</f>
        <v/>
      </c>
      <c r="B84" s="557" t="str">
        <f>+IF(MAYO!B84=0,"",MAYO!B84)</f>
        <v/>
      </c>
      <c r="C84" s="495"/>
      <c r="D84" s="495"/>
      <c r="E84" s="495"/>
      <c r="F84" s="495"/>
      <c r="G84" s="495"/>
      <c r="H84" s="495"/>
      <c r="I84" s="495"/>
      <c r="J84" s="495"/>
      <c r="K84" s="495"/>
      <c r="L84" s="495"/>
      <c r="M84" s="495"/>
      <c r="N84" s="496"/>
      <c r="P84" s="497"/>
      <c r="Q84" s="496"/>
      <c r="R84" s="10"/>
      <c r="S84" s="155" t="str">
        <f>+IF(MAYO!S84=0,"",MAYO!S84)</f>
        <v>1020200-1</v>
      </c>
      <c r="T84" s="159" t="str">
        <f>+IF(MAYO!T84=0,"",MAYO!T84)</f>
        <v>Remuneración y Honorarios por Servicios Técnicos y Profesionales</v>
      </c>
      <c r="U84" s="29">
        <f>+ENERO!U84</f>
        <v>20000000</v>
      </c>
      <c r="V84" s="17">
        <f>MAYO!V84+JUNIO!AL84</f>
        <v>0</v>
      </c>
      <c r="W84" s="17">
        <f>MAYO!W84+JUNIO!AM84</f>
        <v>0</v>
      </c>
      <c r="X84" s="20">
        <f>SUM(U84:W84)</f>
        <v>20000000</v>
      </c>
      <c r="Y84" s="21">
        <f>MAYO!AA84</f>
        <v>7655048</v>
      </c>
      <c r="Z84" s="457">
        <v>1365862</v>
      </c>
      <c r="AA84" s="20">
        <f>SUM(Y84:Z84)</f>
        <v>9020910</v>
      </c>
      <c r="AB84" s="21">
        <f>MAYO!AD84</f>
        <v>7655048</v>
      </c>
      <c r="AC84" s="457">
        <v>1365862</v>
      </c>
      <c r="AD84" s="20">
        <f>SUM(AB84:AC84)</f>
        <v>9020910</v>
      </c>
      <c r="AE84" s="21">
        <f>MAYO!AG84</f>
        <v>2808029</v>
      </c>
      <c r="AF84" s="457">
        <v>4847019</v>
      </c>
      <c r="AG84" s="20">
        <f>SUM(AE84:AF84)</f>
        <v>7655048</v>
      </c>
      <c r="AH84" s="21">
        <f>X84-AA84</f>
        <v>10979090</v>
      </c>
      <c r="AI84" s="17">
        <f>X84-AD84</f>
        <v>10979090</v>
      </c>
      <c r="AJ84" s="18">
        <f>X84-AG84</f>
        <v>12344952</v>
      </c>
      <c r="AK84" s="10"/>
      <c r="AL84" s="455">
        <v>0</v>
      </c>
      <c r="AM84" s="458">
        <v>0</v>
      </c>
      <c r="AN84" s="10"/>
      <c r="AO84" s="365"/>
      <c r="AP84" s="365"/>
      <c r="AQ84" s="365"/>
      <c r="AR84" s="365"/>
      <c r="AS84" s="365"/>
      <c r="AT84" s="365"/>
      <c r="AU84" s="365"/>
      <c r="AV84" s="365"/>
      <c r="AW84" s="365"/>
      <c r="AX84" s="365"/>
      <c r="AY84" s="365"/>
      <c r="AZ84" s="365"/>
    </row>
    <row r="85" spans="1:70" s="467" customFormat="1" ht="15.75" x14ac:dyDescent="0.2">
      <c r="A85" s="459">
        <f>+IF(MAYO!A85=0,"",MAYO!A85)</f>
        <v>11302</v>
      </c>
      <c r="B85" s="460" t="str">
        <f>+IF(MAYO!B85=0,"",MAYO!B85)</f>
        <v>Venta de Otros Bienes y Servicios</v>
      </c>
      <c r="C85" s="559">
        <f t="shared" ref="C85:N85" si="84">SUM(C86:C93)</f>
        <v>115179029</v>
      </c>
      <c r="D85" s="559">
        <f t="shared" si="84"/>
        <v>0</v>
      </c>
      <c r="E85" s="559">
        <f t="shared" si="84"/>
        <v>0</v>
      </c>
      <c r="F85" s="560">
        <f t="shared" si="84"/>
        <v>115179029</v>
      </c>
      <c r="G85" s="558">
        <f t="shared" si="84"/>
        <v>75436136</v>
      </c>
      <c r="H85" s="559">
        <f t="shared" si="84"/>
        <v>4198464</v>
      </c>
      <c r="I85" s="560">
        <f t="shared" si="84"/>
        <v>79634600</v>
      </c>
      <c r="J85" s="558">
        <f t="shared" si="84"/>
        <v>75436136</v>
      </c>
      <c r="K85" s="559">
        <f t="shared" si="84"/>
        <v>4198464</v>
      </c>
      <c r="L85" s="560">
        <f t="shared" si="84"/>
        <v>79634600</v>
      </c>
      <c r="M85" s="558">
        <f t="shared" si="84"/>
        <v>35544429</v>
      </c>
      <c r="N85" s="560">
        <f t="shared" si="84"/>
        <v>35544429</v>
      </c>
      <c r="P85" s="52">
        <f>SUM(P86:P93)</f>
        <v>0</v>
      </c>
      <c r="Q85" s="54">
        <f>SUM(Q86:Q93)</f>
        <v>0</v>
      </c>
      <c r="R85" s="10"/>
      <c r="S85" s="155" t="str">
        <f>+IF(MAYO!S85=0,"",MAYO!S85)</f>
        <v>1020200-2</v>
      </c>
      <c r="T85" s="159" t="str">
        <f>+IF(MAYO!T85=0,"",MAYO!T85)</f>
        <v>Personal Supernumerario</v>
      </c>
      <c r="U85" s="29">
        <f>+ENERO!U85</f>
        <v>22000000</v>
      </c>
      <c r="V85" s="17">
        <f>MAYO!V85+JUNIO!AL85</f>
        <v>0</v>
      </c>
      <c r="W85" s="17">
        <f>MAYO!W85+JUNIO!AM85</f>
        <v>0</v>
      </c>
      <c r="X85" s="20">
        <f>SUM(U85:W85)</f>
        <v>22000000</v>
      </c>
      <c r="Y85" s="21">
        <f>MAYO!AA85</f>
        <v>1590749</v>
      </c>
      <c r="Z85" s="457">
        <v>608000</v>
      </c>
      <c r="AA85" s="20">
        <f>SUM(Y85:Z85)</f>
        <v>2198749</v>
      </c>
      <c r="AB85" s="21">
        <f>MAYO!AD85</f>
        <v>1590749</v>
      </c>
      <c r="AC85" s="457">
        <v>608000</v>
      </c>
      <c r="AD85" s="20">
        <f>SUM(AB85:AC85)</f>
        <v>2198749</v>
      </c>
      <c r="AE85" s="21">
        <f>MAYO!AG85</f>
        <v>1590749</v>
      </c>
      <c r="AF85" s="457">
        <v>0</v>
      </c>
      <c r="AG85" s="20">
        <f>SUM(AE85:AF85)</f>
        <v>1590749</v>
      </c>
      <c r="AH85" s="21">
        <f>X85-AA85</f>
        <v>19801251</v>
      </c>
      <c r="AI85" s="17">
        <f>X85-AD85</f>
        <v>19801251</v>
      </c>
      <c r="AJ85" s="18">
        <f>X85-AG85</f>
        <v>20409251</v>
      </c>
      <c r="AK85" s="10"/>
      <c r="AL85" s="455">
        <v>0</v>
      </c>
      <c r="AM85" s="458">
        <v>0</v>
      </c>
      <c r="AN85" s="10"/>
      <c r="AO85" s="365"/>
      <c r="AP85" s="365"/>
      <c r="AQ85" s="365"/>
      <c r="AR85" s="365"/>
      <c r="AS85" s="365"/>
      <c r="AT85" s="365"/>
      <c r="AU85" s="365"/>
      <c r="AV85" s="365"/>
      <c r="AW85" s="365"/>
      <c r="AX85" s="365"/>
      <c r="AY85" s="365"/>
      <c r="AZ85" s="365"/>
      <c r="BL85" s="10"/>
    </row>
    <row r="86" spans="1:70" s="10" customFormat="1" x14ac:dyDescent="0.2">
      <c r="A86" s="46">
        <f>+IF(MAYO!A86=0,"",MAYO!A86)</f>
        <v>1130201</v>
      </c>
      <c r="B86" s="55" t="str">
        <f>+IF(MAYO!B86=0,"",MAYO!B86)</f>
        <v>ARRENDAMIENTO Y ALQUILER DE BIENES MUEBLES E INMUEBLES</v>
      </c>
      <c r="C86" s="456">
        <f>+ENERO!C86</f>
        <v>3552425</v>
      </c>
      <c r="D86" s="456">
        <f>MAYO!D86+JUNIO!P86</f>
        <v>0</v>
      </c>
      <c r="E86" s="456">
        <f>MAYO!E86+JUNIO!Q86</f>
        <v>0</v>
      </c>
      <c r="F86" s="170">
        <f t="shared" ref="F86:F92" si="85">SUM(C86:E86)</f>
        <v>3552425</v>
      </c>
      <c r="G86" s="283">
        <f>MAYO!I86</f>
        <v>3410926</v>
      </c>
      <c r="H86" s="457">
        <v>1605135</v>
      </c>
      <c r="I86" s="170">
        <f t="shared" ref="I86:I92" si="86">SUM(G86:H86)</f>
        <v>5016061</v>
      </c>
      <c r="J86" s="283">
        <f>MAYO!L86</f>
        <v>3410926</v>
      </c>
      <c r="K86" s="457">
        <v>1605135</v>
      </c>
      <c r="L86" s="170">
        <f t="shared" ref="L86:L92" si="87">SUM(J86:K86)</f>
        <v>5016061</v>
      </c>
      <c r="M86" s="283">
        <f t="shared" ref="M86:M92" si="88">F86-I86</f>
        <v>-1463636</v>
      </c>
      <c r="N86" s="170">
        <f t="shared" ref="N86:N92" si="89">F86-L86</f>
        <v>-1463636</v>
      </c>
      <c r="O86" s="467"/>
      <c r="P86" s="455">
        <v>0</v>
      </c>
      <c r="Q86" s="458">
        <v>0</v>
      </c>
      <c r="S86" s="155" t="str">
        <f>+IF(MAYO!S86=0,"",MAYO!S86)</f>
        <v>1020200-4</v>
      </c>
      <c r="T86" s="159" t="str">
        <f>+IF(MAYO!T86=0,"",MAYO!T86)</f>
        <v>Otros Honorarios (Servicios de Cooperativa)</v>
      </c>
      <c r="U86" s="29">
        <f>+ENERO!U86</f>
        <v>25000000</v>
      </c>
      <c r="V86" s="17">
        <f>MAYO!V86+JUNIO!AL86</f>
        <v>0</v>
      </c>
      <c r="W86" s="17">
        <f>MAYO!W86+JUNIO!AM86</f>
        <v>0</v>
      </c>
      <c r="X86" s="20">
        <f>SUM(U86:W86)</f>
        <v>25000000</v>
      </c>
      <c r="Y86" s="21">
        <f>MAYO!AA86</f>
        <v>6241500</v>
      </c>
      <c r="Z86" s="457">
        <v>45100</v>
      </c>
      <c r="AA86" s="20">
        <f>SUM(Y86:Z86)</f>
        <v>6286600</v>
      </c>
      <c r="AB86" s="21">
        <f>MAYO!AD86</f>
        <v>6240700</v>
      </c>
      <c r="AC86" s="457">
        <v>45900</v>
      </c>
      <c r="AD86" s="20">
        <f>SUM(AB86:AC86)</f>
        <v>6286600</v>
      </c>
      <c r="AE86" s="21">
        <f>MAYO!AG86</f>
        <v>4193500</v>
      </c>
      <c r="AF86" s="457">
        <v>45900</v>
      </c>
      <c r="AG86" s="20">
        <f>SUM(AE86:AF86)</f>
        <v>4239400</v>
      </c>
      <c r="AH86" s="21">
        <f>X86-AA86</f>
        <v>18713400</v>
      </c>
      <c r="AI86" s="17">
        <f>X86-AD86</f>
        <v>18713400</v>
      </c>
      <c r="AJ86" s="18">
        <f>X86-AG86</f>
        <v>20760600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x14ac:dyDescent="0.2">
      <c r="A87" s="46">
        <f>+IF(MAYO!A87=0,"",MAYO!A87)</f>
        <v>1130202</v>
      </c>
      <c r="B87" s="55" t="str">
        <f>+IF(MAYO!B87=0,"",MAYO!B87)</f>
        <v>COMERCIALIZACIÓN DE MERCANCÍAS</v>
      </c>
      <c r="C87" s="456">
        <f>+ENERO!C87</f>
        <v>0</v>
      </c>
      <c r="D87" s="456">
        <f>MAYO!D87+JUNIO!P87</f>
        <v>0</v>
      </c>
      <c r="E87" s="456">
        <f>MAYO!E87+JUNIO!Q87</f>
        <v>0</v>
      </c>
      <c r="F87" s="170">
        <f t="shared" si="85"/>
        <v>0</v>
      </c>
      <c r="G87" s="283">
        <f>MAYO!I87</f>
        <v>3163575</v>
      </c>
      <c r="H87" s="457">
        <v>1909476</v>
      </c>
      <c r="I87" s="170">
        <f t="shared" si="86"/>
        <v>5073051</v>
      </c>
      <c r="J87" s="283">
        <f>MAYO!L87</f>
        <v>3163575</v>
      </c>
      <c r="K87" s="457">
        <v>1909476</v>
      </c>
      <c r="L87" s="170">
        <f t="shared" si="87"/>
        <v>5073051</v>
      </c>
      <c r="M87" s="283">
        <f t="shared" si="88"/>
        <v>-5073051</v>
      </c>
      <c r="N87" s="170">
        <f t="shared" si="89"/>
        <v>-5073051</v>
      </c>
      <c r="P87" s="455">
        <v>0</v>
      </c>
      <c r="Q87" s="458">
        <v>0</v>
      </c>
      <c r="R87" s="10"/>
      <c r="S87" s="155" t="str">
        <f>+IF(MAYO!S87=0,"",MAYO!S87)</f>
        <v/>
      </c>
      <c r="T87" s="159" t="str">
        <f>+IF(MAYO!T87=0,"",MAYO!T87)</f>
        <v/>
      </c>
      <c r="U87" s="29">
        <f>+ENERO!U87</f>
        <v>0</v>
      </c>
      <c r="V87" s="17">
        <f>MAYO!V87+JUNIO!AL87</f>
        <v>0</v>
      </c>
      <c r="W87" s="17">
        <f>MAYO!W87+JUNIO!AM87</f>
        <v>0</v>
      </c>
      <c r="X87" s="20">
        <f>SUM(U87:W87)</f>
        <v>0</v>
      </c>
      <c r="Y87" s="21">
        <f>MAYO!AA87</f>
        <v>0</v>
      </c>
      <c r="Z87" s="457">
        <v>0</v>
      </c>
      <c r="AA87" s="20">
        <f>SUM(Y87:Z87)</f>
        <v>0</v>
      </c>
      <c r="AB87" s="21">
        <f>MAYO!AD87</f>
        <v>0</v>
      </c>
      <c r="AC87" s="457">
        <v>0</v>
      </c>
      <c r="AD87" s="20">
        <f>SUM(AB87:AC87)</f>
        <v>0</v>
      </c>
      <c r="AE87" s="21">
        <f>MAYO!AG87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x14ac:dyDescent="0.2">
      <c r="A88" s="46">
        <f>+IF(MAYO!A88=0,"",MAYO!A88)</f>
        <v>1130203</v>
      </c>
      <c r="B88" s="55" t="str">
        <f>+IF(MAYO!B88=0,"",MAYO!B88)</f>
        <v>CONVENIOS CON LA NACION LIGADOS A LA VTA DE SERVICIOS</v>
      </c>
      <c r="C88" s="456">
        <f>+ENERO!C88</f>
        <v>0</v>
      </c>
      <c r="D88" s="456">
        <f>MAYO!D88+JUNIO!P88</f>
        <v>0</v>
      </c>
      <c r="E88" s="456">
        <f>MAYO!E88+JUNIO!Q88</f>
        <v>0</v>
      </c>
      <c r="F88" s="170">
        <f t="shared" si="85"/>
        <v>0</v>
      </c>
      <c r="G88" s="283">
        <f>MAYO!I88</f>
        <v>0</v>
      </c>
      <c r="H88" s="457">
        <v>0</v>
      </c>
      <c r="I88" s="170">
        <f t="shared" si="86"/>
        <v>0</v>
      </c>
      <c r="J88" s="283">
        <f>MAYO!L88</f>
        <v>0</v>
      </c>
      <c r="K88" s="457">
        <v>0</v>
      </c>
      <c r="L88" s="170">
        <f t="shared" si="87"/>
        <v>0</v>
      </c>
      <c r="M88" s="283">
        <f t="shared" si="88"/>
        <v>0</v>
      </c>
      <c r="N88" s="170">
        <f t="shared" si="89"/>
        <v>0</v>
      </c>
      <c r="P88" s="455">
        <v>0</v>
      </c>
      <c r="Q88" s="458">
        <v>0</v>
      </c>
      <c r="R88" s="10"/>
      <c r="S88" s="155">
        <f>+IF(MAYO!S88=0,"",MAYO!S88)</f>
        <v>1020299</v>
      </c>
      <c r="T88" s="159" t="str">
        <f>+IF(MAYO!T88=0,"",MAYO!T88)</f>
        <v>Vigencias Anteriores</v>
      </c>
      <c r="U88" s="29">
        <f>+ENERO!U88</f>
        <v>4000000</v>
      </c>
      <c r="V88" s="17">
        <f>MAYO!V88+JUNIO!AL88</f>
        <v>0</v>
      </c>
      <c r="W88" s="17">
        <f>MAYO!W88+JUNIO!AM88</f>
        <v>4687311</v>
      </c>
      <c r="X88" s="20">
        <f>SUM(U88:W88)</f>
        <v>8687311</v>
      </c>
      <c r="Y88" s="21">
        <f>MAYO!AA88</f>
        <v>8687311</v>
      </c>
      <c r="Z88" s="457">
        <v>0</v>
      </c>
      <c r="AA88" s="20">
        <f>SUM(Y88:Z88)</f>
        <v>8687311</v>
      </c>
      <c r="AB88" s="21">
        <f>MAYO!AD88</f>
        <v>8687311</v>
      </c>
      <c r="AC88" s="457">
        <v>0</v>
      </c>
      <c r="AD88" s="20">
        <f>SUM(AB88:AC88)</f>
        <v>8687311</v>
      </c>
      <c r="AE88" s="21">
        <f>MAYO!AG88</f>
        <v>8640011</v>
      </c>
      <c r="AF88" s="457">
        <v>0</v>
      </c>
      <c r="AG88" s="20">
        <f>SUM(AE88:AF88)</f>
        <v>8640011</v>
      </c>
      <c r="AH88" s="21">
        <f>X88-AA88</f>
        <v>0</v>
      </c>
      <c r="AI88" s="17">
        <f>X88-AD88</f>
        <v>0</v>
      </c>
      <c r="AJ88" s="18">
        <f>X88-AG88</f>
        <v>47300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x14ac:dyDescent="0.2">
      <c r="A89" s="46">
        <f>+IF(MAYO!A89=0,"",MAYO!A89)</f>
        <v>1130204</v>
      </c>
      <c r="B89" s="55" t="str">
        <f>+IF(MAYO!B89=0,"",MAYO!B89)</f>
        <v>CONVENIOS CON EL DEPARTAMENTO LIGADOS A LA VTA SERVICIOS</v>
      </c>
      <c r="C89" s="456">
        <f>+ENERO!C89</f>
        <v>0</v>
      </c>
      <c r="D89" s="456">
        <f>MAYO!D89+JUNIO!P89</f>
        <v>0</v>
      </c>
      <c r="E89" s="456">
        <f>MAYO!E89+JUNIO!Q89</f>
        <v>0</v>
      </c>
      <c r="F89" s="170">
        <f t="shared" si="85"/>
        <v>0</v>
      </c>
      <c r="G89" s="283">
        <f>MAYO!I89</f>
        <v>0</v>
      </c>
      <c r="H89" s="457">
        <v>0</v>
      </c>
      <c r="I89" s="170">
        <f t="shared" si="86"/>
        <v>0</v>
      </c>
      <c r="J89" s="283">
        <f>MAYO!L89</f>
        <v>0</v>
      </c>
      <c r="K89" s="457">
        <v>0</v>
      </c>
      <c r="L89" s="170">
        <f t="shared" si="87"/>
        <v>0</v>
      </c>
      <c r="M89" s="283">
        <f t="shared" si="88"/>
        <v>0</v>
      </c>
      <c r="N89" s="170">
        <f t="shared" si="89"/>
        <v>0</v>
      </c>
      <c r="P89" s="455">
        <v>0</v>
      </c>
      <c r="Q89" s="458">
        <v>0</v>
      </c>
      <c r="R89" s="10"/>
      <c r="S89" s="448" t="str">
        <f>+IF(MAYO!S89=0,"",MAYO!S89)</f>
        <v/>
      </c>
      <c r="T89" s="649" t="str">
        <f>+IF(MAYO!T89=0,"",MAYO!T89)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x14ac:dyDescent="0.2">
      <c r="A90" s="46">
        <f>+IF(MAYO!A90=0,"",MAYO!A90)</f>
        <v>1130205</v>
      </c>
      <c r="B90" s="55" t="str">
        <f>+IF(MAYO!B90=0,"",MAYO!B90)</f>
        <v>CONVENIOS CON EL MUNICIPIO LIGADOS A LA VTA DE SERVICIOS</v>
      </c>
      <c r="C90" s="456">
        <f>+ENERO!C90</f>
        <v>0</v>
      </c>
      <c r="D90" s="456">
        <f>MAYO!D90+JUNIO!P90</f>
        <v>0</v>
      </c>
      <c r="E90" s="456">
        <f>MAYO!E90+JUNIO!Q90</f>
        <v>0</v>
      </c>
      <c r="F90" s="170">
        <f t="shared" si="85"/>
        <v>0</v>
      </c>
      <c r="G90" s="283">
        <f>MAYO!I90</f>
        <v>0</v>
      </c>
      <c r="H90" s="457">
        <v>0</v>
      </c>
      <c r="I90" s="170">
        <f t="shared" si="86"/>
        <v>0</v>
      </c>
      <c r="J90" s="283">
        <f>MAYO!L90</f>
        <v>0</v>
      </c>
      <c r="K90" s="457">
        <v>0</v>
      </c>
      <c r="L90" s="170">
        <f t="shared" si="87"/>
        <v>0</v>
      </c>
      <c r="M90" s="283">
        <f t="shared" si="88"/>
        <v>0</v>
      </c>
      <c r="N90" s="170">
        <f t="shared" si="89"/>
        <v>0</v>
      </c>
      <c r="O90" s="467"/>
      <c r="P90" s="455">
        <v>0</v>
      </c>
      <c r="Q90" s="458">
        <v>0</v>
      </c>
      <c r="R90" s="32"/>
      <c r="S90" s="34">
        <f>+IF(MAYO!S90=0,"",MAYO!S90)</f>
        <v>1020300</v>
      </c>
      <c r="T90" s="158" t="str">
        <f>+IF(MAYO!T90=0,"",MAYO!T90)</f>
        <v>Contribuciones Inherentes nómina al Sector Privado</v>
      </c>
      <c r="U90" s="157">
        <f t="shared" ref="U90:AJ90" si="90">U91+U96+U102</f>
        <v>371241003</v>
      </c>
      <c r="V90" s="144">
        <f t="shared" si="90"/>
        <v>0</v>
      </c>
      <c r="W90" s="144">
        <f t="shared" si="90"/>
        <v>5352587</v>
      </c>
      <c r="X90" s="152">
        <f t="shared" si="90"/>
        <v>376593590</v>
      </c>
      <c r="Y90" s="151">
        <f t="shared" si="90"/>
        <v>163743843</v>
      </c>
      <c r="Z90" s="144">
        <f t="shared" si="90"/>
        <v>9757200</v>
      </c>
      <c r="AA90" s="152">
        <f t="shared" si="90"/>
        <v>173501043</v>
      </c>
      <c r="AB90" s="151">
        <f t="shared" si="90"/>
        <v>163743843</v>
      </c>
      <c r="AC90" s="144">
        <f t="shared" si="90"/>
        <v>9757200</v>
      </c>
      <c r="AD90" s="152">
        <f t="shared" si="90"/>
        <v>173501043</v>
      </c>
      <c r="AE90" s="151">
        <f t="shared" si="90"/>
        <v>153071072</v>
      </c>
      <c r="AF90" s="144">
        <f t="shared" si="90"/>
        <v>10535300</v>
      </c>
      <c r="AG90" s="152">
        <f t="shared" si="90"/>
        <v>163606372</v>
      </c>
      <c r="AH90" s="151">
        <f t="shared" si="90"/>
        <v>203092547</v>
      </c>
      <c r="AI90" s="144">
        <f t="shared" si="90"/>
        <v>203092547</v>
      </c>
      <c r="AJ90" s="153">
        <f t="shared" si="90"/>
        <v>212987218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x14ac:dyDescent="0.2">
      <c r="A91" s="46">
        <f>+IF(MAYO!A91=0,"",MAYO!A91)</f>
        <v>1130206</v>
      </c>
      <c r="B91" s="55" t="str">
        <f>+IF(MAYO!B91=0,"",MAYO!B91)</f>
        <v>OTROS CONVENIOS LIGADOS A LA VTA DE SERVICIOS</v>
      </c>
      <c r="C91" s="456">
        <f>+ENERO!C91</f>
        <v>0</v>
      </c>
      <c r="D91" s="456">
        <f>MAYO!D91+JUNIO!P91</f>
        <v>0</v>
      </c>
      <c r="E91" s="456">
        <f>MAYO!E91+JUNIO!Q91</f>
        <v>0</v>
      </c>
      <c r="F91" s="170">
        <f t="shared" si="85"/>
        <v>0</v>
      </c>
      <c r="G91" s="283">
        <f>MAYO!I91</f>
        <v>0</v>
      </c>
      <c r="H91" s="457">
        <v>0</v>
      </c>
      <c r="I91" s="170">
        <f t="shared" si="86"/>
        <v>0</v>
      </c>
      <c r="J91" s="283">
        <f>MAYO!L91</f>
        <v>0</v>
      </c>
      <c r="K91" s="457">
        <v>0</v>
      </c>
      <c r="L91" s="170">
        <f t="shared" si="87"/>
        <v>0</v>
      </c>
      <c r="M91" s="283">
        <f t="shared" si="88"/>
        <v>0</v>
      </c>
      <c r="N91" s="170">
        <f t="shared" si="89"/>
        <v>0</v>
      </c>
      <c r="O91" s="467"/>
      <c r="P91" s="455">
        <v>0</v>
      </c>
      <c r="Q91" s="458">
        <v>0</v>
      </c>
      <c r="R91" s="32"/>
      <c r="S91" s="155">
        <f>+IF(MAYO!S91=0,"",MAYO!S91)</f>
        <v>1020301</v>
      </c>
      <c r="T91" s="159" t="str">
        <f>+IF(MAYO!T91=0,"",MAYO!T91)</f>
        <v>Contribuciones - Sin Situación de Fondos</v>
      </c>
      <c r="U91" s="29">
        <f t="shared" ref="U91:AJ91" si="91">SUM(U92:U95)</f>
        <v>165265755</v>
      </c>
      <c r="V91" s="17">
        <f t="shared" si="91"/>
        <v>0</v>
      </c>
      <c r="W91" s="17">
        <f t="shared" si="91"/>
        <v>0</v>
      </c>
      <c r="X91" s="20">
        <f t="shared" si="91"/>
        <v>165265755</v>
      </c>
      <c r="Y91" s="21">
        <f t="shared" si="91"/>
        <v>52028105</v>
      </c>
      <c r="Z91" s="169">
        <f t="shared" si="91"/>
        <v>4887200</v>
      </c>
      <c r="AA91" s="20">
        <f t="shared" si="91"/>
        <v>56915305</v>
      </c>
      <c r="AB91" s="21">
        <f t="shared" si="91"/>
        <v>52028105</v>
      </c>
      <c r="AC91" s="169">
        <f t="shared" si="91"/>
        <v>4887200</v>
      </c>
      <c r="AD91" s="20">
        <f t="shared" si="91"/>
        <v>56915305</v>
      </c>
      <c r="AE91" s="21">
        <f t="shared" si="91"/>
        <v>52028105</v>
      </c>
      <c r="AF91" s="169">
        <f t="shared" si="91"/>
        <v>0</v>
      </c>
      <c r="AG91" s="20">
        <f t="shared" si="91"/>
        <v>52028105</v>
      </c>
      <c r="AH91" s="21">
        <f t="shared" si="91"/>
        <v>108350450</v>
      </c>
      <c r="AI91" s="17">
        <f t="shared" si="91"/>
        <v>108350450</v>
      </c>
      <c r="AJ91" s="18">
        <f t="shared" si="91"/>
        <v>113237650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x14ac:dyDescent="0.2">
      <c r="A92" s="46">
        <f>+IF(MAYO!A92=0,"",MAYO!A92)</f>
        <v>1130207</v>
      </c>
      <c r="B92" s="563" t="s">
        <v>482</v>
      </c>
      <c r="C92" s="456">
        <f>+ENERO!C92</f>
        <v>0</v>
      </c>
      <c r="D92" s="456">
        <f>MAYO!D92+JUNIO!P92</f>
        <v>0</v>
      </c>
      <c r="E92" s="456">
        <f>MAYO!E92+JUNIO!Q92</f>
        <v>0</v>
      </c>
      <c r="F92" s="170">
        <f t="shared" si="85"/>
        <v>0</v>
      </c>
      <c r="G92" s="283">
        <f>MAYO!I92</f>
        <v>0</v>
      </c>
      <c r="H92" s="457">
        <v>0</v>
      </c>
      <c r="I92" s="170">
        <f t="shared" si="86"/>
        <v>0</v>
      </c>
      <c r="J92" s="283">
        <f>MAYO!L92</f>
        <v>0</v>
      </c>
      <c r="K92" s="457">
        <v>0</v>
      </c>
      <c r="L92" s="170">
        <f t="shared" si="87"/>
        <v>0</v>
      </c>
      <c r="M92" s="283">
        <f t="shared" si="88"/>
        <v>0</v>
      </c>
      <c r="N92" s="170">
        <f t="shared" si="89"/>
        <v>0</v>
      </c>
      <c r="O92" s="467"/>
      <c r="P92" s="455">
        <v>0</v>
      </c>
      <c r="Q92" s="458">
        <v>0</v>
      </c>
      <c r="R92" s="32"/>
      <c r="S92" s="156" t="str">
        <f>+IF(MAYO!S92=0,"",MAYO!S92)</f>
        <v>1020301-1</v>
      </c>
      <c r="T92" s="55" t="str">
        <f>+IF(MAYO!T92=0,"",MAYO!T92)</f>
        <v>Aportes a E.P.S.- Sin sit. Fondos</v>
      </c>
      <c r="U92" s="29">
        <f>+ENERO!U92</f>
        <v>72234575</v>
      </c>
      <c r="V92" s="17">
        <f>MAYO!V92+JUNIO!AL92</f>
        <v>0</v>
      </c>
      <c r="W92" s="17">
        <f>MAYO!W92+JUNIO!AM92</f>
        <v>0</v>
      </c>
      <c r="X92" s="20">
        <f>SUM(U92:W92)</f>
        <v>72234575</v>
      </c>
      <c r="Y92" s="21">
        <f>MAYO!AA92</f>
        <v>24086025</v>
      </c>
      <c r="Z92" s="457">
        <v>2026400</v>
      </c>
      <c r="AA92" s="20">
        <f>SUM(Y92:Z92)</f>
        <v>26112425</v>
      </c>
      <c r="AB92" s="21">
        <f>MAYO!AD92</f>
        <v>24086025</v>
      </c>
      <c r="AC92" s="457">
        <v>2026400</v>
      </c>
      <c r="AD92" s="20">
        <f>SUM(AB92:AC92)</f>
        <v>26112425</v>
      </c>
      <c r="AE92" s="21">
        <f>MAYO!AG92</f>
        <v>24086025</v>
      </c>
      <c r="AF92" s="457">
        <v>0</v>
      </c>
      <c r="AG92" s="20">
        <f>SUM(AE92:AF92)</f>
        <v>24086025</v>
      </c>
      <c r="AH92" s="21">
        <f>X92-AA92</f>
        <v>46122150</v>
      </c>
      <c r="AI92" s="17">
        <f>X92-AD92</f>
        <v>46122150</v>
      </c>
      <c r="AJ92" s="18">
        <f>X92-AG92</f>
        <v>48148550</v>
      </c>
      <c r="AK92" s="10"/>
      <c r="AL92" s="455">
        <v>0</v>
      </c>
      <c r="AM92" s="458">
        <v>0</v>
      </c>
      <c r="AN92" s="32"/>
      <c r="AO92" s="561"/>
      <c r="AP92" s="561"/>
      <c r="AQ92" s="561"/>
      <c r="AR92" s="561"/>
      <c r="AS92" s="561"/>
      <c r="AT92" s="561"/>
      <c r="AU92" s="561"/>
      <c r="AV92" s="561"/>
      <c r="AW92" s="561"/>
      <c r="AX92" s="561"/>
      <c r="AY92" s="561"/>
      <c r="AZ92" s="561"/>
      <c r="BL92" s="32"/>
    </row>
    <row r="93" spans="1:70" s="562" customFormat="1" x14ac:dyDescent="0.2">
      <c r="A93" s="61">
        <f>+IF(MAYO!A93=0,"",MAYO!A93)</f>
        <v>1130209</v>
      </c>
      <c r="B93" s="170" t="str">
        <f>+IF(MAYO!B93=0,"",MAYO!B93)</f>
        <v>OTROS</v>
      </c>
      <c r="C93" s="172">
        <f t="shared" ref="C93:N93" si="92">SUM(C94:C97)</f>
        <v>111626604</v>
      </c>
      <c r="D93" s="172">
        <f t="shared" si="92"/>
        <v>0</v>
      </c>
      <c r="E93" s="172">
        <f t="shared" si="92"/>
        <v>0</v>
      </c>
      <c r="F93" s="173">
        <f t="shared" si="92"/>
        <v>111626604</v>
      </c>
      <c r="G93" s="171">
        <f t="shared" si="92"/>
        <v>68861635</v>
      </c>
      <c r="H93" s="172">
        <f t="shared" si="92"/>
        <v>683853</v>
      </c>
      <c r="I93" s="173">
        <f t="shared" si="92"/>
        <v>69545488</v>
      </c>
      <c r="J93" s="171">
        <f t="shared" si="92"/>
        <v>68861635</v>
      </c>
      <c r="K93" s="172">
        <f t="shared" si="92"/>
        <v>683853</v>
      </c>
      <c r="L93" s="173">
        <f t="shared" si="92"/>
        <v>69545488</v>
      </c>
      <c r="M93" s="171">
        <f t="shared" si="92"/>
        <v>42081116</v>
      </c>
      <c r="N93" s="173">
        <f t="shared" si="92"/>
        <v>42081116</v>
      </c>
      <c r="O93" s="467"/>
      <c r="P93" s="171">
        <f>SUM(P94:P97)</f>
        <v>0</v>
      </c>
      <c r="Q93" s="173">
        <f>SUM(Q94:Q97)</f>
        <v>0</v>
      </c>
      <c r="R93" s="32"/>
      <c r="S93" s="156" t="str">
        <f>+IF(MAYO!S93=0,"",MAYO!S93)</f>
        <v>1020301-2</v>
      </c>
      <c r="T93" s="55" t="str">
        <f>+IF(MAYO!T93=0,"",MAYO!T93)</f>
        <v>Aportes Fondos Pensionales - Sin Sit. Fondos</v>
      </c>
      <c r="U93" s="29">
        <f>+ENERO!U93</f>
        <v>78026691</v>
      </c>
      <c r="V93" s="17">
        <f>MAYO!V93+JUNIO!AL93</f>
        <v>0</v>
      </c>
      <c r="W93" s="17">
        <f>MAYO!W93+JUNIO!AM93</f>
        <v>0</v>
      </c>
      <c r="X93" s="20">
        <f>SUM(U93:W93)</f>
        <v>78026691</v>
      </c>
      <c r="Y93" s="21">
        <f>MAYO!AA93</f>
        <v>27942080</v>
      </c>
      <c r="Z93" s="457">
        <v>2860800</v>
      </c>
      <c r="AA93" s="20">
        <f>SUM(Y93:Z93)</f>
        <v>30802880</v>
      </c>
      <c r="AB93" s="21">
        <f>MAYO!AD93</f>
        <v>27942080</v>
      </c>
      <c r="AC93" s="457">
        <v>2860800</v>
      </c>
      <c r="AD93" s="20">
        <f>SUM(AB93:AC93)</f>
        <v>30802880</v>
      </c>
      <c r="AE93" s="21">
        <f>MAYO!AG93</f>
        <v>27942080</v>
      </c>
      <c r="AF93" s="457">
        <v>0</v>
      </c>
      <c r="AG93" s="20">
        <f>SUM(AE93:AF93)</f>
        <v>27942080</v>
      </c>
      <c r="AH93" s="21">
        <f>X93-AA93</f>
        <v>47223811</v>
      </c>
      <c r="AI93" s="17">
        <f>X93-AD93</f>
        <v>47223811</v>
      </c>
      <c r="AJ93" s="18">
        <f>X93-AG93</f>
        <v>50084611</v>
      </c>
      <c r="AK93" s="10"/>
      <c r="AL93" s="455">
        <v>0</v>
      </c>
      <c r="AM93" s="458">
        <v>0</v>
      </c>
      <c r="AN93" s="32"/>
      <c r="AO93" s="561"/>
      <c r="AP93" s="561"/>
      <c r="AQ93" s="561"/>
      <c r="AR93" s="561"/>
      <c r="AS93" s="561"/>
      <c r="AT93" s="561"/>
      <c r="AU93" s="561"/>
      <c r="AV93" s="561"/>
      <c r="AW93" s="561"/>
      <c r="AX93" s="561"/>
      <c r="AY93" s="561"/>
      <c r="AZ93" s="561"/>
      <c r="BL93" s="32"/>
    </row>
    <row r="94" spans="1:70" s="562" customFormat="1" x14ac:dyDescent="0.2">
      <c r="A94" s="11" t="str">
        <f>+IF(MAYO!A94=0,"",MAYO!A94)</f>
        <v>1130209 - 1</v>
      </c>
      <c r="B94" s="58" t="str">
        <f>+IF(MAYO!B94=0,"",MAYO!B94)</f>
        <v>Bienestar Social</v>
      </c>
      <c r="C94" s="456">
        <f>+ENERO!C94</f>
        <v>6347410</v>
      </c>
      <c r="D94" s="456">
        <f>MAYO!D94+JUNIO!P94</f>
        <v>0</v>
      </c>
      <c r="E94" s="456">
        <f>MAYO!E94+JUNIO!Q94</f>
        <v>0</v>
      </c>
      <c r="F94" s="170">
        <f>SUM(C94:E94)</f>
        <v>6347410</v>
      </c>
      <c r="G94" s="283">
        <f>MAYO!I94</f>
        <v>0</v>
      </c>
      <c r="H94" s="457">
        <v>0</v>
      </c>
      <c r="I94" s="170">
        <f>SUM(G94:H94)</f>
        <v>0</v>
      </c>
      <c r="J94" s="283">
        <f>MAYO!L94</f>
        <v>0</v>
      </c>
      <c r="K94" s="457">
        <v>0</v>
      </c>
      <c r="L94" s="170">
        <f>SUM(J94:K94)</f>
        <v>0</v>
      </c>
      <c r="M94" s="283">
        <f>F94-I94</f>
        <v>6347410</v>
      </c>
      <c r="N94" s="170">
        <f>F94-L94</f>
        <v>6347410</v>
      </c>
      <c r="O94" s="467"/>
      <c r="P94" s="455">
        <v>0</v>
      </c>
      <c r="Q94" s="458">
        <v>0</v>
      </c>
      <c r="R94" s="32"/>
      <c r="S94" s="156" t="str">
        <f>+IF(MAYO!S94=0,"",MAYO!S94)</f>
        <v>1020301-3</v>
      </c>
      <c r="T94" s="55" t="str">
        <f>+IF(MAYO!T94=0,"",MAYO!T94)</f>
        <v xml:space="preserve">Aportes a Fondos de Cesantia - Sin Sit. de Fondos </v>
      </c>
      <c r="U94" s="29">
        <f>+ENERO!U94</f>
        <v>15004488</v>
      </c>
      <c r="V94" s="17">
        <f>MAYO!V94+JUNIO!AL94</f>
        <v>0</v>
      </c>
      <c r="W94" s="17">
        <f>MAYO!W94+JUNIO!AM94</f>
        <v>0</v>
      </c>
      <c r="X94" s="20">
        <f>SUM(U94:W94)</f>
        <v>15004488</v>
      </c>
      <c r="Y94" s="21">
        <f>MAYO!AA94</f>
        <v>0</v>
      </c>
      <c r="Z94" s="457">
        <v>0</v>
      </c>
      <c r="AA94" s="20">
        <f>SUM(Y94:Z94)</f>
        <v>0</v>
      </c>
      <c r="AB94" s="21">
        <f>MAYO!AD94</f>
        <v>0</v>
      </c>
      <c r="AC94" s="457">
        <v>0</v>
      </c>
      <c r="AD94" s="20">
        <f>SUM(AB94:AC94)</f>
        <v>0</v>
      </c>
      <c r="AE94" s="21">
        <f>MAYO!AG94</f>
        <v>0</v>
      </c>
      <c r="AF94" s="457">
        <v>0</v>
      </c>
      <c r="AG94" s="20">
        <f>SUM(AE94:AF94)</f>
        <v>0</v>
      </c>
      <c r="AH94" s="21">
        <f>X94-AA94</f>
        <v>15004488</v>
      </c>
      <c r="AI94" s="17">
        <f>X94-AD94</f>
        <v>15004488</v>
      </c>
      <c r="AJ94" s="18">
        <f>X94-AG94</f>
        <v>15004488</v>
      </c>
      <c r="AK94" s="10"/>
      <c r="AL94" s="455">
        <v>0</v>
      </c>
      <c r="AM94" s="458">
        <v>0</v>
      </c>
      <c r="AN94" s="32"/>
      <c r="AO94" s="561"/>
      <c r="AP94" s="561"/>
      <c r="AQ94" s="561"/>
      <c r="AR94" s="561"/>
      <c r="AS94" s="561"/>
      <c r="AT94" s="561"/>
      <c r="AU94" s="561"/>
      <c r="AV94" s="561"/>
      <c r="AW94" s="561"/>
      <c r="AX94" s="561"/>
      <c r="AY94" s="561"/>
      <c r="AZ94" s="561"/>
      <c r="BL94" s="32"/>
    </row>
    <row r="95" spans="1:70" s="562" customFormat="1" x14ac:dyDescent="0.2">
      <c r="A95" s="11" t="str">
        <f>+IF(MAYO!A95=0,"",MAYO!A95)</f>
        <v>1130209 - 2</v>
      </c>
      <c r="B95" s="58" t="str">
        <f>+IF(MAYO!B95=0,"",MAYO!B95)</f>
        <v>Fondo de la Vivienda</v>
      </c>
      <c r="C95" s="456">
        <f>+ENERO!C95</f>
        <v>0</v>
      </c>
      <c r="D95" s="456">
        <f>MAYO!D95+JUNIO!P95</f>
        <v>0</v>
      </c>
      <c r="E95" s="456">
        <f>MAYO!E95+JUNIO!Q95</f>
        <v>0</v>
      </c>
      <c r="F95" s="170">
        <f>SUM(C95:E95)</f>
        <v>0</v>
      </c>
      <c r="G95" s="283">
        <f>MAYO!I95</f>
        <v>0</v>
      </c>
      <c r="H95" s="457">
        <v>0</v>
      </c>
      <c r="I95" s="170">
        <f>SUM(G95:H95)</f>
        <v>0</v>
      </c>
      <c r="J95" s="283">
        <f>MAYO!L95</f>
        <v>0</v>
      </c>
      <c r="K95" s="457">
        <v>0</v>
      </c>
      <c r="L95" s="170">
        <f>SUM(J95:K95)</f>
        <v>0</v>
      </c>
      <c r="M95" s="283">
        <f>F95-I95</f>
        <v>0</v>
      </c>
      <c r="N95" s="170">
        <f>F95-L95</f>
        <v>0</v>
      </c>
      <c r="O95" s="467"/>
      <c r="P95" s="455">
        <v>0</v>
      </c>
      <c r="Q95" s="458">
        <v>0</v>
      </c>
      <c r="R95" s="32"/>
      <c r="S95" s="156" t="str">
        <f>+IF(MAYO!S95=0,"",MAYO!S95)</f>
        <v>1020301-4</v>
      </c>
      <c r="T95" s="55" t="str">
        <f>+IF(MAYO!T95=0,"",MAYO!T95)</f>
        <v>Aporte a ARL. - Sin Sit. de Fondos</v>
      </c>
      <c r="U95" s="29">
        <f>+ENERO!U95</f>
        <v>1</v>
      </c>
      <c r="V95" s="17">
        <f>MAYO!V95+JUNIO!AL95</f>
        <v>0</v>
      </c>
      <c r="W95" s="17">
        <f>MAYO!W95+JUNIO!AM95</f>
        <v>0</v>
      </c>
      <c r="X95" s="20">
        <f>SUM(U95:W95)</f>
        <v>1</v>
      </c>
      <c r="Y95" s="21">
        <f>MAYO!AA95</f>
        <v>0</v>
      </c>
      <c r="Z95" s="457">
        <v>0</v>
      </c>
      <c r="AA95" s="20">
        <f>SUM(Y95:Z95)</f>
        <v>0</v>
      </c>
      <c r="AB95" s="21">
        <f>MAYO!AD95</f>
        <v>0</v>
      </c>
      <c r="AC95" s="457">
        <v>0</v>
      </c>
      <c r="AD95" s="20">
        <f>SUM(AB95:AC95)</f>
        <v>0</v>
      </c>
      <c r="AE95" s="21">
        <f>MAYO!AG95</f>
        <v>0</v>
      </c>
      <c r="AF95" s="457">
        <v>0</v>
      </c>
      <c r="AG95" s="20">
        <f>SUM(AE95:AF95)</f>
        <v>0</v>
      </c>
      <c r="AH95" s="21">
        <f>X95-AA95</f>
        <v>1</v>
      </c>
      <c r="AI95" s="17">
        <f>X95-AD95</f>
        <v>1</v>
      </c>
      <c r="AJ95" s="18">
        <f>X95-AG95</f>
        <v>1</v>
      </c>
      <c r="AK95" s="10"/>
      <c r="AL95" s="455">
        <v>0</v>
      </c>
      <c r="AM95" s="458">
        <v>0</v>
      </c>
      <c r="AN95" s="32"/>
      <c r="AO95" s="561"/>
      <c r="AP95" s="561"/>
      <c r="AQ95" s="561"/>
      <c r="AR95" s="561"/>
      <c r="AS95" s="561"/>
      <c r="AT95" s="561"/>
      <c r="AU95" s="561"/>
      <c r="AV95" s="561"/>
      <c r="AW95" s="561"/>
      <c r="AX95" s="561"/>
      <c r="AY95" s="561"/>
      <c r="AZ95" s="561"/>
      <c r="BL95" s="32"/>
    </row>
    <row r="96" spans="1:70" s="32" customFormat="1" x14ac:dyDescent="0.2">
      <c r="A96" s="11" t="str">
        <f>+IF(MAYO!A96=0,"",MAYO!A96)</f>
        <v>1130209 - 3</v>
      </c>
      <c r="B96" s="58" t="str">
        <f>+IF(MAYO!B96=0,"",MAYO!B96)</f>
        <v xml:space="preserve">Aprovechamientos </v>
      </c>
      <c r="C96" s="456">
        <f>+ENERO!C96</f>
        <v>105279194</v>
      </c>
      <c r="D96" s="456">
        <f>MAYO!D96+JUNIO!P96</f>
        <v>0</v>
      </c>
      <c r="E96" s="456">
        <f>MAYO!E96+JUNIO!Q96</f>
        <v>0</v>
      </c>
      <c r="F96" s="170">
        <f>SUM(C96:E96)</f>
        <v>105279194</v>
      </c>
      <c r="G96" s="283">
        <f>MAYO!I96</f>
        <v>68861635</v>
      </c>
      <c r="H96" s="457">
        <v>683853</v>
      </c>
      <c r="I96" s="170">
        <f>SUM(G96:H96)</f>
        <v>69545488</v>
      </c>
      <c r="J96" s="283">
        <f>MAYO!L96</f>
        <v>68861635</v>
      </c>
      <c r="K96" s="457">
        <v>683853</v>
      </c>
      <c r="L96" s="170">
        <f>SUM(J96:K96)</f>
        <v>69545488</v>
      </c>
      <c r="M96" s="283">
        <f>F96-I96</f>
        <v>35733706</v>
      </c>
      <c r="N96" s="170">
        <f>F96-L96</f>
        <v>35733706</v>
      </c>
      <c r="O96" s="467"/>
      <c r="P96" s="455">
        <v>0</v>
      </c>
      <c r="Q96" s="458">
        <v>0</v>
      </c>
      <c r="S96" s="155">
        <f>+IF(MAYO!S96=0,"",MAYO!S96)</f>
        <v>1020302</v>
      </c>
      <c r="T96" s="159" t="str">
        <f>+IF(MAYO!T96=0,"",MAYO!T96)</f>
        <v>Contribuciones - Otros</v>
      </c>
      <c r="U96" s="29">
        <f t="shared" ref="U96:AJ96" si="93">SUM(U97:U101)</f>
        <v>205975248</v>
      </c>
      <c r="V96" s="17">
        <f t="shared" si="93"/>
        <v>0</v>
      </c>
      <c r="W96" s="17">
        <f t="shared" si="93"/>
        <v>0</v>
      </c>
      <c r="X96" s="20">
        <f t="shared" si="93"/>
        <v>205975248</v>
      </c>
      <c r="Y96" s="21">
        <f t="shared" si="93"/>
        <v>106363151</v>
      </c>
      <c r="Z96" s="169">
        <f t="shared" si="93"/>
        <v>4870000</v>
      </c>
      <c r="AA96" s="20">
        <f t="shared" si="93"/>
        <v>111233151</v>
      </c>
      <c r="AB96" s="21">
        <f t="shared" si="93"/>
        <v>106363151</v>
      </c>
      <c r="AC96" s="169">
        <f t="shared" si="93"/>
        <v>4870000</v>
      </c>
      <c r="AD96" s="20">
        <f t="shared" si="93"/>
        <v>111233151</v>
      </c>
      <c r="AE96" s="21">
        <f t="shared" si="93"/>
        <v>95690380</v>
      </c>
      <c r="AF96" s="169">
        <f t="shared" si="93"/>
        <v>10535300</v>
      </c>
      <c r="AG96" s="20">
        <f t="shared" si="93"/>
        <v>106225680</v>
      </c>
      <c r="AH96" s="21">
        <f t="shared" si="93"/>
        <v>94742097</v>
      </c>
      <c r="AI96" s="17">
        <f t="shared" si="93"/>
        <v>94742097</v>
      </c>
      <c r="AJ96" s="18">
        <f t="shared" si="93"/>
        <v>99749568</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x14ac:dyDescent="0.25">
      <c r="A97" s="218" t="str">
        <f>+IF(MAYO!A97=0,"",MAYO!A97)</f>
        <v>1130209 - 4</v>
      </c>
      <c r="B97" s="219" t="str">
        <f>+IF(MAYO!B97=0,"",MAYO!B97)</f>
        <v>Otros</v>
      </c>
      <c r="C97" s="564">
        <f>+ENERO!C97</f>
        <v>0</v>
      </c>
      <c r="D97" s="564">
        <f>MAYO!D97+JUNIO!P97</f>
        <v>0</v>
      </c>
      <c r="E97" s="564">
        <f>MAYO!E97+JUNIO!Q97</f>
        <v>0</v>
      </c>
      <c r="F97" s="565">
        <f>SUM(C97:E97)</f>
        <v>0</v>
      </c>
      <c r="G97" s="566">
        <f>MAYO!I97</f>
        <v>0</v>
      </c>
      <c r="H97" s="475">
        <v>0</v>
      </c>
      <c r="I97" s="565">
        <f>SUM(G97:H97)</f>
        <v>0</v>
      </c>
      <c r="J97" s="566">
        <f>MAYO!L97</f>
        <v>0</v>
      </c>
      <c r="K97" s="475">
        <v>0</v>
      </c>
      <c r="L97" s="565">
        <f>SUM(J97:K97)</f>
        <v>0</v>
      </c>
      <c r="M97" s="566">
        <f>F97-I97</f>
        <v>0</v>
      </c>
      <c r="N97" s="565">
        <f>F97-L97</f>
        <v>0</v>
      </c>
      <c r="O97" s="467"/>
      <c r="P97" s="471">
        <v>0</v>
      </c>
      <c r="Q97" s="476">
        <v>0</v>
      </c>
      <c r="R97" s="32"/>
      <c r="S97" s="156" t="str">
        <f>+IF(MAYO!S97=0,"",MAYO!S97)</f>
        <v>1020302-1</v>
      </c>
      <c r="T97" s="55" t="str">
        <f>+IF(MAYO!T97=0,"",MAYO!T97)</f>
        <v>Aportes a E.P.S.- Con sit. Fondos</v>
      </c>
      <c r="U97" s="29">
        <f>+ENERO!U97</f>
        <v>13794433</v>
      </c>
      <c r="V97" s="17">
        <f>MAYO!V97+JUNIO!AL97</f>
        <v>0</v>
      </c>
      <c r="W97" s="17">
        <f>MAYO!W97+JUNIO!AM97</f>
        <v>0</v>
      </c>
      <c r="X97" s="20">
        <f t="shared" ref="X97:X102" si="94">SUM(U97:W97)</f>
        <v>13794433</v>
      </c>
      <c r="Y97" s="21">
        <f>MAYO!AA97</f>
        <v>12193060</v>
      </c>
      <c r="Z97" s="457">
        <v>0</v>
      </c>
      <c r="AA97" s="20">
        <f t="shared" ref="AA97:AA102" si="95">SUM(Y97:Z97)</f>
        <v>12193060</v>
      </c>
      <c r="AB97" s="21">
        <f>MAYO!AD97</f>
        <v>12193060</v>
      </c>
      <c r="AC97" s="457">
        <v>0</v>
      </c>
      <c r="AD97" s="20">
        <f t="shared" ref="AD97:AD102" si="96">SUM(AB97:AC97)</f>
        <v>12193060</v>
      </c>
      <c r="AE97" s="21">
        <f>MAYO!AG97</f>
        <v>9083660</v>
      </c>
      <c r="AF97" s="457">
        <v>3109400</v>
      </c>
      <c r="AG97" s="20">
        <f t="shared" ref="AG97:AG102" si="97">SUM(AE97:AF97)</f>
        <v>12193060</v>
      </c>
      <c r="AH97" s="21">
        <f t="shared" ref="AH97:AH102" si="98">X97-AA97</f>
        <v>1601373</v>
      </c>
      <c r="AI97" s="17">
        <f t="shared" ref="AI97:AI102" si="99">X97-AD97</f>
        <v>1601373</v>
      </c>
      <c r="AJ97" s="18">
        <f t="shared" ref="AJ97:AJ102" si="100">X97-AG97</f>
        <v>1601373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x14ac:dyDescent="0.25">
      <c r="A98" s="217"/>
      <c r="B98" s="554"/>
      <c r="C98" s="365"/>
      <c r="D98" s="365"/>
      <c r="E98" s="365"/>
      <c r="F98" s="365"/>
      <c r="G98" s="365"/>
      <c r="H98" s="365"/>
      <c r="I98" s="365"/>
      <c r="J98" s="365"/>
      <c r="K98" s="365"/>
      <c r="L98" s="365"/>
      <c r="M98" s="365"/>
      <c r="N98" s="567"/>
      <c r="O98" s="467"/>
      <c r="P98" s="568"/>
      <c r="Q98" s="567"/>
      <c r="R98" s="32"/>
      <c r="S98" s="156" t="str">
        <f>+IF(MAYO!S98=0,"",MAYO!S98)</f>
        <v>1020302-2</v>
      </c>
      <c r="T98" s="55" t="str">
        <f>+IF(MAYO!T98=0,"",MAYO!T98)</f>
        <v>Aportes Fondos Pensionales - Con Sit. Fondos</v>
      </c>
      <c r="U98" s="29">
        <f>+ENERO!U98</f>
        <v>43426005</v>
      </c>
      <c r="V98" s="17">
        <f>MAYO!V98+JUNIO!AL98</f>
        <v>0</v>
      </c>
      <c r="W98" s="17">
        <f>MAYO!W98+JUNIO!AM98</f>
        <v>0</v>
      </c>
      <c r="X98" s="20">
        <f t="shared" si="94"/>
        <v>43426005</v>
      </c>
      <c r="Y98" s="21">
        <f>MAYO!AA98</f>
        <v>15897950</v>
      </c>
      <c r="Z98" s="457">
        <v>0</v>
      </c>
      <c r="AA98" s="20">
        <f t="shared" si="95"/>
        <v>15897950</v>
      </c>
      <c r="AB98" s="21">
        <f>MAYO!AD98</f>
        <v>15897950</v>
      </c>
      <c r="AC98" s="457">
        <v>0</v>
      </c>
      <c r="AD98" s="20">
        <f t="shared" si="96"/>
        <v>15897950</v>
      </c>
      <c r="AE98" s="21">
        <f>MAYO!AG98</f>
        <v>13420650</v>
      </c>
      <c r="AF98" s="457">
        <v>2477300</v>
      </c>
      <c r="AG98" s="20">
        <f t="shared" si="97"/>
        <v>15897950</v>
      </c>
      <c r="AH98" s="21">
        <f t="shared" si="98"/>
        <v>27528055</v>
      </c>
      <c r="AI98" s="17">
        <f t="shared" si="99"/>
        <v>27528055</v>
      </c>
      <c r="AJ98" s="18">
        <f t="shared" si="100"/>
        <v>27528055</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x14ac:dyDescent="0.2">
      <c r="A99" s="569">
        <f>+IF(MAYO!A99=0,"",MAYO!A99)</f>
        <v>11303</v>
      </c>
      <c r="B99" s="570" t="str">
        <f>+IF(MAYO!B99=0,"",MAYO!B99)</f>
        <v>Aportes no ligados a venta servicios de salud</v>
      </c>
      <c r="C99" s="572">
        <f t="shared" ref="C99:N99" si="101">SUM(C100:C106)</f>
        <v>0</v>
      </c>
      <c r="D99" s="572">
        <f t="shared" si="101"/>
        <v>227076373</v>
      </c>
      <c r="E99" s="572">
        <f t="shared" si="101"/>
        <v>25449068</v>
      </c>
      <c r="F99" s="573">
        <f t="shared" si="101"/>
        <v>252525441</v>
      </c>
      <c r="G99" s="571">
        <f t="shared" si="101"/>
        <v>105218934</v>
      </c>
      <c r="H99" s="572">
        <f t="shared" si="101"/>
        <v>21043787</v>
      </c>
      <c r="I99" s="573">
        <f t="shared" si="101"/>
        <v>126262721</v>
      </c>
      <c r="J99" s="571">
        <f t="shared" si="101"/>
        <v>105218934</v>
      </c>
      <c r="K99" s="572">
        <f t="shared" si="101"/>
        <v>21043787</v>
      </c>
      <c r="L99" s="573">
        <f t="shared" si="101"/>
        <v>126262721</v>
      </c>
      <c r="M99" s="571">
        <f t="shared" si="101"/>
        <v>126262720</v>
      </c>
      <c r="N99" s="573">
        <f t="shared" si="101"/>
        <v>126262720</v>
      </c>
      <c r="P99" s="215">
        <f>SUM(P100:P106)</f>
        <v>0</v>
      </c>
      <c r="Q99" s="216">
        <f>SUM(Q100:Q106)</f>
        <v>0</v>
      </c>
      <c r="R99" s="32"/>
      <c r="S99" s="156" t="str">
        <f>+IF(MAYO!S99=0,"",MAYO!S99)</f>
        <v>1020302-3</v>
      </c>
      <c r="T99" s="55" t="str">
        <f>+IF(MAYO!T99=0,"",MAYO!T99)</f>
        <v xml:space="preserve">Aportes a Fondos de Cesantia - Con Sit. de Fondos </v>
      </c>
      <c r="U99" s="29">
        <f>+ENERO!U99</f>
        <v>78984976</v>
      </c>
      <c r="V99" s="17">
        <f>MAYO!V99+JUNIO!AL99</f>
        <v>0</v>
      </c>
      <c r="W99" s="17">
        <f>MAYO!W99+JUNIO!AM99</f>
        <v>0</v>
      </c>
      <c r="X99" s="20">
        <f t="shared" si="94"/>
        <v>78984976</v>
      </c>
      <c r="Y99" s="21">
        <f>MAYO!AA99</f>
        <v>53304141</v>
      </c>
      <c r="Z99" s="457">
        <v>0</v>
      </c>
      <c r="AA99" s="20">
        <f t="shared" si="95"/>
        <v>53304141</v>
      </c>
      <c r="AB99" s="21">
        <f>MAYO!AD99</f>
        <v>53304141</v>
      </c>
      <c r="AC99" s="457">
        <v>0</v>
      </c>
      <c r="AD99" s="20">
        <f t="shared" si="96"/>
        <v>53304141</v>
      </c>
      <c r="AE99" s="21">
        <f>MAYO!AG99</f>
        <v>53166670</v>
      </c>
      <c r="AF99" s="457">
        <v>0</v>
      </c>
      <c r="AG99" s="20">
        <f t="shared" si="97"/>
        <v>53166670</v>
      </c>
      <c r="AH99" s="21">
        <f t="shared" si="98"/>
        <v>25680835</v>
      </c>
      <c r="AI99" s="17">
        <f t="shared" si="99"/>
        <v>25680835</v>
      </c>
      <c r="AJ99" s="18">
        <f t="shared" si="100"/>
        <v>25818306</v>
      </c>
      <c r="AK99" s="32"/>
      <c r="AL99" s="455">
        <v>0</v>
      </c>
      <c r="AM99" s="458">
        <v>0</v>
      </c>
      <c r="AN99" s="32"/>
      <c r="AO99" s="561"/>
      <c r="AP99" s="561"/>
      <c r="AQ99" s="561"/>
      <c r="AR99" s="561"/>
      <c r="AS99" s="561"/>
      <c r="AT99" s="561"/>
      <c r="AU99" s="561"/>
      <c r="AV99" s="561"/>
      <c r="AW99" s="561"/>
      <c r="AX99" s="561"/>
      <c r="AY99" s="561"/>
      <c r="AZ99" s="561"/>
      <c r="BM99" s="32"/>
    </row>
    <row r="100" spans="1:70" s="467" customFormat="1" x14ac:dyDescent="0.2">
      <c r="A100" s="33" t="str">
        <f>+IF(MAYO!A100=0,"",MAYO!A100)</f>
        <v>11303-1</v>
      </c>
      <c r="B100" s="59" t="str">
        <f>+IF(MAYO!B100=0,"",MAYO!B100)</f>
        <v xml:space="preserve">NACION </v>
      </c>
      <c r="C100" s="574">
        <f>+ENERO!C100</f>
        <v>0</v>
      </c>
      <c r="D100" s="574">
        <f>MAYO!D100+JUNIO!P100</f>
        <v>0</v>
      </c>
      <c r="E100" s="574">
        <f>MAYO!E100+JUNIO!Q100</f>
        <v>0</v>
      </c>
      <c r="F100" s="575">
        <f t="shared" ref="F100:F106" si="102">SUM(C100:E100)</f>
        <v>0</v>
      </c>
      <c r="G100" s="576">
        <f>MAYO!I100</f>
        <v>0</v>
      </c>
      <c r="H100" s="457">
        <v>0</v>
      </c>
      <c r="I100" s="575">
        <f t="shared" ref="I100:I106" si="103">SUM(G100:H100)</f>
        <v>0</v>
      </c>
      <c r="J100" s="576">
        <f>MAYO!L100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+IF(MAYO!S100=0,"",MAYO!S100)</f>
        <v>1020302-4</v>
      </c>
      <c r="T100" s="55" t="str">
        <f>+IF(MAYO!T100=0,"",MAYO!T100)</f>
        <v>Aporte a ARL. - Con Sit. de Fondos</v>
      </c>
      <c r="U100" s="29">
        <f>+ENERO!U100</f>
        <v>24654894</v>
      </c>
      <c r="V100" s="17">
        <f>MAYO!V100+JUNIO!AL100</f>
        <v>0</v>
      </c>
      <c r="W100" s="17">
        <f>MAYO!W100+JUNIO!AM100</f>
        <v>0</v>
      </c>
      <c r="X100" s="20">
        <f t="shared" si="94"/>
        <v>24654894</v>
      </c>
      <c r="Y100" s="21">
        <f>MAYO!AA100</f>
        <v>9226400</v>
      </c>
      <c r="Z100" s="457">
        <v>1920300</v>
      </c>
      <c r="AA100" s="20">
        <f t="shared" si="95"/>
        <v>11146700</v>
      </c>
      <c r="AB100" s="21">
        <f>MAYO!AD100</f>
        <v>9226400</v>
      </c>
      <c r="AC100" s="457">
        <v>1920300</v>
      </c>
      <c r="AD100" s="20">
        <f t="shared" si="96"/>
        <v>11146700</v>
      </c>
      <c r="AE100" s="21">
        <f>MAYO!AG100</f>
        <v>7362400</v>
      </c>
      <c r="AF100" s="457">
        <v>1864000</v>
      </c>
      <c r="AG100" s="20">
        <f t="shared" si="97"/>
        <v>9226400</v>
      </c>
      <c r="AH100" s="21">
        <f t="shared" si="98"/>
        <v>13508194</v>
      </c>
      <c r="AI100" s="17">
        <f t="shared" si="99"/>
        <v>13508194</v>
      </c>
      <c r="AJ100" s="18">
        <f t="shared" si="100"/>
        <v>15428494</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x14ac:dyDescent="0.2">
      <c r="A101" s="33" t="str">
        <f>+IF(MAYO!A101=0,"",MAYO!A101)</f>
        <v>11303-2</v>
      </c>
      <c r="B101" s="59" t="str">
        <f>+IF(MAYO!B101=0,"",MAYO!B101)</f>
        <v>DEPARTAMENTO</v>
      </c>
      <c r="C101" s="574">
        <f>+ENERO!C101</f>
        <v>0</v>
      </c>
      <c r="D101" s="574">
        <f>MAYO!D101+JUNIO!P101</f>
        <v>0</v>
      </c>
      <c r="E101" s="574">
        <f>MAYO!E101+JUNIO!Q101</f>
        <v>0</v>
      </c>
      <c r="F101" s="575">
        <f t="shared" si="102"/>
        <v>0</v>
      </c>
      <c r="G101" s="576">
        <f>MAYO!I101</f>
        <v>0</v>
      </c>
      <c r="H101" s="457">
        <v>0</v>
      </c>
      <c r="I101" s="575">
        <f t="shared" si="103"/>
        <v>0</v>
      </c>
      <c r="J101" s="576">
        <f>MAYO!L101</f>
        <v>0</v>
      </c>
      <c r="K101" s="457">
        <v>0</v>
      </c>
      <c r="L101" s="575">
        <f t="shared" si="104"/>
        <v>0</v>
      </c>
      <c r="M101" s="576">
        <f t="shared" si="105"/>
        <v>0</v>
      </c>
      <c r="N101" s="575">
        <f t="shared" si="106"/>
        <v>0</v>
      </c>
      <c r="O101" s="562"/>
      <c r="P101" s="455">
        <v>0</v>
      </c>
      <c r="Q101" s="458">
        <v>0</v>
      </c>
      <c r="R101" s="10"/>
      <c r="S101" s="156" t="str">
        <f>+IF(MAYO!S101=0,"",MAYO!S101)</f>
        <v>1020302-5</v>
      </c>
      <c r="T101" s="55" t="str">
        <f>+IF(MAYO!T101=0,"",MAYO!T101)</f>
        <v>Aporte a Caja Compensación Familiar</v>
      </c>
      <c r="U101" s="29">
        <f>+ENERO!U101</f>
        <v>45114940</v>
      </c>
      <c r="V101" s="17">
        <f>MAYO!V101+JUNIO!AL101</f>
        <v>0</v>
      </c>
      <c r="W101" s="17">
        <f>MAYO!W101+JUNIO!AM101</f>
        <v>0</v>
      </c>
      <c r="X101" s="20">
        <f t="shared" si="94"/>
        <v>45114940</v>
      </c>
      <c r="Y101" s="21">
        <f>MAYO!AA101</f>
        <v>15741600</v>
      </c>
      <c r="Z101" s="457">
        <v>2949700</v>
      </c>
      <c r="AA101" s="20">
        <f t="shared" si="95"/>
        <v>18691300</v>
      </c>
      <c r="AB101" s="21">
        <f>MAYO!AD101</f>
        <v>15741600</v>
      </c>
      <c r="AC101" s="457">
        <v>2949700</v>
      </c>
      <c r="AD101" s="20">
        <f t="shared" si="96"/>
        <v>18691300</v>
      </c>
      <c r="AE101" s="21">
        <f>MAYO!AG101</f>
        <v>12657000</v>
      </c>
      <c r="AF101" s="457">
        <v>3084600</v>
      </c>
      <c r="AG101" s="20">
        <f t="shared" si="97"/>
        <v>15741600</v>
      </c>
      <c r="AH101" s="21">
        <f t="shared" si="98"/>
        <v>26423640</v>
      </c>
      <c r="AI101" s="17">
        <f t="shared" si="99"/>
        <v>26423640</v>
      </c>
      <c r="AJ101" s="18">
        <f t="shared" si="100"/>
        <v>29373340</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x14ac:dyDescent="0.2">
      <c r="A102" s="33" t="str">
        <f>+IF(MAYO!A102=0,"",MAYO!A102)</f>
        <v>11303-3</v>
      </c>
      <c r="B102" s="59" t="str">
        <f>+IF(MAYO!B102=0,"",MAYO!B102)</f>
        <v>MUNICIPIO</v>
      </c>
      <c r="C102" s="574">
        <f>+ENERO!C102</f>
        <v>0</v>
      </c>
      <c r="D102" s="574">
        <f>MAYO!D102+JUNIO!P102</f>
        <v>0</v>
      </c>
      <c r="E102" s="574">
        <f>MAYO!E102+JUNIO!Q102</f>
        <v>0</v>
      </c>
      <c r="F102" s="575">
        <f t="shared" si="102"/>
        <v>0</v>
      </c>
      <c r="G102" s="576">
        <f>MAYO!I102</f>
        <v>0</v>
      </c>
      <c r="H102" s="457">
        <v>0</v>
      </c>
      <c r="I102" s="575">
        <f t="shared" si="103"/>
        <v>0</v>
      </c>
      <c r="J102" s="576">
        <f>MAYO!L102</f>
        <v>0</v>
      </c>
      <c r="K102" s="457">
        <v>0</v>
      </c>
      <c r="L102" s="575">
        <f t="shared" si="104"/>
        <v>0</v>
      </c>
      <c r="M102" s="576">
        <f t="shared" si="105"/>
        <v>0</v>
      </c>
      <c r="N102" s="575">
        <f t="shared" si="106"/>
        <v>0</v>
      </c>
      <c r="O102" s="562"/>
      <c r="P102" s="455">
        <v>0</v>
      </c>
      <c r="Q102" s="458">
        <v>0</v>
      </c>
      <c r="R102" s="10"/>
      <c r="S102" s="155">
        <f>+IF(MAYO!S102=0,"",MAYO!S102)</f>
        <v>1020399</v>
      </c>
      <c r="T102" s="159" t="str">
        <f>+IF(MAYO!T102=0,"",MAYO!T102)</f>
        <v>Vigencias Anteriores</v>
      </c>
      <c r="U102" s="29">
        <f>+ENERO!U102</f>
        <v>0</v>
      </c>
      <c r="V102" s="17">
        <f>MAYO!V102+JUNIO!AL102</f>
        <v>0</v>
      </c>
      <c r="W102" s="17">
        <f>MAYO!W102+JUNIO!AM102</f>
        <v>5352587</v>
      </c>
      <c r="X102" s="20">
        <f t="shared" si="94"/>
        <v>5352587</v>
      </c>
      <c r="Y102" s="21">
        <f>MAYO!AA102</f>
        <v>5352587</v>
      </c>
      <c r="Z102" s="457">
        <v>0</v>
      </c>
      <c r="AA102" s="20">
        <f t="shared" si="95"/>
        <v>5352587</v>
      </c>
      <c r="AB102" s="21">
        <f>MAYO!AD102</f>
        <v>5352587</v>
      </c>
      <c r="AC102" s="457">
        <v>0</v>
      </c>
      <c r="AD102" s="20">
        <f t="shared" si="96"/>
        <v>5352587</v>
      </c>
      <c r="AE102" s="21">
        <f>MAYO!AG102</f>
        <v>5352587</v>
      </c>
      <c r="AF102" s="457">
        <v>0</v>
      </c>
      <c r="AG102" s="20">
        <f t="shared" si="97"/>
        <v>5352587</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x14ac:dyDescent="0.2">
      <c r="A103" s="33" t="str">
        <f>+IF(MAYO!A103=0,"",MAYO!A103)</f>
        <v>11303-4</v>
      </c>
      <c r="B103" s="59" t="str">
        <f>+IF(MAYO!B103=0,"",MAYO!B103)</f>
        <v>CONVENIOS (EMPRESTITO)</v>
      </c>
      <c r="C103" s="574">
        <f>+ENERO!C103</f>
        <v>0</v>
      </c>
      <c r="D103" s="574">
        <f>MAYO!D103+JUNIO!P103</f>
        <v>0</v>
      </c>
      <c r="E103" s="574">
        <f>MAYO!E103+JUNIO!Q103</f>
        <v>0</v>
      </c>
      <c r="F103" s="575">
        <f t="shared" si="102"/>
        <v>0</v>
      </c>
      <c r="G103" s="576">
        <f>MAYO!I103</f>
        <v>0</v>
      </c>
      <c r="H103" s="457">
        <v>0</v>
      </c>
      <c r="I103" s="575">
        <f t="shared" si="103"/>
        <v>0</v>
      </c>
      <c r="J103" s="576">
        <f>MAYO!L103</f>
        <v>0</v>
      </c>
      <c r="K103" s="457">
        <v>0</v>
      </c>
      <c r="L103" s="575">
        <f t="shared" si="104"/>
        <v>0</v>
      </c>
      <c r="M103" s="576">
        <f t="shared" si="105"/>
        <v>0</v>
      </c>
      <c r="N103" s="575">
        <f t="shared" si="106"/>
        <v>0</v>
      </c>
      <c r="O103" s="562"/>
      <c r="P103" s="455">
        <v>0</v>
      </c>
      <c r="Q103" s="458">
        <v>0</v>
      </c>
      <c r="R103" s="10"/>
      <c r="S103" s="448" t="str">
        <f>+IF(MAYO!S103=0,"",MAYO!S103)</f>
        <v/>
      </c>
      <c r="T103" s="649" t="str">
        <f>+IF(MAYO!T103=0,"",MAYO!T103)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x14ac:dyDescent="0.2">
      <c r="A104" s="33" t="str">
        <f>+IF(MAYO!A104=0,"",MAYO!A104)</f>
        <v>11303-5</v>
      </c>
      <c r="B104" s="59" t="str">
        <f>+IF(MAYO!B104=0,"",MAYO!B104)</f>
        <v>OTROS CONVENIOS</v>
      </c>
      <c r="C104" s="574">
        <f>+ENERO!C104</f>
        <v>0</v>
      </c>
      <c r="D104" s="574">
        <f>MAYO!D104+JUNIO!P104</f>
        <v>0</v>
      </c>
      <c r="E104" s="574">
        <f>MAYO!E104+JUNIO!Q104</f>
        <v>0</v>
      </c>
      <c r="F104" s="575">
        <f t="shared" si="102"/>
        <v>0</v>
      </c>
      <c r="G104" s="576">
        <f>MAYO!I104</f>
        <v>0</v>
      </c>
      <c r="H104" s="457">
        <v>0</v>
      </c>
      <c r="I104" s="575">
        <f t="shared" si="103"/>
        <v>0</v>
      </c>
      <c r="J104" s="576">
        <f>MAYO!L104</f>
        <v>0</v>
      </c>
      <c r="K104" s="457">
        <v>0</v>
      </c>
      <c r="L104" s="575">
        <f t="shared" si="104"/>
        <v>0</v>
      </c>
      <c r="M104" s="576">
        <f t="shared" si="105"/>
        <v>0</v>
      </c>
      <c r="N104" s="575">
        <f t="shared" si="106"/>
        <v>0</v>
      </c>
      <c r="O104" s="562"/>
      <c r="P104" s="455">
        <v>0</v>
      </c>
      <c r="Q104" s="458">
        <v>0</v>
      </c>
      <c r="R104" s="10"/>
      <c r="S104" s="34">
        <f>+IF(MAYO!S104=0,"",MAYO!S104)</f>
        <v>1020400</v>
      </c>
      <c r="T104" s="158" t="str">
        <f>+IF(MAYO!T104=0,"",MAYO!T104)</f>
        <v>Contribuciones Inherentes nómina del Sector Publico</v>
      </c>
      <c r="U104" s="157">
        <f t="shared" ref="U104:AJ104" si="107">U105+U108</f>
        <v>56393675</v>
      </c>
      <c r="V104" s="144">
        <f t="shared" si="107"/>
        <v>0</v>
      </c>
      <c r="W104" s="144">
        <f t="shared" si="107"/>
        <v>0</v>
      </c>
      <c r="X104" s="152">
        <f t="shared" si="107"/>
        <v>56393675</v>
      </c>
      <c r="Y104" s="151">
        <f t="shared" si="107"/>
        <v>19525800</v>
      </c>
      <c r="Z104" s="144">
        <f t="shared" si="107"/>
        <v>3994500</v>
      </c>
      <c r="AA104" s="152">
        <f t="shared" si="107"/>
        <v>23520300</v>
      </c>
      <c r="AB104" s="151">
        <f t="shared" si="107"/>
        <v>19525800</v>
      </c>
      <c r="AC104" s="144">
        <f t="shared" si="107"/>
        <v>3994500</v>
      </c>
      <c r="AD104" s="152">
        <f t="shared" si="107"/>
        <v>23520300</v>
      </c>
      <c r="AE104" s="151">
        <f t="shared" si="107"/>
        <v>15671000</v>
      </c>
      <c r="AF104" s="144">
        <f t="shared" si="107"/>
        <v>3854800</v>
      </c>
      <c r="AG104" s="152">
        <f t="shared" si="107"/>
        <v>19525800</v>
      </c>
      <c r="AH104" s="151">
        <f t="shared" si="107"/>
        <v>32873375</v>
      </c>
      <c r="AI104" s="144">
        <f t="shared" si="107"/>
        <v>32873375</v>
      </c>
      <c r="AJ104" s="153">
        <f t="shared" si="107"/>
        <v>36867875</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x14ac:dyDescent="0.2">
      <c r="A105" s="33" t="str">
        <f>+IF(MAYO!A105=0,"",MAYO!A105)</f>
        <v>11303-6</v>
      </c>
      <c r="B105" s="59" t="str">
        <f>+IF(MAYO!B105=0,"",MAYO!B105)</f>
        <v>APORTES PATRONALES MUNICIPIO / DEPARTAMENTO</v>
      </c>
      <c r="C105" s="574">
        <f>+ENERO!C105</f>
        <v>0</v>
      </c>
      <c r="D105" s="574">
        <f>MAYO!D105+JUNIO!P105</f>
        <v>227076373</v>
      </c>
      <c r="E105" s="574">
        <f>MAYO!E105+JUNIO!Q105</f>
        <v>25449068</v>
      </c>
      <c r="F105" s="575">
        <f t="shared" si="102"/>
        <v>252525441</v>
      </c>
      <c r="G105" s="576">
        <f>MAYO!I105</f>
        <v>105218934</v>
      </c>
      <c r="H105" s="457">
        <v>21043787</v>
      </c>
      <c r="I105" s="575">
        <f t="shared" si="103"/>
        <v>126262721</v>
      </c>
      <c r="J105" s="576">
        <f>MAYO!L105</f>
        <v>105218934</v>
      </c>
      <c r="K105" s="457">
        <v>21043787</v>
      </c>
      <c r="L105" s="575">
        <f t="shared" si="104"/>
        <v>126262721</v>
      </c>
      <c r="M105" s="576">
        <f t="shared" si="105"/>
        <v>126262720</v>
      </c>
      <c r="N105" s="575">
        <f t="shared" si="106"/>
        <v>126262720</v>
      </c>
      <c r="O105" s="562"/>
      <c r="P105" s="455">
        <v>0</v>
      </c>
      <c r="Q105" s="458">
        <v>0</v>
      </c>
      <c r="R105" s="10"/>
      <c r="S105" s="155">
        <f>+IF(MAYO!S105=0,"",MAYO!S105)</f>
        <v>1020402</v>
      </c>
      <c r="T105" s="159" t="str">
        <f>+IF(MAYO!T105=0,"",MAYO!T105)</f>
        <v>Contribuciones - Otros</v>
      </c>
      <c r="U105" s="29">
        <f t="shared" ref="U105:AJ105" si="108">SUM(U106:U107)</f>
        <v>56393675</v>
      </c>
      <c r="V105" s="17">
        <f t="shared" si="108"/>
        <v>0</v>
      </c>
      <c r="W105" s="17">
        <f t="shared" si="108"/>
        <v>0</v>
      </c>
      <c r="X105" s="20">
        <f t="shared" si="108"/>
        <v>56393675</v>
      </c>
      <c r="Y105" s="21">
        <f t="shared" si="108"/>
        <v>19525800</v>
      </c>
      <c r="Z105" s="169">
        <f t="shared" si="108"/>
        <v>3994500</v>
      </c>
      <c r="AA105" s="20">
        <f t="shared" si="108"/>
        <v>23520300</v>
      </c>
      <c r="AB105" s="21">
        <f t="shared" si="108"/>
        <v>19525800</v>
      </c>
      <c r="AC105" s="169">
        <f t="shared" si="108"/>
        <v>3994500</v>
      </c>
      <c r="AD105" s="20">
        <f t="shared" si="108"/>
        <v>23520300</v>
      </c>
      <c r="AE105" s="21">
        <f t="shared" si="108"/>
        <v>15671000</v>
      </c>
      <c r="AF105" s="169">
        <f t="shared" si="108"/>
        <v>3854800</v>
      </c>
      <c r="AG105" s="20">
        <f t="shared" si="108"/>
        <v>19525800</v>
      </c>
      <c r="AH105" s="21">
        <f t="shared" si="108"/>
        <v>32873375</v>
      </c>
      <c r="AI105" s="17">
        <f t="shared" si="108"/>
        <v>32873375</v>
      </c>
      <c r="AJ105" s="18">
        <f t="shared" si="108"/>
        <v>36867875</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x14ac:dyDescent="0.25">
      <c r="A106" s="577" t="str">
        <f>+IF(MAYO!A106=0,"",MAYO!A106)</f>
        <v>11303-5</v>
      </c>
      <c r="B106" s="578" t="str">
        <f>+IF(MAYO!B106=0,"",MAYO!B106)</f>
        <v>Vigencias Anteriores</v>
      </c>
      <c r="C106" s="564">
        <f>+ENERO!C106</f>
        <v>0</v>
      </c>
      <c r="D106" s="564">
        <f>MAYO!D106+JUNIO!P106</f>
        <v>0</v>
      </c>
      <c r="E106" s="564">
        <f>MAYO!E106+JUNIO!Q106</f>
        <v>0</v>
      </c>
      <c r="F106" s="565">
        <f t="shared" si="102"/>
        <v>0</v>
      </c>
      <c r="G106" s="566">
        <f>MAYO!I106</f>
        <v>0</v>
      </c>
      <c r="H106" s="475">
        <v>0</v>
      </c>
      <c r="I106" s="565">
        <f t="shared" si="103"/>
        <v>0</v>
      </c>
      <c r="J106" s="566">
        <f>MAYO!L106</f>
        <v>0</v>
      </c>
      <c r="K106" s="475">
        <v>0</v>
      </c>
      <c r="L106" s="565">
        <f t="shared" si="104"/>
        <v>0</v>
      </c>
      <c r="M106" s="566">
        <f t="shared" si="105"/>
        <v>0</v>
      </c>
      <c r="N106" s="565">
        <f t="shared" si="106"/>
        <v>0</v>
      </c>
      <c r="O106" s="562"/>
      <c r="P106" s="471">
        <v>0</v>
      </c>
      <c r="Q106" s="476">
        <v>0</v>
      </c>
      <c r="R106" s="10"/>
      <c r="S106" s="156" t="str">
        <f>+IF(MAYO!S106=0,"",MAYO!S106)</f>
        <v>1020402-1</v>
      </c>
      <c r="T106" s="159" t="str">
        <f>+IF(MAYO!T106=0,"",MAYO!T106)</f>
        <v>S.E.N.A.</v>
      </c>
      <c r="U106" s="29">
        <f>+ENERO!U106</f>
        <v>22557470</v>
      </c>
      <c r="V106" s="17">
        <f>MAYO!V106+JUNIO!AL106</f>
        <v>0</v>
      </c>
      <c r="W106" s="17">
        <f>MAYO!W106+JUNIO!AM106</f>
        <v>0</v>
      </c>
      <c r="X106" s="20">
        <f>SUM(U106:W106)</f>
        <v>22557470</v>
      </c>
      <c r="Y106" s="21">
        <f>MAYO!AA106</f>
        <v>7851700</v>
      </c>
      <c r="Z106" s="457">
        <v>1597800</v>
      </c>
      <c r="AA106" s="20">
        <f>SUM(Y106:Z106)</f>
        <v>9449500</v>
      </c>
      <c r="AB106" s="21">
        <f>MAYO!AD106</f>
        <v>7851700</v>
      </c>
      <c r="AC106" s="457">
        <v>1597800</v>
      </c>
      <c r="AD106" s="20">
        <f>SUM(AB106:AC106)</f>
        <v>9449500</v>
      </c>
      <c r="AE106" s="21">
        <f>MAYO!AG106</f>
        <v>6309900</v>
      </c>
      <c r="AF106" s="457">
        <v>1541800</v>
      </c>
      <c r="AG106" s="20">
        <f>SUM(AE106:AF106)</f>
        <v>7851700</v>
      </c>
      <c r="AH106" s="21">
        <f>X106-AA106</f>
        <v>13107970</v>
      </c>
      <c r="AI106" s="17">
        <f>X106-AD106</f>
        <v>13107970</v>
      </c>
      <c r="AJ106" s="18">
        <f>X106-AG106</f>
        <v>14705770</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x14ac:dyDescent="0.25">
      <c r="A107" s="217"/>
      <c r="B107" s="554"/>
      <c r="C107" s="365"/>
      <c r="D107" s="365"/>
      <c r="E107" s="365"/>
      <c r="F107" s="365"/>
      <c r="G107" s="365"/>
      <c r="H107" s="365"/>
      <c r="I107" s="365"/>
      <c r="J107" s="365"/>
      <c r="K107" s="365"/>
      <c r="L107" s="365"/>
      <c r="M107" s="365"/>
      <c r="N107" s="567"/>
      <c r="O107" s="562"/>
      <c r="P107" s="480"/>
      <c r="Q107" s="481"/>
      <c r="R107" s="10"/>
      <c r="S107" s="156" t="str">
        <f>+IF(MAYO!S107=0,"",MAYO!S107)</f>
        <v>1020402-2</v>
      </c>
      <c r="T107" s="159" t="str">
        <f>+IF(MAYO!T107=0,"",MAYO!T107)</f>
        <v>I.C.B.F.</v>
      </c>
      <c r="U107" s="29">
        <f>+ENERO!U107</f>
        <v>33836205</v>
      </c>
      <c r="V107" s="17">
        <f>MAYO!V107+JUNIO!AL107</f>
        <v>0</v>
      </c>
      <c r="W107" s="17">
        <f>MAYO!W107+JUNIO!AM107</f>
        <v>0</v>
      </c>
      <c r="X107" s="20">
        <f>SUM(U107:W107)</f>
        <v>33836205</v>
      </c>
      <c r="Y107" s="21">
        <f>MAYO!AA107</f>
        <v>11674100</v>
      </c>
      <c r="Z107" s="457">
        <v>2396700</v>
      </c>
      <c r="AA107" s="20">
        <f>SUM(Y107:Z107)</f>
        <v>14070800</v>
      </c>
      <c r="AB107" s="21">
        <f>MAYO!AD107</f>
        <v>11674100</v>
      </c>
      <c r="AC107" s="457">
        <v>2396700</v>
      </c>
      <c r="AD107" s="20">
        <f>SUM(AB107:AC107)</f>
        <v>14070800</v>
      </c>
      <c r="AE107" s="21">
        <f>MAYO!AG107</f>
        <v>9361100</v>
      </c>
      <c r="AF107" s="457">
        <v>2313000</v>
      </c>
      <c r="AG107" s="20">
        <f>SUM(AE107:AF107)</f>
        <v>11674100</v>
      </c>
      <c r="AH107" s="21">
        <f>X107-AA107</f>
        <v>19765405</v>
      </c>
      <c r="AI107" s="17">
        <f>X107-AD107</f>
        <v>19765405</v>
      </c>
      <c r="AJ107" s="18">
        <f>X107-AG107</f>
        <v>22162105</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x14ac:dyDescent="0.2">
      <c r="A108" s="433">
        <f>+IF(MAYO!A108=0,"",MAYO!A108)</f>
        <v>2000</v>
      </c>
      <c r="B108" s="439" t="str">
        <f>+IF(MAYO!B108=0,"",MAYO!B108)</f>
        <v>INGRESOS DE CAPITAL</v>
      </c>
      <c r="C108" s="215">
        <f t="shared" ref="C108:N108" si="109">SUM(C109:C117)</f>
        <v>1452387</v>
      </c>
      <c r="D108" s="435">
        <f t="shared" si="109"/>
        <v>0</v>
      </c>
      <c r="E108" s="435">
        <f t="shared" si="109"/>
        <v>0</v>
      </c>
      <c r="F108" s="216">
        <f t="shared" si="109"/>
        <v>1452387</v>
      </c>
      <c r="G108" s="215">
        <f t="shared" si="109"/>
        <v>1530877</v>
      </c>
      <c r="H108" s="435">
        <f t="shared" si="109"/>
        <v>451863</v>
      </c>
      <c r="I108" s="216">
        <f t="shared" si="109"/>
        <v>1982740</v>
      </c>
      <c r="J108" s="215">
        <f t="shared" si="109"/>
        <v>1530877</v>
      </c>
      <c r="K108" s="435">
        <f t="shared" si="109"/>
        <v>451863</v>
      </c>
      <c r="L108" s="216">
        <f t="shared" si="109"/>
        <v>1982740</v>
      </c>
      <c r="M108" s="436">
        <f t="shared" si="109"/>
        <v>-530353</v>
      </c>
      <c r="N108" s="216">
        <f t="shared" si="109"/>
        <v>-530353</v>
      </c>
      <c r="O108" s="562"/>
      <c r="P108" s="215">
        <f>SUM(P109:P117)</f>
        <v>0</v>
      </c>
      <c r="Q108" s="216">
        <f>SUM(Q109:Q117)</f>
        <v>0</v>
      </c>
      <c r="R108" s="10"/>
      <c r="S108" s="155">
        <f>+IF(MAYO!S108=0,"",MAYO!S108)</f>
        <v>1020499</v>
      </c>
      <c r="T108" s="159" t="str">
        <f>+IF(MAYO!T108=0,"",MAYO!T108)</f>
        <v>Vigencias Anteriores</v>
      </c>
      <c r="U108" s="29">
        <f>+ENERO!U108</f>
        <v>0</v>
      </c>
      <c r="V108" s="17">
        <f>MAYO!V108+JUNIO!AL108</f>
        <v>0</v>
      </c>
      <c r="W108" s="17">
        <f>MAYO!W108+JUNIO!AM108</f>
        <v>0</v>
      </c>
      <c r="X108" s="20">
        <f>SUM(U108:W108)</f>
        <v>0</v>
      </c>
      <c r="Y108" s="21">
        <f>MAYO!AA108</f>
        <v>0</v>
      </c>
      <c r="Z108" s="457">
        <v>0</v>
      </c>
      <c r="AA108" s="20">
        <f>SUM(Y108:Z108)</f>
        <v>0</v>
      </c>
      <c r="AB108" s="21">
        <f>MAYO!AD108</f>
        <v>0</v>
      </c>
      <c r="AC108" s="457">
        <v>0</v>
      </c>
      <c r="AD108" s="20">
        <f>SUM(AB108:AC108)</f>
        <v>0</v>
      </c>
      <c r="AE108" s="21">
        <f>MAYO!AG108</f>
        <v>0</v>
      </c>
      <c r="AF108" s="457">
        <v>0</v>
      </c>
      <c r="AG108" s="20">
        <f>SUM(AE108:AF108)</f>
        <v>0</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x14ac:dyDescent="0.2">
      <c r="A109" s="47">
        <f>+IF(MAYO!A109=0,"",MAYO!A109)</f>
        <v>2100</v>
      </c>
      <c r="B109" s="56" t="str">
        <f>+IF(MAYO!B109=0,"",MAYO!B109)</f>
        <v>CREDITO INTERNO</v>
      </c>
      <c r="C109" s="576">
        <f>+ENERO!C109</f>
        <v>0</v>
      </c>
      <c r="D109" s="574">
        <f>MAYO!D109+JUNIO!P109</f>
        <v>0</v>
      </c>
      <c r="E109" s="574">
        <f>MAYO!E109+JUNIO!Q109</f>
        <v>0</v>
      </c>
      <c r="F109" s="575">
        <f t="shared" ref="F109:F116" si="110">SUM(C109:E109)</f>
        <v>0</v>
      </c>
      <c r="G109" s="576">
        <f>MAYO!I109</f>
        <v>0</v>
      </c>
      <c r="H109" s="457">
        <v>0</v>
      </c>
      <c r="I109" s="575">
        <f t="shared" ref="I109:I116" si="111">SUM(G109:H109)</f>
        <v>0</v>
      </c>
      <c r="J109" s="576">
        <f>MAYO!L109</f>
        <v>0</v>
      </c>
      <c r="K109" s="457">
        <v>0</v>
      </c>
      <c r="L109" s="575">
        <f t="shared" ref="L109:L116" si="112">SUM(J109:K109)</f>
        <v>0</v>
      </c>
      <c r="M109" s="585">
        <f t="shared" ref="M109:M116" si="113">F109-I109</f>
        <v>0</v>
      </c>
      <c r="N109" s="575">
        <f t="shared" ref="N109:N116" si="114">F109-L109</f>
        <v>0</v>
      </c>
      <c r="O109" s="562"/>
      <c r="P109" s="455">
        <v>0</v>
      </c>
      <c r="Q109" s="458">
        <v>0</v>
      </c>
      <c r="R109" s="10"/>
      <c r="S109" s="448" t="str">
        <f>+IF(MAYO!S109=0,"",MAYO!S109)</f>
        <v/>
      </c>
      <c r="T109" s="649" t="str">
        <f>+IF(MAYO!T109=0,"",MAYO!T109)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x14ac:dyDescent="0.2">
      <c r="A110" s="586" t="str">
        <f>+IF(MAYO!A110=0,"",MAYO!A110)</f>
        <v>2100-1</v>
      </c>
      <c r="B110" s="563" t="s">
        <v>482</v>
      </c>
      <c r="C110" s="576">
        <f>+ENERO!C110</f>
        <v>0</v>
      </c>
      <c r="D110" s="574">
        <f>MAYO!D110+JUNIO!P110</f>
        <v>0</v>
      </c>
      <c r="E110" s="574">
        <f>MAYO!E110+JUNIO!Q110</f>
        <v>0</v>
      </c>
      <c r="F110" s="575">
        <f t="shared" si="110"/>
        <v>0</v>
      </c>
      <c r="G110" s="576">
        <f>MAYO!I110</f>
        <v>0</v>
      </c>
      <c r="H110" s="457">
        <v>0</v>
      </c>
      <c r="I110" s="575">
        <f t="shared" si="111"/>
        <v>0</v>
      </c>
      <c r="J110" s="576">
        <f>MAYO!L110</f>
        <v>0</v>
      </c>
      <c r="K110" s="457">
        <v>0</v>
      </c>
      <c r="L110" s="575">
        <f t="shared" si="112"/>
        <v>0</v>
      </c>
      <c r="M110" s="585">
        <f t="shared" si="113"/>
        <v>0</v>
      </c>
      <c r="N110" s="575">
        <f t="shared" si="114"/>
        <v>0</v>
      </c>
      <c r="O110" s="562"/>
      <c r="P110" s="455">
        <v>0</v>
      </c>
      <c r="Q110" s="458">
        <v>0</v>
      </c>
      <c r="R110" s="10"/>
      <c r="S110" s="469">
        <f>+IF(MAYO!S110=0,"",MAYO!S110)</f>
        <v>2000000</v>
      </c>
      <c r="T110" s="588" t="str">
        <f>+IF(MAYO!T110=0,"",MAYO!T110)</f>
        <v>GASTOS GENERALES</v>
      </c>
      <c r="U110" s="589">
        <f t="shared" ref="U110:AJ110" si="115">U112+U145</f>
        <v>576550123</v>
      </c>
      <c r="V110" s="590">
        <f t="shared" si="115"/>
        <v>-746499</v>
      </c>
      <c r="W110" s="590">
        <f t="shared" si="115"/>
        <v>20751005</v>
      </c>
      <c r="X110" s="591">
        <f t="shared" si="115"/>
        <v>596554629</v>
      </c>
      <c r="Y110" s="464">
        <f t="shared" si="115"/>
        <v>276168211</v>
      </c>
      <c r="Z110" s="590">
        <f t="shared" si="115"/>
        <v>65003682</v>
      </c>
      <c r="AA110" s="591">
        <f t="shared" si="115"/>
        <v>341171893</v>
      </c>
      <c r="AB110" s="464">
        <f t="shared" si="115"/>
        <v>276168210</v>
      </c>
      <c r="AC110" s="590">
        <f t="shared" si="115"/>
        <v>65003681</v>
      </c>
      <c r="AD110" s="591">
        <f t="shared" si="115"/>
        <v>341171891</v>
      </c>
      <c r="AE110" s="464">
        <f t="shared" si="115"/>
        <v>219042105</v>
      </c>
      <c r="AF110" s="590">
        <f t="shared" si="115"/>
        <v>43272387</v>
      </c>
      <c r="AG110" s="591">
        <f t="shared" si="115"/>
        <v>262314492</v>
      </c>
      <c r="AH110" s="464">
        <f t="shared" si="115"/>
        <v>255382736</v>
      </c>
      <c r="AI110" s="590">
        <f t="shared" si="115"/>
        <v>255382738</v>
      </c>
      <c r="AJ110" s="465">
        <f t="shared" si="115"/>
        <v>334240137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x14ac:dyDescent="0.2">
      <c r="A111" s="47">
        <f>+IF(MAYO!A111=0,"",MAYO!A111)</f>
        <v>2200</v>
      </c>
      <c r="B111" s="56" t="str">
        <f>+IF(MAYO!B111=0,"",MAYO!B111)</f>
        <v>CREDITO EXTERNO</v>
      </c>
      <c r="C111" s="576">
        <f>+ENERO!C111</f>
        <v>0</v>
      </c>
      <c r="D111" s="574">
        <f>MAYO!D111+JUNIO!P111</f>
        <v>0</v>
      </c>
      <c r="E111" s="574">
        <f>MAYO!E111+JUNIO!Q111</f>
        <v>0</v>
      </c>
      <c r="F111" s="575">
        <f t="shared" si="110"/>
        <v>0</v>
      </c>
      <c r="G111" s="576">
        <f>MAYO!I111</f>
        <v>0</v>
      </c>
      <c r="H111" s="457">
        <v>0</v>
      </c>
      <c r="I111" s="575">
        <f t="shared" si="111"/>
        <v>0</v>
      </c>
      <c r="J111" s="576">
        <f>MAYO!L111</f>
        <v>0</v>
      </c>
      <c r="K111" s="457">
        <v>0</v>
      </c>
      <c r="L111" s="575">
        <f t="shared" si="112"/>
        <v>0</v>
      </c>
      <c r="M111" s="585">
        <f t="shared" si="113"/>
        <v>0</v>
      </c>
      <c r="N111" s="575">
        <f t="shared" si="114"/>
        <v>0</v>
      </c>
      <c r="O111" s="562"/>
      <c r="P111" s="455">
        <v>0</v>
      </c>
      <c r="Q111" s="458">
        <v>0</v>
      </c>
      <c r="R111" s="10"/>
      <c r="S111" s="448" t="str">
        <f>+IF(MAYO!S111=0,"",MAYO!S111)</f>
        <v/>
      </c>
      <c r="T111" s="649" t="str">
        <f>+IF(MAYO!T111=0,"",MAYO!T111)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x14ac:dyDescent="0.2">
      <c r="A112" s="592" t="str">
        <f>+IF(MAYO!A112=0,"",MAYO!A112)</f>
        <v>2200-1</v>
      </c>
      <c r="B112" s="563" t="s">
        <v>482</v>
      </c>
      <c r="C112" s="576">
        <f>+ENERO!C112</f>
        <v>0</v>
      </c>
      <c r="D112" s="574">
        <f>MAYO!D112+JUNIO!P112</f>
        <v>0</v>
      </c>
      <c r="E112" s="574">
        <f>MAYO!E112+JUNIO!Q112</f>
        <v>0</v>
      </c>
      <c r="F112" s="575">
        <f t="shared" si="110"/>
        <v>0</v>
      </c>
      <c r="G112" s="576">
        <f>MAYO!I112</f>
        <v>0</v>
      </c>
      <c r="H112" s="457">
        <v>0</v>
      </c>
      <c r="I112" s="575">
        <f t="shared" si="111"/>
        <v>0</v>
      </c>
      <c r="J112" s="576">
        <f>MAYO!L112</f>
        <v>0</v>
      </c>
      <c r="K112" s="457">
        <v>0</v>
      </c>
      <c r="L112" s="575">
        <f t="shared" si="112"/>
        <v>0</v>
      </c>
      <c r="M112" s="585">
        <f t="shared" si="113"/>
        <v>0</v>
      </c>
      <c r="N112" s="575">
        <f t="shared" si="114"/>
        <v>0</v>
      </c>
      <c r="O112" s="562"/>
      <c r="P112" s="455">
        <v>0</v>
      </c>
      <c r="Q112" s="458">
        <v>0</v>
      </c>
      <c r="R112" s="10"/>
      <c r="S112" s="469">
        <f>+IF(MAYO!S112=0,"",MAYO!S112)</f>
        <v>2010000</v>
      </c>
      <c r="T112" s="470" t="str">
        <f>+IF(MAYO!T112=0,"",MAYO!T112)</f>
        <v>Gastos de Administración</v>
      </c>
      <c r="U112" s="157">
        <f t="shared" ref="U112:AJ112" si="116">U114+U123+U141</f>
        <v>198386660</v>
      </c>
      <c r="V112" s="144">
        <f t="shared" si="116"/>
        <v>0</v>
      </c>
      <c r="W112" s="144">
        <f t="shared" si="116"/>
        <v>6463473</v>
      </c>
      <c r="X112" s="152">
        <f t="shared" si="116"/>
        <v>204850133</v>
      </c>
      <c r="Y112" s="151">
        <f t="shared" si="116"/>
        <v>119281682</v>
      </c>
      <c r="Z112" s="144">
        <f t="shared" si="116"/>
        <v>20085158</v>
      </c>
      <c r="AA112" s="152">
        <f t="shared" si="116"/>
        <v>139366840</v>
      </c>
      <c r="AB112" s="151">
        <f t="shared" si="116"/>
        <v>119281681</v>
      </c>
      <c r="AC112" s="144">
        <f t="shared" si="116"/>
        <v>20085157</v>
      </c>
      <c r="AD112" s="152">
        <f t="shared" si="116"/>
        <v>139366838</v>
      </c>
      <c r="AE112" s="151">
        <f t="shared" si="116"/>
        <v>111117363</v>
      </c>
      <c r="AF112" s="144">
        <f t="shared" si="116"/>
        <v>10165237</v>
      </c>
      <c r="AG112" s="152">
        <f t="shared" si="116"/>
        <v>121282600</v>
      </c>
      <c r="AH112" s="151">
        <f t="shared" si="116"/>
        <v>65483293</v>
      </c>
      <c r="AI112" s="144">
        <f t="shared" si="116"/>
        <v>65483295</v>
      </c>
      <c r="AJ112" s="153">
        <f t="shared" si="116"/>
        <v>83567533</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x14ac:dyDescent="0.2">
      <c r="A113" s="47">
        <f>+IF(MAYO!A113=0,"",MAYO!A113)</f>
        <v>2300</v>
      </c>
      <c r="B113" s="56" t="str">
        <f>+IF(MAYO!B113=0,"",MAYO!B113)</f>
        <v>RENDIMIENTOS FINANCIEROS</v>
      </c>
      <c r="C113" s="576">
        <f>+ENERO!C113</f>
        <v>305317</v>
      </c>
      <c r="D113" s="574">
        <f>MAYO!D113+JUNIO!P113</f>
        <v>0</v>
      </c>
      <c r="E113" s="574">
        <f>MAYO!E113+JUNIO!Q113</f>
        <v>0</v>
      </c>
      <c r="F113" s="575">
        <f t="shared" si="110"/>
        <v>305317</v>
      </c>
      <c r="G113" s="576">
        <f>MAYO!I113</f>
        <v>202609</v>
      </c>
      <c r="H113" s="457">
        <v>22625</v>
      </c>
      <c r="I113" s="575">
        <f t="shared" si="111"/>
        <v>225234</v>
      </c>
      <c r="J113" s="576">
        <f>MAYO!L113</f>
        <v>202609</v>
      </c>
      <c r="K113" s="457">
        <v>22625</v>
      </c>
      <c r="L113" s="575">
        <f t="shared" si="112"/>
        <v>225234</v>
      </c>
      <c r="M113" s="585">
        <f t="shared" si="113"/>
        <v>80083</v>
      </c>
      <c r="N113" s="575">
        <f t="shared" si="114"/>
        <v>80083</v>
      </c>
      <c r="O113" s="562"/>
      <c r="P113" s="455">
        <v>0</v>
      </c>
      <c r="Q113" s="458">
        <v>0</v>
      </c>
      <c r="R113" s="10"/>
      <c r="S113" s="448" t="str">
        <f>+IF(MAYO!S113=0,"",MAYO!S113)</f>
        <v/>
      </c>
      <c r="T113" s="649" t="str">
        <f>+IF(MAYO!T113=0,"",MAYO!T113)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x14ac:dyDescent="0.2">
      <c r="A114" s="48">
        <f>+IF(MAYO!A114=0,"",MAYO!A114)</f>
        <v>2400</v>
      </c>
      <c r="B114" s="55" t="str">
        <f>+IF(MAYO!B114=0,"",MAYO!B114)</f>
        <v>VENTA DE ACTIVOS</v>
      </c>
      <c r="C114" s="283">
        <f>+ENERO!C114</f>
        <v>0</v>
      </c>
      <c r="D114" s="456">
        <f>MAYO!D114+JUNIO!P114</f>
        <v>0</v>
      </c>
      <c r="E114" s="456">
        <f>MAYO!E114+JUNIO!Q114</f>
        <v>0</v>
      </c>
      <c r="F114" s="170">
        <f t="shared" si="110"/>
        <v>0</v>
      </c>
      <c r="G114" s="283">
        <f>MAYO!I114</f>
        <v>0</v>
      </c>
      <c r="H114" s="457">
        <v>0</v>
      </c>
      <c r="I114" s="170">
        <f t="shared" si="111"/>
        <v>0</v>
      </c>
      <c r="J114" s="283">
        <f>MAYO!L114</f>
        <v>0</v>
      </c>
      <c r="K114" s="457">
        <v>0</v>
      </c>
      <c r="L114" s="170">
        <f t="shared" si="112"/>
        <v>0</v>
      </c>
      <c r="M114" s="535">
        <f t="shared" si="113"/>
        <v>0</v>
      </c>
      <c r="N114" s="170">
        <f t="shared" si="114"/>
        <v>0</v>
      </c>
      <c r="O114" s="562"/>
      <c r="P114" s="455">
        <v>0</v>
      </c>
      <c r="Q114" s="458">
        <v>0</v>
      </c>
      <c r="R114" s="10"/>
      <c r="S114" s="34">
        <f>+IF(MAYO!S114=0,"",MAYO!S114)</f>
        <v>2010100</v>
      </c>
      <c r="T114" s="158" t="str">
        <f>+IF(MAYO!T114=0,"",MAYO!T114)</f>
        <v>Adquisición de bienes</v>
      </c>
      <c r="U114" s="157">
        <f t="shared" ref="U114:AJ114" si="117">SUM(U115:U121)</f>
        <v>67419307</v>
      </c>
      <c r="V114" s="144">
        <f t="shared" si="117"/>
        <v>0</v>
      </c>
      <c r="W114" s="144">
        <f t="shared" si="117"/>
        <v>1397432</v>
      </c>
      <c r="X114" s="152">
        <f t="shared" si="117"/>
        <v>68816739</v>
      </c>
      <c r="Y114" s="151">
        <f t="shared" si="117"/>
        <v>61639513</v>
      </c>
      <c r="Z114" s="144">
        <f t="shared" si="117"/>
        <v>2059063</v>
      </c>
      <c r="AA114" s="152">
        <f t="shared" si="117"/>
        <v>63698576</v>
      </c>
      <c r="AB114" s="151">
        <f t="shared" si="117"/>
        <v>61639512</v>
      </c>
      <c r="AC114" s="144">
        <f t="shared" si="117"/>
        <v>2059062</v>
      </c>
      <c r="AD114" s="152">
        <f t="shared" si="117"/>
        <v>63698574</v>
      </c>
      <c r="AE114" s="151">
        <f t="shared" si="117"/>
        <v>57452252</v>
      </c>
      <c r="AF114" s="144">
        <f t="shared" si="117"/>
        <v>0</v>
      </c>
      <c r="AG114" s="152">
        <f t="shared" si="117"/>
        <v>57452252</v>
      </c>
      <c r="AH114" s="151">
        <f t="shared" si="117"/>
        <v>5118163</v>
      </c>
      <c r="AI114" s="144">
        <f t="shared" si="117"/>
        <v>5118165</v>
      </c>
      <c r="AJ114" s="153">
        <f t="shared" si="117"/>
        <v>11364487</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x14ac:dyDescent="0.2">
      <c r="A115" s="48">
        <f>+IF(MAYO!A115=0,"",MAYO!A115)</f>
        <v>2500</v>
      </c>
      <c r="B115" s="55" t="str">
        <f>+IF(MAYO!B115=0,"",MAYO!B115)</f>
        <v>DONACIONES</v>
      </c>
      <c r="C115" s="283">
        <f>+ENERO!C115</f>
        <v>0</v>
      </c>
      <c r="D115" s="456">
        <f>MAYO!D115+JUNIO!P115</f>
        <v>0</v>
      </c>
      <c r="E115" s="456">
        <f>MAYO!E115+JUNIO!Q115</f>
        <v>0</v>
      </c>
      <c r="F115" s="170">
        <f t="shared" si="110"/>
        <v>0</v>
      </c>
      <c r="G115" s="283">
        <f>MAYO!I115</f>
        <v>0</v>
      </c>
      <c r="H115" s="457">
        <v>0</v>
      </c>
      <c r="I115" s="170">
        <f t="shared" si="111"/>
        <v>0</v>
      </c>
      <c r="J115" s="283">
        <f>MAYO!L115</f>
        <v>0</v>
      </c>
      <c r="K115" s="457">
        <v>0</v>
      </c>
      <c r="L115" s="170">
        <f t="shared" si="112"/>
        <v>0</v>
      </c>
      <c r="M115" s="535">
        <f t="shared" si="113"/>
        <v>0</v>
      </c>
      <c r="N115" s="170">
        <f t="shared" si="114"/>
        <v>0</v>
      </c>
      <c r="P115" s="455">
        <v>0</v>
      </c>
      <c r="Q115" s="458">
        <v>0</v>
      </c>
      <c r="R115" s="10"/>
      <c r="S115" s="155" t="str">
        <f>+IF(MAYO!S115=0,"",MAYO!S115)</f>
        <v>2010100-1</v>
      </c>
      <c r="T115" s="159" t="str">
        <f>+IF(MAYO!T115=0,"",MAYO!T115)</f>
        <v>Compra de Equipos</v>
      </c>
      <c r="U115" s="29">
        <f>+ENERO!U115</f>
        <v>42018487</v>
      </c>
      <c r="V115" s="17">
        <f>MAYO!V115+JUNIO!AL115</f>
        <v>0</v>
      </c>
      <c r="W115" s="17">
        <f>MAYO!W115+JUNIO!AM115</f>
        <v>0</v>
      </c>
      <c r="X115" s="20">
        <f t="shared" ref="X115:X121" si="118">SUM(U115:W115)</f>
        <v>42018487</v>
      </c>
      <c r="Y115" s="21">
        <f>MAYO!AA115</f>
        <v>41250742</v>
      </c>
      <c r="Z115" s="457">
        <v>0</v>
      </c>
      <c r="AA115" s="20">
        <f t="shared" ref="AA115:AA121" si="119">SUM(Y115:Z115)</f>
        <v>41250742</v>
      </c>
      <c r="AB115" s="21">
        <f>MAYO!AD115</f>
        <v>41250742</v>
      </c>
      <c r="AC115" s="457">
        <v>0</v>
      </c>
      <c r="AD115" s="20">
        <f t="shared" ref="AD115:AD121" si="120">SUM(AB115:AC115)</f>
        <v>41250742</v>
      </c>
      <c r="AE115" s="21">
        <f>MAYO!AG115</f>
        <v>40750742</v>
      </c>
      <c r="AF115" s="457">
        <v>0</v>
      </c>
      <c r="AG115" s="20">
        <f t="shared" ref="AG115:AG121" si="121">SUM(AE115:AF115)</f>
        <v>40750742</v>
      </c>
      <c r="AH115" s="21">
        <f t="shared" ref="AH115:AH121" si="122">X115-AA115</f>
        <v>767745</v>
      </c>
      <c r="AI115" s="17">
        <f t="shared" ref="AI115:AI121" si="123">X115-AD115</f>
        <v>767745</v>
      </c>
      <c r="AJ115" s="18">
        <f t="shared" ref="AJ115:AJ121" si="124">X115-AG115</f>
        <v>1267745</v>
      </c>
      <c r="AK115" s="10"/>
      <c r="AL115" s="455">
        <v>0</v>
      </c>
      <c r="AM115" s="458">
        <v>0</v>
      </c>
      <c r="AN115" s="10"/>
      <c r="AO115" s="365"/>
      <c r="AP115" s="365"/>
      <c r="AQ115" s="365"/>
      <c r="AR115" s="365"/>
      <c r="AS115" s="365"/>
      <c r="AT115" s="365"/>
      <c r="AU115" s="365"/>
      <c r="AV115" s="365"/>
      <c r="AW115" s="365"/>
      <c r="AX115" s="365"/>
      <c r="AY115" s="365"/>
      <c r="AZ115" s="365"/>
    </row>
    <row r="116" spans="1:52" s="467" customFormat="1" x14ac:dyDescent="0.2">
      <c r="A116" s="48">
        <f>+IF(MAYO!A116=0,"",MAYO!A116)</f>
        <v>2600</v>
      </c>
      <c r="B116" s="55" t="str">
        <f>+IF(MAYO!B116=0,"",MAYO!B116)</f>
        <v>RECUPERACIÓN DE CARTERA (AÑO 2012 Y ANTERIORES)</v>
      </c>
      <c r="C116" s="283">
        <f>+ENERO!C116</f>
        <v>1147070</v>
      </c>
      <c r="D116" s="456">
        <f>MAYO!D116+JUNIO!P116</f>
        <v>0</v>
      </c>
      <c r="E116" s="456">
        <f>MAYO!E116+JUNIO!Q116</f>
        <v>0</v>
      </c>
      <c r="F116" s="170">
        <f t="shared" si="110"/>
        <v>1147070</v>
      </c>
      <c r="G116" s="283">
        <f>MAYO!I116</f>
        <v>1328268</v>
      </c>
      <c r="H116" s="457">
        <v>429238</v>
      </c>
      <c r="I116" s="170">
        <f t="shared" si="111"/>
        <v>1757506</v>
      </c>
      <c r="J116" s="283">
        <f>MAYO!L116</f>
        <v>1328268</v>
      </c>
      <c r="K116" s="457">
        <v>429238</v>
      </c>
      <c r="L116" s="170">
        <f t="shared" si="112"/>
        <v>1757506</v>
      </c>
      <c r="M116" s="535">
        <f t="shared" si="113"/>
        <v>-610436</v>
      </c>
      <c r="N116" s="170">
        <f t="shared" si="114"/>
        <v>-610436</v>
      </c>
      <c r="P116" s="455">
        <v>0</v>
      </c>
      <c r="Q116" s="458">
        <v>0</v>
      </c>
      <c r="R116" s="10"/>
      <c r="S116" s="155" t="str">
        <f>+IF(MAYO!S116=0,"",MAYO!S116)</f>
        <v>2010100-2</v>
      </c>
      <c r="T116" s="159" t="str">
        <f>+IF(MAYO!T116=0,"",MAYO!T116)</f>
        <v>Materiales</v>
      </c>
      <c r="U116" s="29">
        <f>+ENERO!U116</f>
        <v>23400820</v>
      </c>
      <c r="V116" s="17">
        <f>MAYO!V116+JUNIO!AL116</f>
        <v>0</v>
      </c>
      <c r="W116" s="17">
        <f>MAYO!W116+JUNIO!AM116</f>
        <v>0</v>
      </c>
      <c r="X116" s="20">
        <f t="shared" si="118"/>
        <v>23400820</v>
      </c>
      <c r="Y116" s="21">
        <f>MAYO!AA116</f>
        <v>16992339</v>
      </c>
      <c r="Z116" s="457">
        <v>2059063</v>
      </c>
      <c r="AA116" s="20">
        <f t="shared" si="119"/>
        <v>19051402</v>
      </c>
      <c r="AB116" s="21">
        <f>MAYO!AD116</f>
        <v>16992338</v>
      </c>
      <c r="AC116" s="457">
        <v>2059062</v>
      </c>
      <c r="AD116" s="20">
        <f t="shared" si="120"/>
        <v>19051400</v>
      </c>
      <c r="AE116" s="21">
        <f>MAYO!AG116</f>
        <v>13305078</v>
      </c>
      <c r="AF116" s="457">
        <v>0</v>
      </c>
      <c r="AG116" s="20">
        <f t="shared" si="121"/>
        <v>13305078</v>
      </c>
      <c r="AH116" s="21">
        <f t="shared" si="122"/>
        <v>4349418</v>
      </c>
      <c r="AI116" s="17">
        <f t="shared" si="123"/>
        <v>4349420</v>
      </c>
      <c r="AJ116" s="18">
        <f t="shared" si="124"/>
        <v>10095742</v>
      </c>
      <c r="AK116" s="10"/>
      <c r="AL116" s="455">
        <v>0</v>
      </c>
      <c r="AM116" s="458">
        <v>0</v>
      </c>
      <c r="AN116" s="10"/>
      <c r="AO116" s="365"/>
      <c r="AP116" s="365"/>
      <c r="AQ116" s="365"/>
      <c r="AR116" s="365"/>
      <c r="AS116" s="365"/>
      <c r="AT116" s="365"/>
      <c r="AU116" s="365"/>
      <c r="AV116" s="365"/>
      <c r="AW116" s="365"/>
      <c r="AX116" s="365"/>
      <c r="AY116" s="365"/>
      <c r="AZ116" s="365"/>
    </row>
    <row r="117" spans="1:52" s="467" customFormat="1" x14ac:dyDescent="0.2">
      <c r="A117" s="48">
        <f>+IF(MAYO!A117=0,"",MAYO!A117)</f>
        <v>2700</v>
      </c>
      <c r="B117" s="55" t="str">
        <f>+IF(MAYO!B117=0,"",MAYO!B117)</f>
        <v>OTROS INGRESOS DE CAPITAL</v>
      </c>
      <c r="C117" s="283">
        <f>SUM(C118:C119)</f>
        <v>0</v>
      </c>
      <c r="D117" s="456">
        <f t="shared" ref="D117:N117" si="125">SUM(D118:D119)</f>
        <v>0</v>
      </c>
      <c r="E117" s="456">
        <f t="shared" si="125"/>
        <v>0</v>
      </c>
      <c r="F117" s="170">
        <f t="shared" si="125"/>
        <v>0</v>
      </c>
      <c r="G117" s="283">
        <f t="shared" si="125"/>
        <v>0</v>
      </c>
      <c r="H117" s="169">
        <f t="shared" si="125"/>
        <v>0</v>
      </c>
      <c r="I117" s="170">
        <f t="shared" si="125"/>
        <v>0</v>
      </c>
      <c r="J117" s="283">
        <f t="shared" si="125"/>
        <v>0</v>
      </c>
      <c r="K117" s="169">
        <f t="shared" si="125"/>
        <v>0</v>
      </c>
      <c r="L117" s="170">
        <f t="shared" si="125"/>
        <v>0</v>
      </c>
      <c r="M117" s="535">
        <f t="shared" si="125"/>
        <v>0</v>
      </c>
      <c r="N117" s="170">
        <f t="shared" si="125"/>
        <v>0</v>
      </c>
      <c r="P117" s="36">
        <f>SUM(P118:P119)</f>
        <v>0</v>
      </c>
      <c r="Q117" s="37">
        <f>SUM(Q118:Q119)</f>
        <v>0</v>
      </c>
      <c r="R117" s="10"/>
      <c r="S117" s="155" t="str">
        <f>+IF(MAYO!S117=0,"",MAYO!S117)</f>
        <v>2010100-3</v>
      </c>
      <c r="T117" s="159" t="str">
        <f>+IF(MAYO!T117=0,"",MAYO!T117)</f>
        <v>Salud Ocupacional</v>
      </c>
      <c r="U117" s="29">
        <f>+ENERO!U117</f>
        <v>0</v>
      </c>
      <c r="V117" s="17">
        <f>MAYO!V117+JUNIO!AL117</f>
        <v>0</v>
      </c>
      <c r="W117" s="17">
        <f>MAYO!W117+JUNIO!AM117</f>
        <v>0</v>
      </c>
      <c r="X117" s="20">
        <f t="shared" si="118"/>
        <v>0</v>
      </c>
      <c r="Y117" s="21">
        <f>MAYO!AA117</f>
        <v>0</v>
      </c>
      <c r="Z117" s="457">
        <v>0</v>
      </c>
      <c r="AA117" s="20">
        <f t="shared" si="119"/>
        <v>0</v>
      </c>
      <c r="AB117" s="21">
        <f>MAYO!AD117</f>
        <v>0</v>
      </c>
      <c r="AC117" s="457">
        <v>0</v>
      </c>
      <c r="AD117" s="20">
        <f t="shared" si="120"/>
        <v>0</v>
      </c>
      <c r="AE117" s="21">
        <f>MAYO!AG117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x14ac:dyDescent="0.2">
      <c r="A118" s="48" t="str">
        <f>+IF(MAYO!A118=0,"",MAYO!A118)</f>
        <v>2700-1</v>
      </c>
      <c r="B118" s="58" t="str">
        <f>+IF(MAYO!B118=0,"",MAYO!B118)</f>
        <v>Descuentos por pronto pago</v>
      </c>
      <c r="C118" s="283">
        <f>+ENERO!C118</f>
        <v>0</v>
      </c>
      <c r="D118" s="456">
        <f>MAYO!D118+JUNIO!P118</f>
        <v>0</v>
      </c>
      <c r="E118" s="456">
        <f>MAYO!E118+JUNIO!Q118</f>
        <v>0</v>
      </c>
      <c r="F118" s="170">
        <f>SUM(C118:E118)</f>
        <v>0</v>
      </c>
      <c r="G118" s="283">
        <f>MAYO!I118</f>
        <v>0</v>
      </c>
      <c r="H118" s="457">
        <v>0</v>
      </c>
      <c r="I118" s="170">
        <f>SUM(G118:H118)</f>
        <v>0</v>
      </c>
      <c r="J118" s="283">
        <f>MAYO!L118</f>
        <v>0</v>
      </c>
      <c r="K118" s="457">
        <v>0</v>
      </c>
      <c r="L118" s="170">
        <f>SUM(J118:K118)</f>
        <v>0</v>
      </c>
      <c r="M118" s="535">
        <f>F118-I118</f>
        <v>0</v>
      </c>
      <c r="N118" s="170">
        <f>F118-L118</f>
        <v>0</v>
      </c>
      <c r="P118" s="455">
        <v>0</v>
      </c>
      <c r="Q118" s="458">
        <v>0</v>
      </c>
      <c r="R118" s="10"/>
      <c r="S118" s="155" t="str">
        <f>+IF(MAYO!S118=0,"",MAYO!S118)</f>
        <v>2010100-4</v>
      </c>
      <c r="T118" s="159" t="str">
        <f>+IF(MAYO!T118=0,"",MAYO!T118)</f>
        <v/>
      </c>
      <c r="U118" s="29">
        <f>+ENERO!U118</f>
        <v>0</v>
      </c>
      <c r="V118" s="17">
        <f>MAYO!V118+JUNIO!AL118</f>
        <v>0</v>
      </c>
      <c r="W118" s="17">
        <f>MAYO!W118+JUNIO!AM118</f>
        <v>0</v>
      </c>
      <c r="X118" s="20">
        <f t="shared" si="118"/>
        <v>0</v>
      </c>
      <c r="Y118" s="21">
        <f>MAYO!AA118</f>
        <v>0</v>
      </c>
      <c r="Z118" s="457">
        <v>0</v>
      </c>
      <c r="AA118" s="20">
        <f t="shared" si="119"/>
        <v>0</v>
      </c>
      <c r="AB118" s="21">
        <f>MAYO!AD118</f>
        <v>0</v>
      </c>
      <c r="AC118" s="457">
        <v>0</v>
      </c>
      <c r="AD118" s="20">
        <f t="shared" si="120"/>
        <v>0</v>
      </c>
      <c r="AE118" s="21">
        <f>MAYO!AG118</f>
        <v>0</v>
      </c>
      <c r="AF118" s="457">
        <v>0</v>
      </c>
      <c r="AG118" s="20">
        <f t="shared" si="121"/>
        <v>0</v>
      </c>
      <c r="AH118" s="21">
        <f t="shared" si="122"/>
        <v>0</v>
      </c>
      <c r="AI118" s="17">
        <f t="shared" si="123"/>
        <v>0</v>
      </c>
      <c r="AJ118" s="18">
        <f t="shared" si="124"/>
        <v>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x14ac:dyDescent="0.25">
      <c r="A119" s="49" t="str">
        <f>+IF(MAYO!A119=0,"",MAYO!A119)</f>
        <v>2700-2</v>
      </c>
      <c r="B119" s="219" t="str">
        <f>+IF(MAYO!B119=0,"",MAYO!B119)</f>
        <v>Otros</v>
      </c>
      <c r="C119" s="474">
        <f>+ENERO!C119</f>
        <v>0</v>
      </c>
      <c r="D119" s="472">
        <f>MAYO!D119+JUNIO!P119</f>
        <v>0</v>
      </c>
      <c r="E119" s="472">
        <f>MAYO!E119+JUNIO!Q119</f>
        <v>0</v>
      </c>
      <c r="F119" s="473">
        <f>SUM(C119:E119)</f>
        <v>0</v>
      </c>
      <c r="G119" s="474">
        <f>MAYO!I119</f>
        <v>0</v>
      </c>
      <c r="H119" s="475">
        <v>0</v>
      </c>
      <c r="I119" s="473">
        <f>SUM(G119:H119)</f>
        <v>0</v>
      </c>
      <c r="J119" s="474">
        <f>MAYO!L119</f>
        <v>0</v>
      </c>
      <c r="K119" s="475">
        <v>0</v>
      </c>
      <c r="L119" s="473">
        <f>SUM(J119:K119)</f>
        <v>0</v>
      </c>
      <c r="M119" s="597">
        <f>F119-I119</f>
        <v>0</v>
      </c>
      <c r="N119" s="473">
        <f>F119-L119</f>
        <v>0</v>
      </c>
      <c r="P119" s="471">
        <v>0</v>
      </c>
      <c r="Q119" s="476">
        <v>0</v>
      </c>
      <c r="R119" s="10"/>
      <c r="S119" s="155" t="str">
        <f>+IF(MAYO!S119=0,"",MAYO!S119)</f>
        <v>2010100-5</v>
      </c>
      <c r="T119" s="159" t="str">
        <f>+IF(MAYO!T119=0,"",MAYO!T119)</f>
        <v/>
      </c>
      <c r="U119" s="29">
        <f>+ENERO!U119</f>
        <v>0</v>
      </c>
      <c r="V119" s="17">
        <f>MAYO!V119+JUNIO!AL119</f>
        <v>0</v>
      </c>
      <c r="W119" s="17">
        <f>MAYO!W119+JUNIO!AM119</f>
        <v>0</v>
      </c>
      <c r="X119" s="20">
        <f t="shared" si="118"/>
        <v>0</v>
      </c>
      <c r="Y119" s="21">
        <f>MAYO!AA119</f>
        <v>0</v>
      </c>
      <c r="Z119" s="457">
        <v>0</v>
      </c>
      <c r="AA119" s="20">
        <f t="shared" si="119"/>
        <v>0</v>
      </c>
      <c r="AB119" s="21">
        <f>MAYO!AD119</f>
        <v>0</v>
      </c>
      <c r="AC119" s="457">
        <v>0</v>
      </c>
      <c r="AD119" s="20">
        <f t="shared" si="120"/>
        <v>0</v>
      </c>
      <c r="AE119" s="21">
        <f>MAYO!AG119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x14ac:dyDescent="0.25">
      <c r="A120" s="199"/>
      <c r="B120" s="681"/>
      <c r="C120" s="363"/>
      <c r="D120" s="363"/>
      <c r="E120" s="363"/>
      <c r="F120" s="363"/>
      <c r="G120" s="363"/>
      <c r="H120" s="363"/>
      <c r="I120" s="363"/>
      <c r="J120" s="363"/>
      <c r="K120" s="363"/>
      <c r="L120" s="363"/>
      <c r="M120" s="363"/>
      <c r="N120" s="599"/>
      <c r="P120" s="547"/>
      <c r="Q120" s="599"/>
      <c r="R120" s="10"/>
      <c r="S120" s="155" t="str">
        <f>+IF(MAYO!S120=0,"",MAYO!S120)</f>
        <v>2010100-6</v>
      </c>
      <c r="T120" s="159" t="str">
        <f>+IF(MAYO!T120=0,"",MAYO!T120)</f>
        <v/>
      </c>
      <c r="U120" s="29">
        <f>+ENERO!U120</f>
        <v>0</v>
      </c>
      <c r="V120" s="17">
        <f>MAYO!V120+JUNIO!AL120</f>
        <v>0</v>
      </c>
      <c r="W120" s="17">
        <f>MAYO!W120+JUNIO!AM120</f>
        <v>0</v>
      </c>
      <c r="X120" s="20">
        <f t="shared" si="118"/>
        <v>0</v>
      </c>
      <c r="Y120" s="21">
        <f>MAYO!AA120</f>
        <v>0</v>
      </c>
      <c r="Z120" s="457">
        <v>0</v>
      </c>
      <c r="AA120" s="20">
        <f t="shared" si="119"/>
        <v>0</v>
      </c>
      <c r="AB120" s="21">
        <f>MAYO!AD120</f>
        <v>0</v>
      </c>
      <c r="AC120" s="457">
        <v>0</v>
      </c>
      <c r="AD120" s="20">
        <f t="shared" si="120"/>
        <v>0</v>
      </c>
      <c r="AE120" s="21">
        <f>MAYO!AG120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x14ac:dyDescent="0.25">
      <c r="A121" s="600" t="str">
        <f>+IF(MAYO!A121=0,"",MAYO!A121)</f>
        <v>TOTAL INGRESOS DIFERENTES A CUENTAS POR COBRAR</v>
      </c>
      <c r="B121" s="682"/>
      <c r="C121" s="605">
        <f t="shared" ref="C121:N121" si="126">C8-C123</f>
        <v>3465783837</v>
      </c>
      <c r="D121" s="603">
        <f t="shared" si="126"/>
        <v>0</v>
      </c>
      <c r="E121" s="603">
        <f t="shared" si="126"/>
        <v>58523183</v>
      </c>
      <c r="F121" s="604">
        <f t="shared" si="126"/>
        <v>3524307020</v>
      </c>
      <c r="G121" s="602">
        <f t="shared" si="126"/>
        <v>1568748567</v>
      </c>
      <c r="H121" s="603">
        <f t="shared" si="126"/>
        <v>283642742</v>
      </c>
      <c r="I121" s="604">
        <f t="shared" si="126"/>
        <v>1852391309</v>
      </c>
      <c r="J121" s="602">
        <f t="shared" si="126"/>
        <v>1260532026</v>
      </c>
      <c r="K121" s="603">
        <f t="shared" si="126"/>
        <v>211755897</v>
      </c>
      <c r="L121" s="604">
        <f t="shared" si="126"/>
        <v>1472287923</v>
      </c>
      <c r="M121" s="602">
        <f t="shared" si="126"/>
        <v>1671915711</v>
      </c>
      <c r="N121" s="604">
        <f t="shared" si="126"/>
        <v>2052019097</v>
      </c>
      <c r="P121" s="605">
        <f>P8-P123</f>
        <v>0</v>
      </c>
      <c r="Q121" s="606">
        <f>Q8-Q123</f>
        <v>0</v>
      </c>
      <c r="R121" s="10"/>
      <c r="S121" s="155">
        <f>+IF(MAYO!S121=0,"",MAYO!S121)</f>
        <v>2010199</v>
      </c>
      <c r="T121" s="159" t="str">
        <f>+IF(MAYO!T121=0,"",MAYO!T121)</f>
        <v>Vigencias Anteriores</v>
      </c>
      <c r="U121" s="29">
        <f>+ENERO!U121</f>
        <v>2000000</v>
      </c>
      <c r="V121" s="17">
        <f>MAYO!V121+JUNIO!AL121</f>
        <v>0</v>
      </c>
      <c r="W121" s="17">
        <f>MAYO!W121+JUNIO!AM121</f>
        <v>1397432</v>
      </c>
      <c r="X121" s="20">
        <f t="shared" si="118"/>
        <v>3397432</v>
      </c>
      <c r="Y121" s="21">
        <f>MAYO!AA121</f>
        <v>3396432</v>
      </c>
      <c r="Z121" s="457">
        <v>0</v>
      </c>
      <c r="AA121" s="20">
        <f t="shared" si="119"/>
        <v>3396432</v>
      </c>
      <c r="AB121" s="21">
        <f>MAYO!AD121</f>
        <v>3396432</v>
      </c>
      <c r="AC121" s="457">
        <v>0</v>
      </c>
      <c r="AD121" s="20">
        <f t="shared" si="120"/>
        <v>3396432</v>
      </c>
      <c r="AE121" s="21">
        <f>MAYO!AG121</f>
        <v>3396432</v>
      </c>
      <c r="AF121" s="457">
        <v>0</v>
      </c>
      <c r="AG121" s="20">
        <f t="shared" si="121"/>
        <v>3396432</v>
      </c>
      <c r="AH121" s="21">
        <f t="shared" si="122"/>
        <v>1000</v>
      </c>
      <c r="AI121" s="17">
        <f t="shared" si="123"/>
        <v>1000</v>
      </c>
      <c r="AJ121" s="18">
        <f t="shared" si="124"/>
        <v>1000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x14ac:dyDescent="0.25">
      <c r="A122" s="607"/>
      <c r="B122" s="617"/>
      <c r="C122" s="609"/>
      <c r="D122" s="609"/>
      <c r="E122" s="609"/>
      <c r="F122" s="609"/>
      <c r="G122" s="609"/>
      <c r="H122" s="609"/>
      <c r="I122" s="609"/>
      <c r="J122" s="609"/>
      <c r="K122" s="609"/>
      <c r="L122" s="609"/>
      <c r="M122" s="609"/>
      <c r="N122" s="610"/>
      <c r="P122" s="611"/>
      <c r="Q122" s="610"/>
      <c r="R122" s="10"/>
      <c r="S122" s="448" t="str">
        <f>+IF(MAYO!S122=0,"",MAYO!S122)</f>
        <v/>
      </c>
      <c r="T122" s="649" t="str">
        <f>+IF(MAYO!T122=0,"",MAYO!T122)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x14ac:dyDescent="0.25">
      <c r="A123" s="683" t="str">
        <f>+IF(MAYO!A123=0,"",MAYO!A123)</f>
        <v>TOTAL INGRESOS DE VIGENCIAS ANTERIORES</v>
      </c>
      <c r="B123" s="684"/>
      <c r="C123" s="605">
        <f>SUMIF($B8:$B$117,$B$24,C8:C117)+C116</f>
        <v>165717175</v>
      </c>
      <c r="D123" s="685">
        <f>SUMIF($B8:$B$117,$B$24,D8:D117)+D116</f>
        <v>0</v>
      </c>
      <c r="E123" s="685">
        <f>SUMIF($B8:$B$117,$B$24,E8:E117)+E116</f>
        <v>0</v>
      </c>
      <c r="F123" s="686">
        <f>SUMIF($B8:$B$117,$B$24,F8:F117)+F116</f>
        <v>165717175</v>
      </c>
      <c r="G123" s="687">
        <f>SUMIF($B8:$B$117,$B$24,G8:G117)+G116</f>
        <v>271835800</v>
      </c>
      <c r="H123" s="685">
        <f>SUMIF($B8:$B$117,$B$24,H8:H117)+H116</f>
        <v>36905180</v>
      </c>
      <c r="I123" s="686">
        <f>SUMIF($B8:$B$117,$B$24,I8:I117)+I116</f>
        <v>308740980</v>
      </c>
      <c r="J123" s="687">
        <f>SUMIF($B8:$B$117,$B$24,J8:J117)+J116</f>
        <v>271835800</v>
      </c>
      <c r="K123" s="685">
        <f>SUMIF($B8:$B$117,$B$24,K8:K117)+K116</f>
        <v>36905180</v>
      </c>
      <c r="L123" s="686">
        <f>SUMIF($B8:$B$117,$B$24,L8:L117)+L116</f>
        <v>308740980</v>
      </c>
      <c r="M123" s="687">
        <f>SUMIF($B8:$B$117,$B$24,M8:M117)+M116</f>
        <v>-143023805</v>
      </c>
      <c r="N123" s="686">
        <f>SUMIF($B8:$B$117,$B$24,N8:N117)+N116</f>
        <v>-143023805</v>
      </c>
      <c r="P123" s="687">
        <f>SUMIF($B8:$B$117,$B$24,P8:P117)+P116</f>
        <v>0</v>
      </c>
      <c r="Q123" s="686">
        <f>SUMIF($B8:$B$117,$B$24,Q8:Q117)+Q116</f>
        <v>0</v>
      </c>
      <c r="R123" s="10"/>
      <c r="S123" s="34">
        <f>+IF(MAYO!S123=0,"",MAYO!S123)</f>
        <v>2010200</v>
      </c>
      <c r="T123" s="158" t="str">
        <f>+IF(MAYO!T123=0,"",MAYO!T123)</f>
        <v>Adquisición de Servicios</v>
      </c>
      <c r="U123" s="157">
        <f t="shared" ref="U123:AJ123" si="127">SUM(U124:U139)</f>
        <v>130967353</v>
      </c>
      <c r="V123" s="144">
        <f t="shared" si="127"/>
        <v>0</v>
      </c>
      <c r="W123" s="144">
        <f t="shared" si="127"/>
        <v>4066041</v>
      </c>
      <c r="X123" s="152">
        <f t="shared" si="127"/>
        <v>135033394</v>
      </c>
      <c r="Y123" s="151">
        <f t="shared" si="127"/>
        <v>57642169</v>
      </c>
      <c r="Z123" s="144">
        <f t="shared" si="127"/>
        <v>18026095</v>
      </c>
      <c r="AA123" s="152">
        <f t="shared" si="127"/>
        <v>75668264</v>
      </c>
      <c r="AB123" s="151">
        <f t="shared" si="127"/>
        <v>57642169</v>
      </c>
      <c r="AC123" s="144">
        <f t="shared" si="127"/>
        <v>18026095</v>
      </c>
      <c r="AD123" s="152">
        <f t="shared" si="127"/>
        <v>75668264</v>
      </c>
      <c r="AE123" s="151">
        <f t="shared" si="127"/>
        <v>53665111</v>
      </c>
      <c r="AF123" s="144">
        <f t="shared" si="127"/>
        <v>10165237</v>
      </c>
      <c r="AG123" s="152">
        <f t="shared" si="127"/>
        <v>63830348</v>
      </c>
      <c r="AH123" s="151">
        <f t="shared" si="127"/>
        <v>59365130</v>
      </c>
      <c r="AI123" s="144">
        <f t="shared" si="127"/>
        <v>59365130</v>
      </c>
      <c r="AJ123" s="153">
        <f t="shared" si="127"/>
        <v>71203046</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x14ac:dyDescent="0.25">
      <c r="A124" s="607"/>
      <c r="B124" s="617"/>
      <c r="C124" s="609"/>
      <c r="D124" s="609"/>
      <c r="E124" s="609"/>
      <c r="F124" s="609"/>
      <c r="G124" s="609"/>
      <c r="H124" s="609"/>
      <c r="I124" s="609"/>
      <c r="J124" s="609"/>
      <c r="K124" s="609"/>
      <c r="L124" s="609"/>
      <c r="M124" s="609"/>
      <c r="N124" s="610"/>
      <c r="P124" s="611"/>
      <c r="Q124" s="610"/>
      <c r="R124" s="10"/>
      <c r="S124" s="155" t="str">
        <f>+IF(MAYO!S124=0,"",MAYO!S124)</f>
        <v>2010200-1</v>
      </c>
      <c r="T124" s="159" t="str">
        <f>+IF(MAYO!T124=0,"",MAYO!T124)</f>
        <v>Seguros</v>
      </c>
      <c r="U124" s="29">
        <f>+ENERO!U124</f>
        <v>42767476</v>
      </c>
      <c r="V124" s="17">
        <f>MAYO!V124+JUNIO!AL124</f>
        <v>0</v>
      </c>
      <c r="W124" s="17">
        <f>MAYO!W124+JUNIO!AM124</f>
        <v>0</v>
      </c>
      <c r="X124" s="20">
        <f t="shared" ref="X124:X139" si="128">SUM(U124:W124)</f>
        <v>42767476</v>
      </c>
      <c r="Y124" s="21">
        <f>MAYO!AA124</f>
        <v>22819107</v>
      </c>
      <c r="Z124" s="457">
        <v>11338002</v>
      </c>
      <c r="AA124" s="20">
        <f t="shared" ref="AA124:AA139" si="129">SUM(Y124:Z124)</f>
        <v>34157109</v>
      </c>
      <c r="AB124" s="21">
        <f>MAYO!AD124</f>
        <v>22819107</v>
      </c>
      <c r="AC124" s="457">
        <v>11338002</v>
      </c>
      <c r="AD124" s="20">
        <f t="shared" ref="AD124:AD139" si="130">SUM(AB124:AC124)</f>
        <v>34157109</v>
      </c>
      <c r="AE124" s="21">
        <f>MAYO!AG124</f>
        <v>22819107</v>
      </c>
      <c r="AF124" s="457">
        <v>5706002</v>
      </c>
      <c r="AG124" s="20">
        <f t="shared" ref="AG124:AG139" si="131">SUM(AE124:AF124)</f>
        <v>28525109</v>
      </c>
      <c r="AH124" s="21">
        <f t="shared" ref="AH124:AH139" si="132">X124-AA124</f>
        <v>8610367</v>
      </c>
      <c r="AI124" s="17">
        <f t="shared" ref="AI124:AI139" si="133">X124-AD124</f>
        <v>8610367</v>
      </c>
      <c r="AJ124" s="18">
        <f t="shared" ref="AJ124:AJ139" si="134">X124-AG124</f>
        <v>14242367</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x14ac:dyDescent="0.25">
      <c r="A125" s="618" t="str">
        <f>+IF(MAYO!A125=0,"",MAYO!A125)</f>
        <v xml:space="preserve">TOTAL PRESUPUESTO DE INGRESOS </v>
      </c>
      <c r="B125" s="619"/>
      <c r="C125" s="605">
        <f t="shared" ref="C125:N125" si="135">C123+C121</f>
        <v>3631501012</v>
      </c>
      <c r="D125" s="621">
        <f t="shared" si="135"/>
        <v>0</v>
      </c>
      <c r="E125" s="621">
        <f t="shared" si="135"/>
        <v>58523183</v>
      </c>
      <c r="F125" s="622">
        <f t="shared" si="135"/>
        <v>3690024195</v>
      </c>
      <c r="G125" s="620">
        <f t="shared" si="135"/>
        <v>1840584367</v>
      </c>
      <c r="H125" s="621">
        <f t="shared" si="135"/>
        <v>320547922</v>
      </c>
      <c r="I125" s="622">
        <f t="shared" si="135"/>
        <v>2161132289</v>
      </c>
      <c r="J125" s="620">
        <f t="shared" si="135"/>
        <v>1532367826</v>
      </c>
      <c r="K125" s="621">
        <f t="shared" si="135"/>
        <v>248661077</v>
      </c>
      <c r="L125" s="622">
        <f t="shared" si="135"/>
        <v>1781028903</v>
      </c>
      <c r="M125" s="620">
        <f t="shared" si="135"/>
        <v>1528891906</v>
      </c>
      <c r="N125" s="622">
        <f t="shared" si="135"/>
        <v>1908995292</v>
      </c>
      <c r="P125" s="605">
        <f>P123+P121</f>
        <v>0</v>
      </c>
      <c r="Q125" s="606">
        <f>Q123+Q121</f>
        <v>0</v>
      </c>
      <c r="R125" s="10"/>
      <c r="S125" s="155" t="str">
        <f>+IF(MAYO!S125=0,"",MAYO!S125)</f>
        <v>2010200-2</v>
      </c>
      <c r="T125" s="159" t="str">
        <f>+IF(MAYO!T125=0,"",MAYO!T125)</f>
        <v>Impresos y Publicaciones</v>
      </c>
      <c r="U125" s="29">
        <f>+ENERO!U125</f>
        <v>10257367</v>
      </c>
      <c r="V125" s="17">
        <f>MAYO!V125+JUNIO!AL125</f>
        <v>0</v>
      </c>
      <c r="W125" s="17">
        <f>MAYO!W125+JUNIO!AM125</f>
        <v>0</v>
      </c>
      <c r="X125" s="20">
        <f t="shared" si="128"/>
        <v>10257367</v>
      </c>
      <c r="Y125" s="21">
        <f>MAYO!AA125</f>
        <v>2723390</v>
      </c>
      <c r="Z125" s="457">
        <v>410798</v>
      </c>
      <c r="AA125" s="20">
        <f t="shared" si="129"/>
        <v>3134188</v>
      </c>
      <c r="AB125" s="21">
        <f>MAYO!AD125</f>
        <v>2723390</v>
      </c>
      <c r="AC125" s="457">
        <v>410798</v>
      </c>
      <c r="AD125" s="20">
        <f t="shared" si="130"/>
        <v>3134188</v>
      </c>
      <c r="AE125" s="21">
        <f>MAYO!AG125</f>
        <v>1158550</v>
      </c>
      <c r="AF125" s="457">
        <v>0</v>
      </c>
      <c r="AG125" s="20">
        <f t="shared" si="131"/>
        <v>1158550</v>
      </c>
      <c r="AH125" s="21">
        <f t="shared" si="132"/>
        <v>7123179</v>
      </c>
      <c r="AI125" s="17">
        <f t="shared" si="133"/>
        <v>7123179</v>
      </c>
      <c r="AJ125" s="18">
        <f t="shared" si="134"/>
        <v>9098817</v>
      </c>
      <c r="AK125" s="10"/>
      <c r="AL125" s="455">
        <v>0</v>
      </c>
      <c r="AM125" s="458">
        <v>0</v>
      </c>
      <c r="AN125" s="10"/>
      <c r="AO125" s="365"/>
      <c r="AP125" s="365"/>
      <c r="AQ125" s="365"/>
      <c r="AR125" s="365"/>
      <c r="AS125" s="365"/>
      <c r="AT125" s="365"/>
      <c r="AU125" s="365"/>
      <c r="AV125" s="365"/>
      <c r="AW125" s="365"/>
      <c r="AX125" s="365"/>
      <c r="AY125" s="365"/>
      <c r="AZ125" s="365"/>
    </row>
    <row r="126" spans="1:52" s="467" customFormat="1" x14ac:dyDescent="0.2">
      <c r="A126" s="623"/>
      <c r="N126" s="10"/>
      <c r="R126" s="10"/>
      <c r="S126" s="155" t="str">
        <f>+IF(MAYO!S126=0,"",MAYO!S126)</f>
        <v>2010200-3</v>
      </c>
      <c r="T126" s="159" t="str">
        <f>+IF(MAYO!T126=0,"",MAYO!T126)</f>
        <v xml:space="preserve">Servicios Públicos </v>
      </c>
      <c r="U126" s="29">
        <f>+ENERO!U126</f>
        <v>49280460</v>
      </c>
      <c r="V126" s="17">
        <f>MAYO!V126+JUNIO!AL126</f>
        <v>0</v>
      </c>
      <c r="W126" s="17">
        <f>MAYO!W126+JUNIO!AM126</f>
        <v>0</v>
      </c>
      <c r="X126" s="20">
        <f t="shared" si="128"/>
        <v>49280460</v>
      </c>
      <c r="Y126" s="21">
        <f>MAYO!AA126</f>
        <v>22216842</v>
      </c>
      <c r="Z126" s="457">
        <v>4437287</v>
      </c>
      <c r="AA126" s="20">
        <f t="shared" si="129"/>
        <v>26654129</v>
      </c>
      <c r="AB126" s="21">
        <f>MAYO!AD126</f>
        <v>22216842</v>
      </c>
      <c r="AC126" s="457">
        <v>4437287</v>
      </c>
      <c r="AD126" s="20">
        <f t="shared" si="130"/>
        <v>26654129</v>
      </c>
      <c r="AE126" s="21">
        <f>MAYO!AG126</f>
        <v>21506668</v>
      </c>
      <c r="AF126" s="457">
        <v>2619227</v>
      </c>
      <c r="AG126" s="20">
        <f t="shared" si="131"/>
        <v>24125895</v>
      </c>
      <c r="AH126" s="21">
        <f t="shared" si="132"/>
        <v>22626331</v>
      </c>
      <c r="AI126" s="17">
        <f t="shared" si="133"/>
        <v>22626331</v>
      </c>
      <c r="AJ126" s="18">
        <f t="shared" si="134"/>
        <v>25154565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x14ac:dyDescent="0.2">
      <c r="A127" s="623"/>
      <c r="D127" s="562"/>
      <c r="N127" s="10"/>
      <c r="R127" s="10"/>
      <c r="S127" s="155" t="str">
        <f>+IF(MAYO!S127=0,"",MAYO!S127)</f>
        <v>2010200-4</v>
      </c>
      <c r="T127" s="159" t="str">
        <f>+IF(MAYO!T127=0,"",MAYO!T127)</f>
        <v>Comunicaciones y Transportes</v>
      </c>
      <c r="U127" s="29">
        <f>+ENERO!U127</f>
        <v>8570980</v>
      </c>
      <c r="V127" s="17">
        <f>MAYO!V127+JUNIO!AL127</f>
        <v>0</v>
      </c>
      <c r="W127" s="17">
        <f>MAYO!W127+JUNIO!AM127</f>
        <v>0</v>
      </c>
      <c r="X127" s="20">
        <f t="shared" si="128"/>
        <v>8570980</v>
      </c>
      <c r="Y127" s="21">
        <f>MAYO!AA127</f>
        <v>747000</v>
      </c>
      <c r="Z127" s="457">
        <v>627608</v>
      </c>
      <c r="AA127" s="20">
        <f t="shared" si="129"/>
        <v>1374608</v>
      </c>
      <c r="AB127" s="21">
        <f>MAYO!AD127</f>
        <v>747000</v>
      </c>
      <c r="AC127" s="457">
        <v>627608</v>
      </c>
      <c r="AD127" s="20">
        <f t="shared" si="130"/>
        <v>1374608</v>
      </c>
      <c r="AE127" s="21">
        <f>MAYO!AG127</f>
        <v>52000</v>
      </c>
      <c r="AF127" s="457">
        <v>627608</v>
      </c>
      <c r="AG127" s="20">
        <f t="shared" si="131"/>
        <v>679608</v>
      </c>
      <c r="AH127" s="21">
        <f t="shared" si="132"/>
        <v>7196372</v>
      </c>
      <c r="AI127" s="17">
        <f t="shared" si="133"/>
        <v>7196372</v>
      </c>
      <c r="AJ127" s="18">
        <f t="shared" si="134"/>
        <v>7891372</v>
      </c>
      <c r="AK127" s="10"/>
      <c r="AL127" s="455">
        <v>0</v>
      </c>
      <c r="AM127" s="458">
        <v>0</v>
      </c>
      <c r="AN127" s="10"/>
      <c r="AO127" s="365"/>
      <c r="AP127" s="365"/>
      <c r="AQ127" s="365"/>
      <c r="AR127" s="365"/>
      <c r="AS127" s="365"/>
      <c r="AT127" s="365"/>
      <c r="AU127" s="365"/>
      <c r="AV127" s="365"/>
      <c r="AW127" s="365"/>
      <c r="AX127" s="365"/>
      <c r="AY127" s="365"/>
      <c r="AZ127" s="365"/>
    </row>
    <row r="128" spans="1:52" s="467" customFormat="1" x14ac:dyDescent="0.2">
      <c r="A128" s="623"/>
      <c r="N128" s="10"/>
      <c r="R128" s="10"/>
      <c r="S128" s="155" t="str">
        <f>+IF(MAYO!S128=0,"",MAYO!S128)</f>
        <v>2010200-5</v>
      </c>
      <c r="T128" s="159" t="str">
        <f>+IF(MAYO!T128=0,"",MAYO!T128)</f>
        <v>Viáticos y Gastos de Viaje</v>
      </c>
      <c r="U128" s="29">
        <f>+ENERO!U128</f>
        <v>4306574</v>
      </c>
      <c r="V128" s="17">
        <f>MAYO!V128+JUNIO!AL128</f>
        <v>0</v>
      </c>
      <c r="W128" s="17">
        <f>MAYO!W128+JUNIO!AM128</f>
        <v>0</v>
      </c>
      <c r="X128" s="20">
        <f t="shared" si="128"/>
        <v>4306574</v>
      </c>
      <c r="Y128" s="21">
        <f>MAYO!AA128</f>
        <v>548240</v>
      </c>
      <c r="Z128" s="457">
        <v>36960</v>
      </c>
      <c r="AA128" s="20">
        <f t="shared" si="129"/>
        <v>585200</v>
      </c>
      <c r="AB128" s="21">
        <f>MAYO!AD128</f>
        <v>548240</v>
      </c>
      <c r="AC128" s="457">
        <v>36960</v>
      </c>
      <c r="AD128" s="20">
        <f t="shared" si="130"/>
        <v>585200</v>
      </c>
      <c r="AE128" s="21">
        <f>MAYO!AG128</f>
        <v>548240</v>
      </c>
      <c r="AF128" s="457">
        <v>36960</v>
      </c>
      <c r="AG128" s="20">
        <f t="shared" si="131"/>
        <v>585200</v>
      </c>
      <c r="AH128" s="21">
        <f t="shared" si="132"/>
        <v>3721374</v>
      </c>
      <c r="AI128" s="17">
        <f t="shared" si="133"/>
        <v>3721374</v>
      </c>
      <c r="AJ128" s="18">
        <f t="shared" si="134"/>
        <v>3721374</v>
      </c>
      <c r="AK128" s="10"/>
      <c r="AL128" s="455">
        <v>0</v>
      </c>
      <c r="AM128" s="458">
        <v>0</v>
      </c>
      <c r="AN128" s="10"/>
      <c r="AO128" s="365"/>
      <c r="AP128" s="365"/>
      <c r="AQ128" s="365"/>
      <c r="AR128" s="365"/>
      <c r="AS128" s="365"/>
      <c r="AT128" s="365"/>
      <c r="AU128" s="365"/>
      <c r="AV128" s="365"/>
      <c r="AW128" s="365"/>
      <c r="AX128" s="365"/>
      <c r="AY128" s="365"/>
      <c r="AZ128" s="365"/>
    </row>
    <row r="129" spans="1:52" s="467" customFormat="1" x14ac:dyDescent="0.2">
      <c r="A129" s="623"/>
      <c r="N129" s="10"/>
      <c r="R129" s="10"/>
      <c r="S129" s="155" t="str">
        <f>+IF(MAYO!S129=0,"",MAYO!S129)</f>
        <v>2010200-6</v>
      </c>
      <c r="T129" s="159" t="str">
        <f>+IF(MAYO!T129=0,"",MAYO!T129)</f>
        <v>Arrendamientos</v>
      </c>
      <c r="U129" s="29">
        <f>+ENERO!U129</f>
        <v>0</v>
      </c>
      <c r="V129" s="17">
        <f>MAYO!V129+JUNIO!AL129</f>
        <v>0</v>
      </c>
      <c r="W129" s="17">
        <f>MAYO!W129+JUNIO!AM129</f>
        <v>0</v>
      </c>
      <c r="X129" s="20">
        <f t="shared" si="128"/>
        <v>0</v>
      </c>
      <c r="Y129" s="21">
        <f>MAYO!AA129</f>
        <v>0</v>
      </c>
      <c r="Z129" s="457">
        <v>0</v>
      </c>
      <c r="AA129" s="20">
        <f t="shared" si="129"/>
        <v>0</v>
      </c>
      <c r="AB129" s="21">
        <f>MAYO!AD129</f>
        <v>0</v>
      </c>
      <c r="AC129" s="457">
        <v>0</v>
      </c>
      <c r="AD129" s="20">
        <f t="shared" si="130"/>
        <v>0</v>
      </c>
      <c r="AE129" s="21">
        <f>MAYO!AG129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x14ac:dyDescent="0.2">
      <c r="A130" s="623"/>
      <c r="N130" s="10"/>
      <c r="R130" s="10"/>
      <c r="S130" s="155" t="str">
        <f>+IF(MAYO!S130=0,"",MAYO!S130)</f>
        <v>2010200-7</v>
      </c>
      <c r="T130" s="159" t="str">
        <f>+IF(MAYO!T130=0,"",MAYO!T130)</f>
        <v>Vigilancia y Aseo</v>
      </c>
      <c r="U130" s="29">
        <f>+ENERO!U130</f>
        <v>0</v>
      </c>
      <c r="V130" s="17">
        <f>MAYO!V130+JUNIO!AL130</f>
        <v>0</v>
      </c>
      <c r="W130" s="17">
        <f>MAYO!W130+JUNIO!AM130</f>
        <v>0</v>
      </c>
      <c r="X130" s="20">
        <f t="shared" si="128"/>
        <v>0</v>
      </c>
      <c r="Y130" s="21">
        <f>MAYO!AA130</f>
        <v>0</v>
      </c>
      <c r="Z130" s="457">
        <v>0</v>
      </c>
      <c r="AA130" s="20">
        <f t="shared" si="129"/>
        <v>0</v>
      </c>
      <c r="AB130" s="21">
        <f>MAYO!AD130</f>
        <v>0</v>
      </c>
      <c r="AC130" s="457">
        <v>0</v>
      </c>
      <c r="AD130" s="20">
        <f t="shared" si="130"/>
        <v>0</v>
      </c>
      <c r="AE130" s="21">
        <f>MAYO!AG130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x14ac:dyDescent="0.2">
      <c r="A131" s="623"/>
      <c r="N131" s="10"/>
      <c r="R131" s="10"/>
      <c r="S131" s="155" t="str">
        <f>+IF(MAYO!S131=0,"",MAYO!S131)</f>
        <v>2010200-8</v>
      </c>
      <c r="T131" s="159" t="str">
        <f>+IF(MAYO!T131=0,"",MAYO!T131)</f>
        <v>Bienestar Social</v>
      </c>
      <c r="U131" s="29">
        <f>+ENERO!U131</f>
        <v>6347410</v>
      </c>
      <c r="V131" s="17">
        <f>MAYO!V131+JUNIO!AL131</f>
        <v>0</v>
      </c>
      <c r="W131" s="17">
        <f>MAYO!W131+JUNIO!AM131</f>
        <v>0</v>
      </c>
      <c r="X131" s="20">
        <f t="shared" si="128"/>
        <v>6347410</v>
      </c>
      <c r="Y131" s="21">
        <f>MAYO!AA131</f>
        <v>0</v>
      </c>
      <c r="Z131" s="457">
        <v>0</v>
      </c>
      <c r="AA131" s="20">
        <f t="shared" si="129"/>
        <v>0</v>
      </c>
      <c r="AB131" s="21">
        <f>MAYO!AD131</f>
        <v>0</v>
      </c>
      <c r="AC131" s="457">
        <v>0</v>
      </c>
      <c r="AD131" s="20">
        <f t="shared" si="130"/>
        <v>0</v>
      </c>
      <c r="AE131" s="21">
        <f>MAYO!AG131</f>
        <v>0</v>
      </c>
      <c r="AF131" s="457">
        <v>0</v>
      </c>
      <c r="AG131" s="20">
        <f t="shared" si="131"/>
        <v>0</v>
      </c>
      <c r="AH131" s="21">
        <f t="shared" si="132"/>
        <v>6347410</v>
      </c>
      <c r="AI131" s="17">
        <f t="shared" si="133"/>
        <v>6347410</v>
      </c>
      <c r="AJ131" s="18">
        <f t="shared" si="134"/>
        <v>6347410</v>
      </c>
      <c r="AK131" s="10"/>
      <c r="AL131" s="455">
        <v>0</v>
      </c>
      <c r="AM131" s="458">
        <v>0</v>
      </c>
      <c r="AN131" s="10"/>
      <c r="AO131" s="365"/>
      <c r="AP131" s="365"/>
      <c r="AQ131" s="365"/>
      <c r="AR131" s="365"/>
      <c r="AS131" s="365"/>
      <c r="AT131" s="365"/>
      <c r="AU131" s="365"/>
      <c r="AV131" s="365"/>
      <c r="AW131" s="365"/>
      <c r="AX131" s="365"/>
      <c r="AY131" s="365"/>
      <c r="AZ131" s="365"/>
    </row>
    <row r="132" spans="1:52" s="467" customFormat="1" x14ac:dyDescent="0.2">
      <c r="A132" s="623"/>
      <c r="N132" s="10"/>
      <c r="R132" s="10"/>
      <c r="S132" s="155" t="str">
        <f>+IF(MAYO!S132=0,"",MAYO!S132)</f>
        <v>2010200-9</v>
      </c>
      <c r="T132" s="159" t="str">
        <f>+IF(MAYO!T132=0,"",MAYO!T132)</f>
        <v>Capacitación, estimulos, incentivos, programa de calidad</v>
      </c>
      <c r="U132" s="29">
        <f>+ENERO!U132</f>
        <v>4142898</v>
      </c>
      <c r="V132" s="17">
        <f>MAYO!V132+JUNIO!AL132</f>
        <v>0</v>
      </c>
      <c r="W132" s="17">
        <f>MAYO!W132+JUNIO!AM132</f>
        <v>0</v>
      </c>
      <c r="X132" s="20">
        <f t="shared" si="128"/>
        <v>4142898</v>
      </c>
      <c r="Y132" s="21">
        <f>MAYO!AA132</f>
        <v>1293400</v>
      </c>
      <c r="Z132" s="457">
        <v>990000</v>
      </c>
      <c r="AA132" s="20">
        <f t="shared" si="129"/>
        <v>2283400</v>
      </c>
      <c r="AB132" s="21">
        <f>MAYO!AD132</f>
        <v>1293400</v>
      </c>
      <c r="AC132" s="457">
        <v>990000</v>
      </c>
      <c r="AD132" s="20">
        <f t="shared" si="130"/>
        <v>2283400</v>
      </c>
      <c r="AE132" s="21">
        <f>MAYO!AG132</f>
        <v>545200</v>
      </c>
      <c r="AF132" s="457">
        <v>990000</v>
      </c>
      <c r="AG132" s="20">
        <f t="shared" si="131"/>
        <v>1535200</v>
      </c>
      <c r="AH132" s="21">
        <f t="shared" si="132"/>
        <v>1859498</v>
      </c>
      <c r="AI132" s="17">
        <f t="shared" si="133"/>
        <v>1859498</v>
      </c>
      <c r="AJ132" s="18">
        <f t="shared" si="134"/>
        <v>2607698</v>
      </c>
      <c r="AK132" s="10"/>
      <c r="AL132" s="455">
        <v>0</v>
      </c>
      <c r="AM132" s="458">
        <v>0</v>
      </c>
      <c r="AN132" s="10"/>
      <c r="AO132" s="365"/>
      <c r="AP132" s="365"/>
      <c r="AQ132" s="365"/>
      <c r="AR132" s="365"/>
      <c r="AS132" s="365"/>
      <c r="AT132" s="365"/>
      <c r="AU132" s="365"/>
      <c r="AV132" s="365"/>
      <c r="AW132" s="365"/>
      <c r="AX132" s="365"/>
      <c r="AY132" s="365"/>
      <c r="AZ132" s="365"/>
    </row>
    <row r="133" spans="1:52" s="467" customFormat="1" x14ac:dyDescent="0.2">
      <c r="A133" s="623"/>
      <c r="N133" s="10"/>
      <c r="R133" s="10"/>
      <c r="S133" s="155" t="str">
        <f>+IF(MAYO!S133=0,"",MAYO!S133)</f>
        <v>2010200-10</v>
      </c>
      <c r="T133" s="159" t="str">
        <f>+IF(MAYO!T133=0,"",MAYO!T133)</f>
        <v>Pagos otras IPS</v>
      </c>
      <c r="U133" s="29">
        <f>+ENERO!U133</f>
        <v>0</v>
      </c>
      <c r="V133" s="17">
        <f>MAYO!V133+JUNIO!AL133</f>
        <v>0</v>
      </c>
      <c r="W133" s="17">
        <f>MAYO!W133+JUNIO!AM133</f>
        <v>0</v>
      </c>
      <c r="X133" s="20">
        <f t="shared" si="128"/>
        <v>0</v>
      </c>
      <c r="Y133" s="21">
        <f>MAYO!AA133</f>
        <v>0</v>
      </c>
      <c r="Z133" s="457">
        <v>0</v>
      </c>
      <c r="AA133" s="20">
        <f t="shared" si="129"/>
        <v>0</v>
      </c>
      <c r="AB133" s="21">
        <f>MAYO!AD133</f>
        <v>0</v>
      </c>
      <c r="AC133" s="457">
        <v>0</v>
      </c>
      <c r="AD133" s="20">
        <f t="shared" si="130"/>
        <v>0</v>
      </c>
      <c r="AE133" s="21">
        <f>MAYO!AG133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x14ac:dyDescent="0.2">
      <c r="A134" s="623"/>
      <c r="N134" s="10"/>
      <c r="R134" s="10"/>
      <c r="S134" s="155" t="str">
        <f>+IF(MAYO!S134=0,"",MAYO!S134)</f>
        <v>2010200-11</v>
      </c>
      <c r="T134" s="159" t="str">
        <f>+IF(MAYO!T134=0,"",MAYO!T134)</f>
        <v>Gastos financieros</v>
      </c>
      <c r="U134" s="29">
        <f>+ENERO!U134</f>
        <v>3294188</v>
      </c>
      <c r="V134" s="17">
        <f>MAYO!V134+JUNIO!AL134</f>
        <v>0</v>
      </c>
      <c r="W134" s="17">
        <f>MAYO!W134+JUNIO!AM134</f>
        <v>0</v>
      </c>
      <c r="X134" s="20">
        <f t="shared" si="128"/>
        <v>3294188</v>
      </c>
      <c r="Y134" s="21">
        <f>MAYO!AA134</f>
        <v>1228149</v>
      </c>
      <c r="Z134" s="457">
        <v>185440</v>
      </c>
      <c r="AA134" s="20">
        <f t="shared" si="129"/>
        <v>1413589</v>
      </c>
      <c r="AB134" s="21">
        <f>MAYO!AD134</f>
        <v>1228149</v>
      </c>
      <c r="AC134" s="457">
        <v>185440</v>
      </c>
      <c r="AD134" s="20">
        <f t="shared" si="130"/>
        <v>1413589</v>
      </c>
      <c r="AE134" s="21">
        <f>MAYO!AG134</f>
        <v>1228149</v>
      </c>
      <c r="AF134" s="457">
        <v>185440</v>
      </c>
      <c r="AG134" s="20">
        <f t="shared" si="131"/>
        <v>1413589</v>
      </c>
      <c r="AH134" s="21">
        <f t="shared" si="132"/>
        <v>1880599</v>
      </c>
      <c r="AI134" s="17">
        <f t="shared" si="133"/>
        <v>1880599</v>
      </c>
      <c r="AJ134" s="18">
        <f t="shared" si="134"/>
        <v>1880599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x14ac:dyDescent="0.2">
      <c r="A135" s="623"/>
      <c r="N135" s="10"/>
      <c r="R135" s="10"/>
      <c r="S135" s="155" t="str">
        <f>+IF(MAYO!S135=0,"",MAYO!S135)</f>
        <v>2010200-12</v>
      </c>
      <c r="T135" s="159" t="str">
        <f>+IF(MAYO!T135=0,"",MAYO!T135)</f>
        <v/>
      </c>
      <c r="U135" s="29">
        <f>+ENERO!U135</f>
        <v>0</v>
      </c>
      <c r="V135" s="17">
        <f>MAYO!V135+JUNIO!AL135</f>
        <v>0</v>
      </c>
      <c r="W135" s="17">
        <f>MAYO!W135+JUNIO!AM135</f>
        <v>0</v>
      </c>
      <c r="X135" s="20">
        <f t="shared" si="128"/>
        <v>0</v>
      </c>
      <c r="Y135" s="21">
        <f>MAYO!AA135</f>
        <v>0</v>
      </c>
      <c r="Z135" s="457">
        <v>0</v>
      </c>
      <c r="AA135" s="20">
        <f t="shared" si="129"/>
        <v>0</v>
      </c>
      <c r="AB135" s="21">
        <f>MAYO!AD135</f>
        <v>0</v>
      </c>
      <c r="AC135" s="457">
        <v>0</v>
      </c>
      <c r="AD135" s="20">
        <f t="shared" si="130"/>
        <v>0</v>
      </c>
      <c r="AE135" s="21">
        <f>MAYO!AG135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x14ac:dyDescent="0.2">
      <c r="A136" s="623"/>
      <c r="N136" s="10"/>
      <c r="R136" s="10"/>
      <c r="S136" s="155" t="str">
        <f>+IF(MAYO!S136=0,"",MAYO!S136)</f>
        <v>2010200-13</v>
      </c>
      <c r="T136" s="159" t="str">
        <f>+IF(MAYO!T136=0,"",MAYO!T136)</f>
        <v/>
      </c>
      <c r="U136" s="29">
        <f>+ENERO!U136</f>
        <v>0</v>
      </c>
      <c r="V136" s="17">
        <f>MAYO!V136+JUNIO!AL136</f>
        <v>0</v>
      </c>
      <c r="W136" s="17">
        <f>MAYO!W136+JUNIO!AM136</f>
        <v>0</v>
      </c>
      <c r="X136" s="20">
        <f t="shared" si="128"/>
        <v>0</v>
      </c>
      <c r="Y136" s="21">
        <f>MAYO!AA136</f>
        <v>0</v>
      </c>
      <c r="Z136" s="457">
        <v>0</v>
      </c>
      <c r="AA136" s="20">
        <f t="shared" si="129"/>
        <v>0</v>
      </c>
      <c r="AB136" s="21">
        <f>MAYO!AD136</f>
        <v>0</v>
      </c>
      <c r="AC136" s="457">
        <v>0</v>
      </c>
      <c r="AD136" s="20">
        <f t="shared" si="130"/>
        <v>0</v>
      </c>
      <c r="AE136" s="21">
        <f>MAYO!AG136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x14ac:dyDescent="0.2">
      <c r="A137" s="623"/>
      <c r="N137" s="10"/>
      <c r="R137" s="10"/>
      <c r="S137" s="155" t="str">
        <f>+IF(MAYO!S137=0,"",MAYO!S137)</f>
        <v>2010020-14</v>
      </c>
      <c r="T137" s="159" t="str">
        <f>+IF(MAYO!T137=0,"",MAYO!T137)</f>
        <v/>
      </c>
      <c r="U137" s="29">
        <f>+ENERO!U137</f>
        <v>0</v>
      </c>
      <c r="V137" s="17">
        <f>MAYO!V137+JUNIO!AL137</f>
        <v>0</v>
      </c>
      <c r="W137" s="17">
        <f>MAYO!W137+JUNIO!AM137</f>
        <v>0</v>
      </c>
      <c r="X137" s="20">
        <f t="shared" si="128"/>
        <v>0</v>
      </c>
      <c r="Y137" s="21">
        <f>MAYO!AA137</f>
        <v>0</v>
      </c>
      <c r="Z137" s="457">
        <v>0</v>
      </c>
      <c r="AA137" s="20">
        <f t="shared" si="129"/>
        <v>0</v>
      </c>
      <c r="AB137" s="21">
        <f>MAYO!AD137</f>
        <v>0</v>
      </c>
      <c r="AC137" s="457">
        <v>0</v>
      </c>
      <c r="AD137" s="20">
        <f t="shared" si="130"/>
        <v>0</v>
      </c>
      <c r="AE137" s="21">
        <f>MAYO!AG137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x14ac:dyDescent="0.2">
      <c r="A138" s="623"/>
      <c r="N138" s="10"/>
      <c r="R138" s="10"/>
      <c r="S138" s="155" t="str">
        <f>+IF(MAYO!S138=0,"",MAYO!S138)</f>
        <v>2010200-15</v>
      </c>
      <c r="T138" s="159" t="str">
        <f>+IF(MAYO!T138=0,"",MAYO!T138)</f>
        <v/>
      </c>
      <c r="U138" s="29">
        <f>+ENERO!U138</f>
        <v>0</v>
      </c>
      <c r="V138" s="17">
        <f>MAYO!V138+JUNIO!AL138</f>
        <v>0</v>
      </c>
      <c r="W138" s="17">
        <f>MAYO!W138+JUNIO!AM138</f>
        <v>0</v>
      </c>
      <c r="X138" s="20">
        <f t="shared" si="128"/>
        <v>0</v>
      </c>
      <c r="Y138" s="21">
        <f>MAYO!AA138</f>
        <v>0</v>
      </c>
      <c r="Z138" s="457">
        <v>0</v>
      </c>
      <c r="AA138" s="20">
        <f t="shared" si="129"/>
        <v>0</v>
      </c>
      <c r="AB138" s="21">
        <f>MAYO!AD138</f>
        <v>0</v>
      </c>
      <c r="AC138" s="457">
        <v>0</v>
      </c>
      <c r="AD138" s="20">
        <f t="shared" si="130"/>
        <v>0</v>
      </c>
      <c r="AE138" s="21">
        <f>MAYO!AG138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x14ac:dyDescent="0.2">
      <c r="A139" s="623"/>
      <c r="N139" s="10"/>
      <c r="R139" s="10"/>
      <c r="S139" s="155">
        <f>+IF(MAYO!S139=0,"",MAYO!S139)</f>
        <v>2010299</v>
      </c>
      <c r="T139" s="159" t="str">
        <f>+IF(MAYO!T139=0,"",MAYO!T139)</f>
        <v>Vigencias Anteriores</v>
      </c>
      <c r="U139" s="29">
        <f>+ENERO!U139</f>
        <v>2000000</v>
      </c>
      <c r="V139" s="17">
        <f>MAYO!V139+JUNIO!AL139</f>
        <v>0</v>
      </c>
      <c r="W139" s="17">
        <f>MAYO!W139+JUNIO!AM139</f>
        <v>4066041</v>
      </c>
      <c r="X139" s="20">
        <f t="shared" si="128"/>
        <v>6066041</v>
      </c>
      <c r="Y139" s="21">
        <f>MAYO!AA139</f>
        <v>6066041</v>
      </c>
      <c r="Z139" s="457">
        <v>0</v>
      </c>
      <c r="AA139" s="20">
        <f t="shared" si="129"/>
        <v>6066041</v>
      </c>
      <c r="AB139" s="21">
        <f>MAYO!AD139</f>
        <v>6066041</v>
      </c>
      <c r="AC139" s="457">
        <v>0</v>
      </c>
      <c r="AD139" s="20">
        <f t="shared" si="130"/>
        <v>6066041</v>
      </c>
      <c r="AE139" s="21">
        <f>MAYO!AG139</f>
        <v>5807197</v>
      </c>
      <c r="AF139" s="457">
        <v>0</v>
      </c>
      <c r="AG139" s="20">
        <f t="shared" si="131"/>
        <v>5807197</v>
      </c>
      <c r="AH139" s="21">
        <f t="shared" si="132"/>
        <v>0</v>
      </c>
      <c r="AI139" s="17">
        <f t="shared" si="133"/>
        <v>0</v>
      </c>
      <c r="AJ139" s="18">
        <f t="shared" si="134"/>
        <v>258844</v>
      </c>
      <c r="AK139" s="10"/>
      <c r="AL139" s="455">
        <v>0</v>
      </c>
      <c r="AM139" s="458">
        <v>0</v>
      </c>
      <c r="AN139" s="10"/>
      <c r="AO139" s="365"/>
      <c r="AP139" s="365"/>
      <c r="AQ139" s="365"/>
    </row>
    <row r="140" spans="1:52" s="467" customFormat="1" ht="15.75" x14ac:dyDescent="0.2">
      <c r="A140" s="623"/>
      <c r="N140" s="10"/>
      <c r="R140" s="10"/>
      <c r="S140" s="448" t="str">
        <f>+IF(MAYO!S140=0,"",MAYO!S140)</f>
        <v/>
      </c>
      <c r="T140" s="649" t="str">
        <f>+IF(MAYO!T140=0,"",MAYO!T140)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x14ac:dyDescent="0.2">
      <c r="A141" s="623"/>
      <c r="N141" s="10"/>
      <c r="R141" s="10"/>
      <c r="S141" s="34">
        <f>+IF(MAYO!S141=0,"",MAYO!S141)</f>
        <v>2010300</v>
      </c>
      <c r="T141" s="158" t="str">
        <f>+IF(MAYO!T141=0,"",MAYO!T141)</f>
        <v>Impuestos y Multas</v>
      </c>
      <c r="U141" s="157">
        <f t="shared" ref="U141:AJ141" si="136">U142+U143</f>
        <v>0</v>
      </c>
      <c r="V141" s="144">
        <f t="shared" si="136"/>
        <v>0</v>
      </c>
      <c r="W141" s="144">
        <f t="shared" si="136"/>
        <v>1000000</v>
      </c>
      <c r="X141" s="152">
        <f t="shared" si="136"/>
        <v>1000000</v>
      </c>
      <c r="Y141" s="151">
        <f t="shared" si="136"/>
        <v>0</v>
      </c>
      <c r="Z141" s="144">
        <f t="shared" si="136"/>
        <v>0</v>
      </c>
      <c r="AA141" s="152">
        <f t="shared" si="136"/>
        <v>0</v>
      </c>
      <c r="AB141" s="151">
        <f t="shared" si="136"/>
        <v>0</v>
      </c>
      <c r="AC141" s="144">
        <f t="shared" si="136"/>
        <v>0</v>
      </c>
      <c r="AD141" s="152">
        <f t="shared" si="136"/>
        <v>0</v>
      </c>
      <c r="AE141" s="151">
        <f t="shared" si="136"/>
        <v>0</v>
      </c>
      <c r="AF141" s="144">
        <f t="shared" si="136"/>
        <v>0</v>
      </c>
      <c r="AG141" s="152">
        <f t="shared" si="136"/>
        <v>0</v>
      </c>
      <c r="AH141" s="151">
        <f t="shared" si="136"/>
        <v>1000000</v>
      </c>
      <c r="AI141" s="144">
        <f t="shared" si="136"/>
        <v>1000000</v>
      </c>
      <c r="AJ141" s="153">
        <f t="shared" si="136"/>
        <v>1000000</v>
      </c>
      <c r="AK141" s="12"/>
      <c r="AL141" s="151">
        <f>AL142+AL143</f>
        <v>0</v>
      </c>
      <c r="AM141" s="153">
        <f>AM142+AM143</f>
        <v>0</v>
      </c>
      <c r="AN141" s="10"/>
    </row>
    <row r="142" spans="1:52" s="467" customFormat="1" x14ac:dyDescent="0.2">
      <c r="A142" s="623"/>
      <c r="N142" s="10"/>
      <c r="R142" s="10"/>
      <c r="S142" s="155" t="str">
        <f>+IF(MAYO!S142=0,"",MAYO!S142)</f>
        <v>2010300-1</v>
      </c>
      <c r="T142" s="159" t="str">
        <f>+IF(MAYO!T142=0,"",MAYO!T142)</f>
        <v>Impuestos (Predial, Vehiculos, Otros)</v>
      </c>
      <c r="U142" s="29">
        <f>+ENERO!U142</f>
        <v>0</v>
      </c>
      <c r="V142" s="17">
        <f>MAYO!V142+JUNIO!AL142</f>
        <v>0</v>
      </c>
      <c r="W142" s="17">
        <f>MAYO!W142+JUNIO!AM142</f>
        <v>1000000</v>
      </c>
      <c r="X142" s="20">
        <f>SUM(U142:W142)</f>
        <v>1000000</v>
      </c>
      <c r="Y142" s="21">
        <f>MAYO!AA142</f>
        <v>0</v>
      </c>
      <c r="Z142" s="457">
        <v>0</v>
      </c>
      <c r="AA142" s="20">
        <f>SUM(Y142:Z142)</f>
        <v>0</v>
      </c>
      <c r="AB142" s="21">
        <f>MAYO!AD142</f>
        <v>0</v>
      </c>
      <c r="AC142" s="457">
        <v>0</v>
      </c>
      <c r="AD142" s="20">
        <f>SUM(AB142:AC142)</f>
        <v>0</v>
      </c>
      <c r="AE142" s="21">
        <f>MAYO!AG142</f>
        <v>0</v>
      </c>
      <c r="AF142" s="457">
        <v>0</v>
      </c>
      <c r="AG142" s="20">
        <f>SUM(AE142:AF142)</f>
        <v>0</v>
      </c>
      <c r="AH142" s="21">
        <f>X142-AA142</f>
        <v>1000000</v>
      </c>
      <c r="AI142" s="17">
        <f>X142-AD142</f>
        <v>1000000</v>
      </c>
      <c r="AJ142" s="18">
        <f>X142-AG142</f>
        <v>1000000</v>
      </c>
      <c r="AK142" s="10"/>
      <c r="AL142" s="455">
        <v>0</v>
      </c>
      <c r="AM142" s="458">
        <v>0</v>
      </c>
      <c r="AN142" s="10"/>
    </row>
    <row r="143" spans="1:52" s="467" customFormat="1" x14ac:dyDescent="0.2">
      <c r="A143" s="623"/>
      <c r="N143" s="10"/>
      <c r="R143" s="10"/>
      <c r="S143" s="155">
        <f>+IF(MAYO!S143=0,"",MAYO!S143)</f>
        <v>2010399</v>
      </c>
      <c r="T143" s="159" t="str">
        <f>+IF(MAYO!T143=0,"",MAYO!T143)</f>
        <v>Vigencias Anteriores</v>
      </c>
      <c r="U143" s="29">
        <f>+ENERO!U143</f>
        <v>0</v>
      </c>
      <c r="V143" s="17">
        <f>MAYO!V143+JUNIO!AL143</f>
        <v>0</v>
      </c>
      <c r="W143" s="17">
        <f>MAYO!W143+JUNIO!AM143</f>
        <v>0</v>
      </c>
      <c r="X143" s="20">
        <f>SUM(U143:W143)</f>
        <v>0</v>
      </c>
      <c r="Y143" s="21">
        <f>MAYO!AA143</f>
        <v>0</v>
      </c>
      <c r="Z143" s="457">
        <v>0</v>
      </c>
      <c r="AA143" s="20">
        <f>SUM(Y143:Z143)</f>
        <v>0</v>
      </c>
      <c r="AB143" s="21">
        <f>MAYO!AD143</f>
        <v>0</v>
      </c>
      <c r="AC143" s="457">
        <v>0</v>
      </c>
      <c r="AD143" s="20">
        <f>SUM(AB143:AC143)</f>
        <v>0</v>
      </c>
      <c r="AE143" s="21">
        <f>MAYO!AG143</f>
        <v>0</v>
      </c>
      <c r="AF143" s="457">
        <v>0</v>
      </c>
      <c r="AG143" s="20">
        <f>SUM(AE143:AF143)</f>
        <v>0</v>
      </c>
      <c r="AH143" s="21">
        <f>X143-AA143</f>
        <v>0</v>
      </c>
      <c r="AI143" s="17">
        <f>X143-AD143</f>
        <v>0</v>
      </c>
      <c r="AJ143" s="18">
        <f>X143-AG143</f>
        <v>0</v>
      </c>
      <c r="AK143" s="10"/>
      <c r="AL143" s="455">
        <v>0</v>
      </c>
      <c r="AM143" s="458">
        <v>0</v>
      </c>
      <c r="AN143" s="10"/>
    </row>
    <row r="144" spans="1:52" s="467" customFormat="1" ht="15.75" x14ac:dyDescent="0.2">
      <c r="A144" s="623"/>
      <c r="N144" s="10"/>
      <c r="R144" s="10"/>
      <c r="S144" s="448" t="str">
        <f>+IF(MAYO!S144=0,"",MAYO!S144)</f>
        <v/>
      </c>
      <c r="T144" s="649" t="str">
        <f>+IF(MAYO!T144=0,"",MAYO!T144)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x14ac:dyDescent="0.2">
      <c r="A145" s="623"/>
      <c r="N145" s="10"/>
      <c r="R145" s="10"/>
      <c r="S145" s="469">
        <f>+IF(MAYO!S145=0,"",MAYO!S145)</f>
        <v>2020010</v>
      </c>
      <c r="T145" s="470" t="str">
        <f>+IF(MAYO!T145=0,"",MAYO!T145)</f>
        <v>Gastos de Operación</v>
      </c>
      <c r="U145" s="157">
        <f t="shared" ref="U145:AJ145" si="137">U147+U155</f>
        <v>378163463</v>
      </c>
      <c r="V145" s="144">
        <f t="shared" si="137"/>
        <v>-746499</v>
      </c>
      <c r="W145" s="144">
        <f t="shared" si="137"/>
        <v>14287532</v>
      </c>
      <c r="X145" s="152">
        <f t="shared" si="137"/>
        <v>391704496</v>
      </c>
      <c r="Y145" s="151">
        <f t="shared" si="137"/>
        <v>156886529</v>
      </c>
      <c r="Z145" s="144">
        <f t="shared" si="137"/>
        <v>44918524</v>
      </c>
      <c r="AA145" s="152">
        <f t="shared" si="137"/>
        <v>201805053</v>
      </c>
      <c r="AB145" s="151">
        <f t="shared" si="137"/>
        <v>156886529</v>
      </c>
      <c r="AC145" s="144">
        <f t="shared" si="137"/>
        <v>44918524</v>
      </c>
      <c r="AD145" s="152">
        <f t="shared" si="137"/>
        <v>201805053</v>
      </c>
      <c r="AE145" s="151">
        <f t="shared" si="137"/>
        <v>107924742</v>
      </c>
      <c r="AF145" s="144">
        <f t="shared" si="137"/>
        <v>33107150</v>
      </c>
      <c r="AG145" s="152">
        <f t="shared" si="137"/>
        <v>141031892</v>
      </c>
      <c r="AH145" s="151">
        <f t="shared" si="137"/>
        <v>189899443</v>
      </c>
      <c r="AI145" s="144">
        <f t="shared" si="137"/>
        <v>189899443</v>
      </c>
      <c r="AJ145" s="153">
        <f t="shared" si="137"/>
        <v>250672604</v>
      </c>
      <c r="AK145" s="12"/>
      <c r="AL145" s="151">
        <f>AL147+AL155</f>
        <v>0</v>
      </c>
      <c r="AM145" s="153">
        <f>AM147+AM155</f>
        <v>0</v>
      </c>
      <c r="AN145" s="10"/>
    </row>
    <row r="146" spans="1:40" s="467" customFormat="1" x14ac:dyDescent="0.2">
      <c r="A146" s="623"/>
      <c r="N146" s="10"/>
      <c r="R146" s="10"/>
      <c r="S146" s="11" t="str">
        <f>+IF(MAYO!S146=0,"",MAYO!S146)</f>
        <v/>
      </c>
      <c r="T146" s="55" t="str">
        <f>+IF(MAYO!T146=0,"",MAYO!T146)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x14ac:dyDescent="0.2">
      <c r="A147" s="623"/>
      <c r="N147" s="10"/>
      <c r="R147" s="10"/>
      <c r="S147" s="34">
        <f>+IF(MAYO!S147=0,"",MAYO!S147)</f>
        <v>2020100</v>
      </c>
      <c r="T147" s="158" t="str">
        <f>+IF(MAYO!T147=0,"",MAYO!T147)</f>
        <v>Adquisición de bienes</v>
      </c>
      <c r="U147" s="157">
        <f t="shared" ref="U147:AJ147" si="138">SUM(U148:U149)+U153</f>
        <v>164034265</v>
      </c>
      <c r="V147" s="144">
        <f t="shared" si="138"/>
        <v>1294826</v>
      </c>
      <c r="W147" s="144">
        <f t="shared" si="138"/>
        <v>14287532</v>
      </c>
      <c r="X147" s="152">
        <f t="shared" si="138"/>
        <v>179616623</v>
      </c>
      <c r="Y147" s="151">
        <f t="shared" si="138"/>
        <v>80059578</v>
      </c>
      <c r="Z147" s="144">
        <f t="shared" si="138"/>
        <v>18056737</v>
      </c>
      <c r="AA147" s="152">
        <f t="shared" si="138"/>
        <v>98116315</v>
      </c>
      <c r="AB147" s="151">
        <f t="shared" si="138"/>
        <v>80059578</v>
      </c>
      <c r="AC147" s="144">
        <f t="shared" si="138"/>
        <v>18056737</v>
      </c>
      <c r="AD147" s="152">
        <f t="shared" si="138"/>
        <v>98116315</v>
      </c>
      <c r="AE147" s="151">
        <f t="shared" si="138"/>
        <v>53972821</v>
      </c>
      <c r="AF147" s="144">
        <f t="shared" si="138"/>
        <v>14039967</v>
      </c>
      <c r="AG147" s="152">
        <f t="shared" si="138"/>
        <v>68012788</v>
      </c>
      <c r="AH147" s="151">
        <f t="shared" si="138"/>
        <v>81500308</v>
      </c>
      <c r="AI147" s="144">
        <f t="shared" si="138"/>
        <v>81500308</v>
      </c>
      <c r="AJ147" s="153">
        <f t="shared" si="138"/>
        <v>111603835</v>
      </c>
      <c r="AK147" s="10"/>
      <c r="AL147" s="151">
        <f>SUM(AL148:AL149)+AL153</f>
        <v>0</v>
      </c>
      <c r="AM147" s="153">
        <f>SUM(AM148:AM149)+AM153</f>
        <v>0</v>
      </c>
      <c r="AN147" s="10"/>
    </row>
    <row r="148" spans="1:40" s="467" customFormat="1" x14ac:dyDescent="0.2">
      <c r="A148" s="623"/>
      <c r="N148" s="10"/>
      <c r="R148" s="10"/>
      <c r="S148" s="155">
        <f>+IF(MAYO!S148=0,"",MAYO!S148)</f>
        <v>2020101</v>
      </c>
      <c r="T148" s="159" t="str">
        <f>+IF(MAYO!T148=0,"",MAYO!T148)</f>
        <v>Mantenimiento Hospitalario</v>
      </c>
      <c r="U148" s="29">
        <f>+ENERO!U148</f>
        <v>73185858</v>
      </c>
      <c r="V148" s="17">
        <f>MAYO!V148+JUNIO!AL148</f>
        <v>0</v>
      </c>
      <c r="W148" s="17">
        <f>MAYO!W148+JUNIO!AM148</f>
        <v>0</v>
      </c>
      <c r="X148" s="20">
        <f>SUM(U148:W148)</f>
        <v>73185858</v>
      </c>
      <c r="Y148" s="21">
        <f>MAYO!AA148</f>
        <v>24545748</v>
      </c>
      <c r="Z148" s="457">
        <v>8771850</v>
      </c>
      <c r="AA148" s="20">
        <f>SUM(Y148:Z148)</f>
        <v>33317598</v>
      </c>
      <c r="AB148" s="21">
        <f>MAYO!AD148</f>
        <v>24545748</v>
      </c>
      <c r="AC148" s="457">
        <v>8771850</v>
      </c>
      <c r="AD148" s="20">
        <f>SUM(AB148:AC148)</f>
        <v>33317598</v>
      </c>
      <c r="AE148" s="21">
        <f>MAYO!AG148</f>
        <v>14698133</v>
      </c>
      <c r="AF148" s="457">
        <v>9493629</v>
      </c>
      <c r="AG148" s="20">
        <f>SUM(AE148:AF148)</f>
        <v>24191762</v>
      </c>
      <c r="AH148" s="21">
        <f>X148-AA148</f>
        <v>39868260</v>
      </c>
      <c r="AI148" s="17">
        <f>X148-AD148</f>
        <v>39868260</v>
      </c>
      <c r="AJ148" s="18">
        <f>X148-AG148</f>
        <v>48994096</v>
      </c>
      <c r="AK148" s="10"/>
      <c r="AL148" s="455">
        <v>0</v>
      </c>
      <c r="AM148" s="458">
        <v>0</v>
      </c>
      <c r="AN148" s="10"/>
    </row>
    <row r="149" spans="1:40" s="467" customFormat="1" x14ac:dyDescent="0.2">
      <c r="A149" s="623"/>
      <c r="N149" s="10"/>
      <c r="R149" s="10"/>
      <c r="S149" s="155">
        <f>+IF(MAYO!S149=0,"",MAYO!S149)</f>
        <v>2020102</v>
      </c>
      <c r="T149" s="159" t="str">
        <f>+IF(MAYO!T149=0,"",MAYO!T149)</f>
        <v>Otros</v>
      </c>
      <c r="U149" s="29">
        <f t="shared" ref="U149:AJ149" si="139">SUM(U150:U152)</f>
        <v>86848407</v>
      </c>
      <c r="V149" s="17">
        <f t="shared" si="139"/>
        <v>-3075665</v>
      </c>
      <c r="W149" s="17">
        <f t="shared" si="139"/>
        <v>5000000</v>
      </c>
      <c r="X149" s="20">
        <f t="shared" si="139"/>
        <v>88772742</v>
      </c>
      <c r="Y149" s="21">
        <f t="shared" si="139"/>
        <v>37855807</v>
      </c>
      <c r="Z149" s="169">
        <f t="shared" si="139"/>
        <v>9284887</v>
      </c>
      <c r="AA149" s="20">
        <f t="shared" si="139"/>
        <v>47140694</v>
      </c>
      <c r="AB149" s="21">
        <f t="shared" si="139"/>
        <v>37855807</v>
      </c>
      <c r="AC149" s="169">
        <f t="shared" si="139"/>
        <v>9284887</v>
      </c>
      <c r="AD149" s="20">
        <f t="shared" si="139"/>
        <v>47140694</v>
      </c>
      <c r="AE149" s="21">
        <f t="shared" si="139"/>
        <v>22433029</v>
      </c>
      <c r="AF149" s="169">
        <f t="shared" si="139"/>
        <v>4546338</v>
      </c>
      <c r="AG149" s="20">
        <f t="shared" si="139"/>
        <v>26979367</v>
      </c>
      <c r="AH149" s="21">
        <f t="shared" si="139"/>
        <v>41632048</v>
      </c>
      <c r="AI149" s="17">
        <f t="shared" si="139"/>
        <v>41632048</v>
      </c>
      <c r="AJ149" s="18">
        <f t="shared" si="139"/>
        <v>61793375</v>
      </c>
      <c r="AK149" s="10"/>
      <c r="AL149" s="31">
        <f>SUM(AL150:AL152)</f>
        <v>0</v>
      </c>
      <c r="AM149" s="28">
        <f>SUM(AM150:AM152)</f>
        <v>0</v>
      </c>
      <c r="AN149" s="10"/>
    </row>
    <row r="150" spans="1:40" s="467" customFormat="1" x14ac:dyDescent="0.2">
      <c r="A150" s="623"/>
      <c r="N150" s="10"/>
      <c r="R150" s="10"/>
      <c r="S150" s="156" t="str">
        <f>+IF(MAYO!S150=0,"",MAYO!S150)</f>
        <v>2020102-1</v>
      </c>
      <c r="T150" s="159" t="str">
        <f>+IF(MAYO!T150=0,"",MAYO!T150)</f>
        <v>Compra de Equipo e Instr. Mco. y Laborat.</v>
      </c>
      <c r="U150" s="29">
        <f>+ENERO!U150</f>
        <v>36341462</v>
      </c>
      <c r="V150" s="17">
        <f>MAYO!V150+JUNIO!AL150</f>
        <v>-3075665</v>
      </c>
      <c r="W150" s="17">
        <f>MAYO!W150+JUNIO!AM150</f>
        <v>5000000</v>
      </c>
      <c r="X150" s="20">
        <f>SUM(U150:W150)</f>
        <v>38265797</v>
      </c>
      <c r="Y150" s="21">
        <f>MAYO!AA150</f>
        <v>9322080</v>
      </c>
      <c r="Z150" s="457">
        <v>3766520</v>
      </c>
      <c r="AA150" s="20">
        <f>SUM(Y150:Z150)</f>
        <v>13088600</v>
      </c>
      <c r="AB150" s="21">
        <f>MAYO!AD150</f>
        <v>9322080</v>
      </c>
      <c r="AC150" s="457">
        <v>3766520</v>
      </c>
      <c r="AD150" s="20">
        <f>SUM(AB150:AC150)</f>
        <v>13088600</v>
      </c>
      <c r="AE150" s="21">
        <f>MAYO!AG150</f>
        <v>0</v>
      </c>
      <c r="AF150" s="457">
        <v>0</v>
      </c>
      <c r="AG150" s="20">
        <f>SUM(AE150:AF150)</f>
        <v>0</v>
      </c>
      <c r="AH150" s="21">
        <f>X150-AA150</f>
        <v>25177197</v>
      </c>
      <c r="AI150" s="17">
        <f>X150-AD150</f>
        <v>25177197</v>
      </c>
      <c r="AJ150" s="18">
        <f>X150-AG150</f>
        <v>38265797</v>
      </c>
      <c r="AK150" s="10"/>
      <c r="AL150" s="455">
        <v>0</v>
      </c>
      <c r="AM150" s="458">
        <v>0</v>
      </c>
      <c r="AN150" s="10"/>
    </row>
    <row r="151" spans="1:40" s="467" customFormat="1" x14ac:dyDescent="0.2">
      <c r="A151" s="623"/>
      <c r="N151" s="10"/>
      <c r="R151" s="10"/>
      <c r="S151" s="156" t="str">
        <f>+IF(MAYO!S151=0,"",MAYO!S151)</f>
        <v>2020102-2</v>
      </c>
      <c r="T151" s="159" t="str">
        <f>+IF(MAYO!T151=0,"",MAYO!T151)</f>
        <v>Materiales</v>
      </c>
      <c r="U151" s="29">
        <f>+ENERO!U151</f>
        <v>17885632</v>
      </c>
      <c r="V151" s="17">
        <f>MAYO!V151+JUNIO!AL151</f>
        <v>0</v>
      </c>
      <c r="W151" s="17">
        <f>MAYO!W151+JUNIO!AM151</f>
        <v>0</v>
      </c>
      <c r="X151" s="20">
        <f>SUM(U151:W151)</f>
        <v>17885632</v>
      </c>
      <c r="Y151" s="21">
        <f>MAYO!AA151</f>
        <v>9749520</v>
      </c>
      <c r="Z151" s="457">
        <v>878100</v>
      </c>
      <c r="AA151" s="20">
        <f>SUM(Y151:Z151)</f>
        <v>10627620</v>
      </c>
      <c r="AB151" s="21">
        <f>MAYO!AD151</f>
        <v>9749520</v>
      </c>
      <c r="AC151" s="457">
        <v>878100</v>
      </c>
      <c r="AD151" s="20">
        <f>SUM(AB151:AC151)</f>
        <v>10627620</v>
      </c>
      <c r="AE151" s="21">
        <f>MAYO!AG151</f>
        <v>7271478</v>
      </c>
      <c r="AF151" s="457">
        <v>923682</v>
      </c>
      <c r="AG151" s="20">
        <f>SUM(AE151:AF151)</f>
        <v>8195160</v>
      </c>
      <c r="AH151" s="21">
        <f>X151-AA151</f>
        <v>7258012</v>
      </c>
      <c r="AI151" s="17">
        <f>X151-AD151</f>
        <v>7258012</v>
      </c>
      <c r="AJ151" s="18">
        <f>X151-AG151</f>
        <v>9690472</v>
      </c>
      <c r="AK151" s="10"/>
      <c r="AL151" s="455">
        <v>0</v>
      </c>
      <c r="AM151" s="458">
        <v>0</v>
      </c>
      <c r="AN151" s="10"/>
    </row>
    <row r="152" spans="1:40" s="467" customFormat="1" x14ac:dyDescent="0.2">
      <c r="A152" s="623"/>
      <c r="N152" s="10"/>
      <c r="R152" s="10"/>
      <c r="S152" s="156" t="str">
        <f>+IF(MAYO!S152=0,"",MAYO!S152)</f>
        <v>2020102-3</v>
      </c>
      <c r="T152" s="159" t="str">
        <f>+IF(MAYO!T152=0,"",MAYO!T152)</f>
        <v>Combustible</v>
      </c>
      <c r="U152" s="29">
        <f>+ENERO!U152</f>
        <v>32621313</v>
      </c>
      <c r="V152" s="17">
        <f>MAYO!V152+JUNIO!AL152</f>
        <v>0</v>
      </c>
      <c r="W152" s="17">
        <f>MAYO!W152+JUNIO!AM152</f>
        <v>0</v>
      </c>
      <c r="X152" s="20">
        <f>SUM(U152:W152)</f>
        <v>32621313</v>
      </c>
      <c r="Y152" s="21">
        <f>MAYO!AA152</f>
        <v>18784207</v>
      </c>
      <c r="Z152" s="457">
        <v>4640267</v>
      </c>
      <c r="AA152" s="20">
        <f>SUM(Y152:Z152)</f>
        <v>23424474</v>
      </c>
      <c r="AB152" s="21">
        <f>MAYO!AD152</f>
        <v>18784207</v>
      </c>
      <c r="AC152" s="457">
        <v>4640267</v>
      </c>
      <c r="AD152" s="20">
        <f>SUM(AB152:AC152)</f>
        <v>23424474</v>
      </c>
      <c r="AE152" s="21">
        <f>MAYO!AG152</f>
        <v>15161551</v>
      </c>
      <c r="AF152" s="457">
        <v>3622656</v>
      </c>
      <c r="AG152" s="20">
        <f>SUM(AE152:AF152)</f>
        <v>18784207</v>
      </c>
      <c r="AH152" s="21">
        <f>X152-AA152</f>
        <v>9196839</v>
      </c>
      <c r="AI152" s="17">
        <f>X152-AD152</f>
        <v>9196839</v>
      </c>
      <c r="AJ152" s="18">
        <f>X152-AG152</f>
        <v>13837106</v>
      </c>
      <c r="AK152" s="10"/>
      <c r="AL152" s="455">
        <v>0</v>
      </c>
      <c r="AM152" s="458">
        <v>0</v>
      </c>
      <c r="AN152" s="10"/>
    </row>
    <row r="153" spans="1:40" s="467" customFormat="1" x14ac:dyDescent="0.2">
      <c r="A153" s="623"/>
      <c r="N153" s="10"/>
      <c r="R153" s="10"/>
      <c r="S153" s="155">
        <f>+IF(MAYO!S153=0,"",MAYO!S153)</f>
        <v>2020199</v>
      </c>
      <c r="T153" s="159" t="str">
        <f>+IF(MAYO!T153=0,"",MAYO!T153)</f>
        <v>Vigencias Anteriores</v>
      </c>
      <c r="U153" s="29">
        <f>+ENERO!U153</f>
        <v>4000000</v>
      </c>
      <c r="V153" s="17">
        <f>MAYO!V153+JUNIO!AL153</f>
        <v>4370491</v>
      </c>
      <c r="W153" s="17">
        <f>MAYO!W153+JUNIO!AM153</f>
        <v>9287532</v>
      </c>
      <c r="X153" s="20">
        <f>SUM(U153:W153)</f>
        <v>17658023</v>
      </c>
      <c r="Y153" s="21">
        <f>MAYO!AA153</f>
        <v>17658023</v>
      </c>
      <c r="Z153" s="457">
        <v>0</v>
      </c>
      <c r="AA153" s="20">
        <f>SUM(Y153:Z153)</f>
        <v>17658023</v>
      </c>
      <c r="AB153" s="21">
        <f>MAYO!AD153</f>
        <v>17658023</v>
      </c>
      <c r="AC153" s="457">
        <v>0</v>
      </c>
      <c r="AD153" s="20">
        <f>SUM(AB153:AC153)</f>
        <v>17658023</v>
      </c>
      <c r="AE153" s="21">
        <f>MAYO!AG153</f>
        <v>16841659</v>
      </c>
      <c r="AF153" s="457">
        <v>0</v>
      </c>
      <c r="AG153" s="20">
        <f>SUM(AE153:AF153)</f>
        <v>16841659</v>
      </c>
      <c r="AH153" s="21">
        <f>X153-AA153</f>
        <v>0</v>
      </c>
      <c r="AI153" s="17">
        <f>X153-AD153</f>
        <v>0</v>
      </c>
      <c r="AJ153" s="18">
        <f>X153-AG153</f>
        <v>816364</v>
      </c>
      <c r="AK153" s="10"/>
      <c r="AL153" s="455">
        <v>0</v>
      </c>
      <c r="AM153" s="458">
        <v>0</v>
      </c>
      <c r="AN153" s="10"/>
    </row>
    <row r="154" spans="1:40" s="467" customFormat="1" ht="15.75" x14ac:dyDescent="0.2">
      <c r="A154" s="623"/>
      <c r="N154" s="10"/>
      <c r="R154" s="10"/>
      <c r="S154" s="448" t="str">
        <f>+IF(MAYO!S154=0,"",MAYO!S154)</f>
        <v/>
      </c>
      <c r="T154" s="649" t="str">
        <f>+IF(MAYO!T154=0,"",MAYO!T154)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x14ac:dyDescent="0.2">
      <c r="A155" s="623"/>
      <c r="N155" s="10"/>
      <c r="R155" s="10"/>
      <c r="S155" s="34">
        <f>+IF(MAYO!S155=0,"",MAYO!S155)</f>
        <v>2020200</v>
      </c>
      <c r="T155" s="158" t="str">
        <f>+IF(MAYO!T155=0,"",MAYO!T155)</f>
        <v>Adquisición de Servicios</v>
      </c>
      <c r="U155" s="157">
        <f t="shared" ref="U155:AJ155" si="140">SUM(U156:U157)+U168</f>
        <v>214129198</v>
      </c>
      <c r="V155" s="144">
        <f t="shared" si="140"/>
        <v>-2041325</v>
      </c>
      <c r="W155" s="144">
        <f t="shared" si="140"/>
        <v>0</v>
      </c>
      <c r="X155" s="152">
        <f t="shared" si="140"/>
        <v>212087873</v>
      </c>
      <c r="Y155" s="151">
        <f t="shared" si="140"/>
        <v>76826951</v>
      </c>
      <c r="Z155" s="144">
        <f t="shared" si="140"/>
        <v>26861787</v>
      </c>
      <c r="AA155" s="152">
        <f t="shared" si="140"/>
        <v>103688738</v>
      </c>
      <c r="AB155" s="151">
        <f t="shared" si="140"/>
        <v>76826951</v>
      </c>
      <c r="AC155" s="144">
        <f t="shared" si="140"/>
        <v>26861787</v>
      </c>
      <c r="AD155" s="152">
        <f t="shared" si="140"/>
        <v>103688738</v>
      </c>
      <c r="AE155" s="151">
        <f t="shared" si="140"/>
        <v>53951921</v>
      </c>
      <c r="AF155" s="144">
        <f t="shared" si="140"/>
        <v>19067183</v>
      </c>
      <c r="AG155" s="152">
        <f t="shared" si="140"/>
        <v>73019104</v>
      </c>
      <c r="AH155" s="151">
        <f t="shared" si="140"/>
        <v>108399135</v>
      </c>
      <c r="AI155" s="144">
        <f t="shared" si="140"/>
        <v>108399135</v>
      </c>
      <c r="AJ155" s="153">
        <f t="shared" si="140"/>
        <v>139068769</v>
      </c>
      <c r="AK155" s="10"/>
      <c r="AL155" s="151">
        <f>SUM(AL156:AL157)+AL168</f>
        <v>0</v>
      </c>
      <c r="AM155" s="153">
        <f>SUM(AM156:AM157)+AM168</f>
        <v>0</v>
      </c>
      <c r="AN155" s="10"/>
    </row>
    <row r="156" spans="1:40" s="467" customFormat="1" x14ac:dyDescent="0.2">
      <c r="A156" s="623"/>
      <c r="N156" s="10"/>
      <c r="P156" s="10"/>
      <c r="Q156" s="10"/>
      <c r="R156" s="10"/>
      <c r="S156" s="155">
        <f>+IF(MAYO!S156=0,"",MAYO!S156)</f>
        <v>2020201</v>
      </c>
      <c r="T156" s="159" t="str">
        <f>+IF(MAYO!T156=0,"",MAYO!T156)</f>
        <v>Mantenimiento Hospitalario</v>
      </c>
      <c r="U156" s="29">
        <f>+ENERO!U156</f>
        <v>89449384</v>
      </c>
      <c r="V156" s="17">
        <f>MAYO!V156+JUNIO!AL156</f>
        <v>0</v>
      </c>
      <c r="W156" s="17">
        <f>MAYO!W156+JUNIO!AM156</f>
        <v>0</v>
      </c>
      <c r="X156" s="20">
        <f>SUM(U156:W156)</f>
        <v>89449384</v>
      </c>
      <c r="Y156" s="21">
        <f>MAYO!AA156</f>
        <v>26246347</v>
      </c>
      <c r="Z156" s="457">
        <v>16652563</v>
      </c>
      <c r="AA156" s="20">
        <f>SUM(Y156:Z156)</f>
        <v>42898910</v>
      </c>
      <c r="AB156" s="21">
        <f>MAYO!AD156</f>
        <v>26246347</v>
      </c>
      <c r="AC156" s="457">
        <v>16652563</v>
      </c>
      <c r="AD156" s="20">
        <f>SUM(AB156:AC156)</f>
        <v>42898910</v>
      </c>
      <c r="AE156" s="21">
        <f>MAYO!AG156</f>
        <v>18153602</v>
      </c>
      <c r="AF156" s="457">
        <v>12902398</v>
      </c>
      <c r="AG156" s="20">
        <f>SUM(AE156:AF156)</f>
        <v>31056000</v>
      </c>
      <c r="AH156" s="21">
        <f>X156-AA156</f>
        <v>46550474</v>
      </c>
      <c r="AI156" s="17">
        <f>X156-AD156</f>
        <v>46550474</v>
      </c>
      <c r="AJ156" s="18">
        <f>X156-AG156</f>
        <v>58393384</v>
      </c>
      <c r="AK156" s="10"/>
      <c r="AL156" s="455">
        <v>0</v>
      </c>
      <c r="AM156" s="458">
        <v>0</v>
      </c>
      <c r="AN156" s="10"/>
    </row>
    <row r="157" spans="1:40" s="467" customFormat="1" x14ac:dyDescent="0.2">
      <c r="A157" s="623"/>
      <c r="N157" s="10"/>
      <c r="P157" s="10"/>
      <c r="Q157" s="10"/>
      <c r="R157" s="10"/>
      <c r="S157" s="155">
        <f>+IF(MAYO!S157=0,"",MAYO!S157)</f>
        <v>2020202</v>
      </c>
      <c r="T157" s="159" t="str">
        <f>+IF(MAYO!T157=0,"",MAYO!T157)</f>
        <v>Otros</v>
      </c>
      <c r="U157" s="29">
        <f t="shared" ref="U157:AJ157" si="141">SUM(U158:U167)</f>
        <v>111949655</v>
      </c>
      <c r="V157" s="17">
        <f t="shared" si="141"/>
        <v>0</v>
      </c>
      <c r="W157" s="17">
        <f t="shared" si="141"/>
        <v>0</v>
      </c>
      <c r="X157" s="20">
        <f t="shared" si="141"/>
        <v>111949655</v>
      </c>
      <c r="Y157" s="21">
        <f t="shared" si="141"/>
        <v>39891770</v>
      </c>
      <c r="Z157" s="169">
        <f t="shared" si="141"/>
        <v>10209224</v>
      </c>
      <c r="AA157" s="20">
        <f t="shared" si="141"/>
        <v>50100994</v>
      </c>
      <c r="AB157" s="21">
        <f t="shared" si="141"/>
        <v>39891770</v>
      </c>
      <c r="AC157" s="169">
        <f t="shared" si="141"/>
        <v>10209224</v>
      </c>
      <c r="AD157" s="20">
        <f t="shared" si="141"/>
        <v>50100994</v>
      </c>
      <c r="AE157" s="21">
        <f t="shared" si="141"/>
        <v>26868635</v>
      </c>
      <c r="AF157" s="169">
        <f t="shared" si="141"/>
        <v>6164785</v>
      </c>
      <c r="AG157" s="20">
        <f t="shared" si="141"/>
        <v>33033420</v>
      </c>
      <c r="AH157" s="21">
        <f t="shared" si="141"/>
        <v>61848661</v>
      </c>
      <c r="AI157" s="17">
        <f t="shared" si="141"/>
        <v>61848661</v>
      </c>
      <c r="AJ157" s="18">
        <f t="shared" si="141"/>
        <v>78916235</v>
      </c>
      <c r="AK157" s="12"/>
      <c r="AL157" s="31">
        <f>SUM(AL158:AL167)</f>
        <v>0</v>
      </c>
      <c r="AM157" s="28">
        <f>SUM(AM158:AM167)</f>
        <v>0</v>
      </c>
      <c r="AN157" s="10"/>
    </row>
    <row r="158" spans="1:40" s="467" customFormat="1" x14ac:dyDescent="0.2">
      <c r="A158" s="623"/>
      <c r="N158" s="10"/>
      <c r="P158" s="10"/>
      <c r="Q158" s="10"/>
      <c r="R158" s="10"/>
      <c r="S158" s="156" t="str">
        <f>+IF(MAYO!S158=0,"",MAYO!S158)</f>
        <v>2020202-1</v>
      </c>
      <c r="T158" s="55" t="str">
        <f>+IF(MAYO!T158=0,"",MAYO!T158)</f>
        <v>Seguros</v>
      </c>
      <c r="U158" s="29">
        <f>+ENERO!U158</f>
        <v>10500000</v>
      </c>
      <c r="V158" s="17">
        <f>MAYO!V158+JUNIO!AL158</f>
        <v>0</v>
      </c>
      <c r="W158" s="17">
        <f>MAYO!W158+JUNIO!AM158</f>
        <v>0</v>
      </c>
      <c r="X158" s="20">
        <f t="shared" ref="X158:X168" si="142">SUM(U158:W158)</f>
        <v>10500000</v>
      </c>
      <c r="Y158" s="21">
        <f>MAYO!AA158</f>
        <v>7590402</v>
      </c>
      <c r="Z158" s="457">
        <v>782300</v>
      </c>
      <c r="AA158" s="20">
        <f t="shared" ref="AA158:AA168" si="143">SUM(Y158:Z158)</f>
        <v>8372702</v>
      </c>
      <c r="AB158" s="21">
        <f>MAYO!AD158</f>
        <v>7590402</v>
      </c>
      <c r="AC158" s="457">
        <v>782300</v>
      </c>
      <c r="AD158" s="20">
        <f t="shared" ref="AD158:AD168" si="144">SUM(AB158:AC158)</f>
        <v>8372702</v>
      </c>
      <c r="AE158" s="21">
        <f>MAYO!AG158</f>
        <v>6488402</v>
      </c>
      <c r="AF158" s="457">
        <v>1884300</v>
      </c>
      <c r="AG158" s="20">
        <f t="shared" ref="AG158:AG168" si="145">SUM(AE158:AF158)</f>
        <v>8372702</v>
      </c>
      <c r="AH158" s="21">
        <f t="shared" ref="AH158:AH168" si="146">X158-AA158</f>
        <v>2127298</v>
      </c>
      <c r="AI158" s="17">
        <f t="shared" ref="AI158:AI168" si="147">X158-AD158</f>
        <v>2127298</v>
      </c>
      <c r="AJ158" s="18">
        <f t="shared" ref="AJ158:AJ168" si="148">X158-AG158</f>
        <v>2127298</v>
      </c>
      <c r="AK158" s="10"/>
      <c r="AL158" s="455">
        <v>0</v>
      </c>
      <c r="AM158" s="458">
        <v>0</v>
      </c>
      <c r="AN158" s="10"/>
    </row>
    <row r="159" spans="1:40" s="467" customFormat="1" x14ac:dyDescent="0.2">
      <c r="A159" s="623"/>
      <c r="N159" s="10"/>
      <c r="P159" s="10"/>
      <c r="Q159" s="10"/>
      <c r="R159" s="10"/>
      <c r="S159" s="156" t="str">
        <f>+IF(MAYO!S159=0,"",MAYO!S159)</f>
        <v>2020202-2</v>
      </c>
      <c r="T159" s="55" t="str">
        <f>+IF(MAYO!T159=0,"",MAYO!T159)</f>
        <v>Impresos y Publicaciones</v>
      </c>
      <c r="U159" s="29">
        <f>+ENERO!U159</f>
        <v>6697601</v>
      </c>
      <c r="V159" s="17">
        <f>MAYO!V159+JUNIO!AL159</f>
        <v>0</v>
      </c>
      <c r="W159" s="17">
        <f>MAYO!W159+JUNIO!AM159</f>
        <v>0</v>
      </c>
      <c r="X159" s="20">
        <f t="shared" si="142"/>
        <v>6697601</v>
      </c>
      <c r="Y159" s="21">
        <f>MAYO!AA159</f>
        <v>1057773</v>
      </c>
      <c r="Z159" s="457">
        <v>0</v>
      </c>
      <c r="AA159" s="20">
        <f t="shared" si="143"/>
        <v>1057773</v>
      </c>
      <c r="AB159" s="21">
        <f>MAYO!AD159</f>
        <v>1057773</v>
      </c>
      <c r="AC159" s="457">
        <v>0</v>
      </c>
      <c r="AD159" s="20">
        <f t="shared" si="144"/>
        <v>1057773</v>
      </c>
      <c r="AE159" s="21">
        <f>MAYO!AG159</f>
        <v>498397</v>
      </c>
      <c r="AF159" s="457">
        <v>372376</v>
      </c>
      <c r="AG159" s="20">
        <f t="shared" si="145"/>
        <v>870773</v>
      </c>
      <c r="AH159" s="21">
        <f t="shared" si="146"/>
        <v>5639828</v>
      </c>
      <c r="AI159" s="17">
        <f t="shared" si="147"/>
        <v>5639828</v>
      </c>
      <c r="AJ159" s="18">
        <f t="shared" si="148"/>
        <v>5826828</v>
      </c>
      <c r="AK159" s="10"/>
      <c r="AL159" s="455">
        <v>0</v>
      </c>
      <c r="AM159" s="458">
        <v>0</v>
      </c>
      <c r="AN159" s="10"/>
    </row>
    <row r="160" spans="1:40" s="467" customFormat="1" x14ac:dyDescent="0.2">
      <c r="A160" s="623"/>
      <c r="N160" s="10"/>
      <c r="P160" s="10"/>
      <c r="Q160" s="10"/>
      <c r="R160" s="10"/>
      <c r="S160" s="156" t="str">
        <f>+IF(MAYO!S160=0,"",MAYO!S160)</f>
        <v>2020202-3</v>
      </c>
      <c r="T160" s="55" t="str">
        <f>+IF(MAYO!T160=0,"",MAYO!T160)</f>
        <v>Pago a otras IPS</v>
      </c>
      <c r="U160" s="29">
        <f>+ENERO!U160</f>
        <v>11458020</v>
      </c>
      <c r="V160" s="17">
        <f>MAYO!V160+JUNIO!AL160</f>
        <v>0</v>
      </c>
      <c r="W160" s="17">
        <f>MAYO!W160+JUNIO!AM160</f>
        <v>0</v>
      </c>
      <c r="X160" s="20">
        <f t="shared" si="142"/>
        <v>11458020</v>
      </c>
      <c r="Y160" s="21">
        <f>MAYO!AA160</f>
        <v>2046102</v>
      </c>
      <c r="Z160" s="457">
        <v>98300</v>
      </c>
      <c r="AA160" s="20">
        <f t="shared" si="143"/>
        <v>2144402</v>
      </c>
      <c r="AB160" s="21">
        <f>MAYO!AD160</f>
        <v>2046102</v>
      </c>
      <c r="AC160" s="457">
        <v>98300</v>
      </c>
      <c r="AD160" s="20">
        <f t="shared" si="144"/>
        <v>2144402</v>
      </c>
      <c r="AE160" s="21">
        <f>MAYO!AG160</f>
        <v>0</v>
      </c>
      <c r="AF160" s="457">
        <v>0</v>
      </c>
      <c r="AG160" s="20">
        <f t="shared" si="145"/>
        <v>0</v>
      </c>
      <c r="AH160" s="21">
        <f t="shared" si="146"/>
        <v>9313618</v>
      </c>
      <c r="AI160" s="17">
        <f t="shared" si="147"/>
        <v>9313618</v>
      </c>
      <c r="AJ160" s="18">
        <f t="shared" si="148"/>
        <v>11458020</v>
      </c>
      <c r="AK160" s="10"/>
      <c r="AL160" s="455">
        <v>0</v>
      </c>
      <c r="AM160" s="458">
        <v>0</v>
      </c>
      <c r="AN160" s="10"/>
    </row>
    <row r="161" spans="1:40" s="467" customFormat="1" x14ac:dyDescent="0.2">
      <c r="A161" s="623"/>
      <c r="N161" s="10"/>
      <c r="P161" s="10"/>
      <c r="Q161" s="10"/>
      <c r="R161" s="10"/>
      <c r="S161" s="156" t="str">
        <f>+IF(MAYO!S161=0,"",MAYO!S161)</f>
        <v>2020202-4</v>
      </c>
      <c r="T161" s="55" t="str">
        <f>+IF(MAYO!T161=0,"",MAYO!T161)</f>
        <v>Comunicaciones y Transportes</v>
      </c>
      <c r="U161" s="29">
        <f>+ENERO!U161</f>
        <v>14340084</v>
      </c>
      <c r="V161" s="17">
        <f>MAYO!V161+JUNIO!AL161</f>
        <v>0</v>
      </c>
      <c r="W161" s="17">
        <f>MAYO!W161+JUNIO!AM161</f>
        <v>0</v>
      </c>
      <c r="X161" s="20">
        <f t="shared" si="142"/>
        <v>14340084</v>
      </c>
      <c r="Y161" s="21">
        <f>MAYO!AA161</f>
        <v>6003000</v>
      </c>
      <c r="Z161" s="457">
        <v>3602998</v>
      </c>
      <c r="AA161" s="20">
        <f t="shared" si="143"/>
        <v>9605998</v>
      </c>
      <c r="AB161" s="21">
        <f>MAYO!AD161</f>
        <v>6003000</v>
      </c>
      <c r="AC161" s="457">
        <v>3602998</v>
      </c>
      <c r="AD161" s="20">
        <f t="shared" si="144"/>
        <v>9605998</v>
      </c>
      <c r="AE161" s="21">
        <f>MAYO!AG161</f>
        <v>5370400</v>
      </c>
      <c r="AF161" s="457">
        <v>632600</v>
      </c>
      <c r="AG161" s="20">
        <f t="shared" si="145"/>
        <v>6003000</v>
      </c>
      <c r="AH161" s="21">
        <f t="shared" si="146"/>
        <v>4734086</v>
      </c>
      <c r="AI161" s="17">
        <f t="shared" si="147"/>
        <v>4734086</v>
      </c>
      <c r="AJ161" s="18">
        <f t="shared" si="148"/>
        <v>8337084</v>
      </c>
      <c r="AK161" s="10"/>
      <c r="AL161" s="455">
        <v>0</v>
      </c>
      <c r="AM161" s="458">
        <v>0</v>
      </c>
      <c r="AN161" s="10"/>
    </row>
    <row r="162" spans="1:40" s="467" customFormat="1" x14ac:dyDescent="0.2">
      <c r="A162" s="623"/>
      <c r="N162" s="10"/>
      <c r="P162" s="10"/>
      <c r="Q162" s="10"/>
      <c r="R162" s="10"/>
      <c r="S162" s="156" t="str">
        <f>+IF(MAYO!S162=0,"",MAYO!S162)</f>
        <v>2020202-5</v>
      </c>
      <c r="T162" s="55" t="str">
        <f>+IF(MAYO!T162=0,"",MAYO!T162)</f>
        <v>Viáticos y Gastos de Viaje</v>
      </c>
      <c r="U162" s="29">
        <f>+ENERO!U162</f>
        <v>23894636</v>
      </c>
      <c r="V162" s="17">
        <f>MAYO!V162+JUNIO!AL162</f>
        <v>0</v>
      </c>
      <c r="W162" s="17">
        <f>MAYO!W162+JUNIO!AM162</f>
        <v>0</v>
      </c>
      <c r="X162" s="20">
        <f t="shared" si="142"/>
        <v>23894636</v>
      </c>
      <c r="Y162" s="21">
        <f>MAYO!AA162</f>
        <v>9721756</v>
      </c>
      <c r="Z162" s="457">
        <v>2692684</v>
      </c>
      <c r="AA162" s="20">
        <f t="shared" si="143"/>
        <v>12414440</v>
      </c>
      <c r="AB162" s="21">
        <f>MAYO!AD162</f>
        <v>9721756</v>
      </c>
      <c r="AC162" s="457">
        <v>2692684</v>
      </c>
      <c r="AD162" s="20">
        <f t="shared" si="144"/>
        <v>12414440</v>
      </c>
      <c r="AE162" s="21">
        <f>MAYO!AG162</f>
        <v>9695636</v>
      </c>
      <c r="AF162" s="457">
        <v>2588337</v>
      </c>
      <c r="AG162" s="20">
        <f t="shared" si="145"/>
        <v>12283973</v>
      </c>
      <c r="AH162" s="21">
        <f t="shared" si="146"/>
        <v>11480196</v>
      </c>
      <c r="AI162" s="17">
        <f t="shared" si="147"/>
        <v>11480196</v>
      </c>
      <c r="AJ162" s="18">
        <f t="shared" si="148"/>
        <v>11610663</v>
      </c>
      <c r="AK162" s="10"/>
      <c r="AL162" s="455">
        <v>0</v>
      </c>
      <c r="AM162" s="458">
        <v>0</v>
      </c>
      <c r="AN162" s="10"/>
    </row>
    <row r="163" spans="1:40" s="467" customFormat="1" x14ac:dyDescent="0.2">
      <c r="A163" s="623"/>
      <c r="N163" s="10"/>
      <c r="P163" s="10"/>
      <c r="Q163" s="10"/>
      <c r="R163" s="10"/>
      <c r="S163" s="156" t="str">
        <f>+IF(MAYO!S163=0,"",MAYO!S163)</f>
        <v>2020202-6</v>
      </c>
      <c r="T163" s="55" t="str">
        <f>+IF(MAYO!T163=0,"",MAYO!T163)</f>
        <v>Plan Integral de Manejo de Residuos Sólidos Hospitalarios</v>
      </c>
      <c r="U163" s="29">
        <f>+ENERO!U163</f>
        <v>8565804</v>
      </c>
      <c r="V163" s="17">
        <f>MAYO!V163+JUNIO!AL163</f>
        <v>0</v>
      </c>
      <c r="W163" s="17">
        <f>MAYO!W163+JUNIO!AM163</f>
        <v>0</v>
      </c>
      <c r="X163" s="20">
        <f t="shared" si="142"/>
        <v>8565804</v>
      </c>
      <c r="Y163" s="21">
        <f>MAYO!AA163</f>
        <v>3013170</v>
      </c>
      <c r="Z163" s="457">
        <v>1255242</v>
      </c>
      <c r="AA163" s="20">
        <f t="shared" si="143"/>
        <v>4268412</v>
      </c>
      <c r="AB163" s="21">
        <f>MAYO!AD163</f>
        <v>3013170</v>
      </c>
      <c r="AC163" s="457">
        <v>1255242</v>
      </c>
      <c r="AD163" s="20">
        <f t="shared" si="144"/>
        <v>4268412</v>
      </c>
      <c r="AE163" s="21">
        <f>MAYO!AG163</f>
        <v>0</v>
      </c>
      <c r="AF163" s="457">
        <v>599972</v>
      </c>
      <c r="AG163" s="20">
        <f t="shared" si="145"/>
        <v>599972</v>
      </c>
      <c r="AH163" s="21">
        <f t="shared" si="146"/>
        <v>4297392</v>
      </c>
      <c r="AI163" s="17">
        <f t="shared" si="147"/>
        <v>4297392</v>
      </c>
      <c r="AJ163" s="18">
        <f t="shared" si="148"/>
        <v>7965832</v>
      </c>
      <c r="AK163" s="10"/>
      <c r="AL163" s="455">
        <v>0</v>
      </c>
      <c r="AM163" s="458">
        <v>0</v>
      </c>
      <c r="AN163" s="10"/>
    </row>
    <row r="164" spans="1:40" s="467" customFormat="1" x14ac:dyDescent="0.2">
      <c r="A164" s="623"/>
      <c r="N164" s="10"/>
      <c r="P164" s="10"/>
      <c r="Q164" s="10"/>
      <c r="R164" s="10"/>
      <c r="S164" s="156" t="str">
        <f>+IF(MAYO!S164=0,"",MAYO!S164)</f>
        <v>2020202-7</v>
      </c>
      <c r="T164" s="55" t="str">
        <f>+IF(MAYO!T164=0,"",MAYO!T164)</f>
        <v>Servicios de Laboratorio contratados con terceros</v>
      </c>
      <c r="U164" s="29">
        <f>+ENERO!U164</f>
        <v>12000000</v>
      </c>
      <c r="V164" s="17">
        <f>MAYO!V164+JUNIO!AL164</f>
        <v>0</v>
      </c>
      <c r="W164" s="17">
        <f>MAYO!W164+JUNIO!AM164</f>
        <v>0</v>
      </c>
      <c r="X164" s="20">
        <f t="shared" si="142"/>
        <v>12000000</v>
      </c>
      <c r="Y164" s="21">
        <f>MAYO!AA164</f>
        <v>988900</v>
      </c>
      <c r="Z164" s="457">
        <v>399700</v>
      </c>
      <c r="AA164" s="20">
        <f t="shared" si="143"/>
        <v>1388600</v>
      </c>
      <c r="AB164" s="21">
        <f>MAYO!AD164</f>
        <v>988900</v>
      </c>
      <c r="AC164" s="457">
        <v>399700</v>
      </c>
      <c r="AD164" s="20">
        <f t="shared" si="144"/>
        <v>1388600</v>
      </c>
      <c r="AE164" s="21">
        <f>MAYO!AG164</f>
        <v>148800</v>
      </c>
      <c r="AF164" s="457">
        <v>87200</v>
      </c>
      <c r="AG164" s="20">
        <f t="shared" si="145"/>
        <v>236000</v>
      </c>
      <c r="AH164" s="21">
        <f t="shared" si="146"/>
        <v>10611400</v>
      </c>
      <c r="AI164" s="17">
        <f t="shared" si="147"/>
        <v>10611400</v>
      </c>
      <c r="AJ164" s="18">
        <f t="shared" si="148"/>
        <v>11764000</v>
      </c>
      <c r="AK164" s="10"/>
      <c r="AL164" s="455">
        <v>0</v>
      </c>
      <c r="AM164" s="458">
        <v>0</v>
      </c>
      <c r="AN164" s="10"/>
    </row>
    <row r="165" spans="1:40" s="467" customFormat="1" x14ac:dyDescent="0.2">
      <c r="A165" s="623"/>
      <c r="N165" s="10"/>
      <c r="P165" s="10"/>
      <c r="Q165" s="10"/>
      <c r="R165" s="10"/>
      <c r="S165" s="156" t="str">
        <f>+IF(MAYO!S165=0,"",MAYO!S165)</f>
        <v>2020202-8</v>
      </c>
      <c r="T165" s="55" t="str">
        <f>+IF(MAYO!T165=0,"",MAYO!T165)</f>
        <v>Servicios de Rayos X e Imaginología contratado con terceros</v>
      </c>
      <c r="U165" s="29">
        <f>+ENERO!U165</f>
        <v>19000000</v>
      </c>
      <c r="V165" s="17">
        <f>MAYO!V165+JUNIO!AL165</f>
        <v>0</v>
      </c>
      <c r="W165" s="17">
        <f>MAYO!W165+JUNIO!AM165</f>
        <v>0</v>
      </c>
      <c r="X165" s="20">
        <f t="shared" si="142"/>
        <v>19000000</v>
      </c>
      <c r="Y165" s="21">
        <f>MAYO!AA165</f>
        <v>6058000</v>
      </c>
      <c r="Z165" s="457">
        <v>1378000</v>
      </c>
      <c r="AA165" s="20">
        <f t="shared" si="143"/>
        <v>7436000</v>
      </c>
      <c r="AB165" s="21">
        <f>MAYO!AD165</f>
        <v>6058000</v>
      </c>
      <c r="AC165" s="457">
        <v>1378000</v>
      </c>
      <c r="AD165" s="20">
        <f t="shared" si="144"/>
        <v>7436000</v>
      </c>
      <c r="AE165" s="21">
        <f>MAYO!AG165</f>
        <v>4407000</v>
      </c>
      <c r="AF165" s="457">
        <v>0</v>
      </c>
      <c r="AG165" s="20">
        <f t="shared" si="145"/>
        <v>4407000</v>
      </c>
      <c r="AH165" s="21">
        <f t="shared" si="146"/>
        <v>11564000</v>
      </c>
      <c r="AI165" s="17">
        <f t="shared" si="147"/>
        <v>11564000</v>
      </c>
      <c r="AJ165" s="18">
        <f t="shared" si="148"/>
        <v>14593000</v>
      </c>
      <c r="AK165" s="10"/>
      <c r="AL165" s="455">
        <v>0</v>
      </c>
      <c r="AM165" s="458">
        <v>0</v>
      </c>
      <c r="AN165" s="10"/>
    </row>
    <row r="166" spans="1:40" s="467" customFormat="1" x14ac:dyDescent="0.2">
      <c r="A166" s="623"/>
      <c r="N166" s="10"/>
      <c r="P166" s="10"/>
      <c r="Q166" s="10"/>
      <c r="R166" s="10"/>
      <c r="S166" s="156" t="str">
        <f>+IF(MAYO!S166=0,"",MAYO!S166)</f>
        <v>2020202-9</v>
      </c>
      <c r="T166" s="55" t="str">
        <f>+IF(MAYO!T166=0,"",MAYO!T166)</f>
        <v>Arrendamientos</v>
      </c>
      <c r="U166" s="29">
        <f>+ENERO!U166</f>
        <v>5493510</v>
      </c>
      <c r="V166" s="17">
        <f>MAYO!V166+JUNIO!AL166</f>
        <v>0</v>
      </c>
      <c r="W166" s="17">
        <f>MAYO!W166+JUNIO!AM166</f>
        <v>0</v>
      </c>
      <c r="X166" s="20">
        <f t="shared" si="142"/>
        <v>5493510</v>
      </c>
      <c r="Y166" s="21">
        <f>MAYO!AA166</f>
        <v>3412667</v>
      </c>
      <c r="Z166" s="457">
        <v>0</v>
      </c>
      <c r="AA166" s="20">
        <f t="shared" si="143"/>
        <v>3412667</v>
      </c>
      <c r="AB166" s="21">
        <f>MAYO!AD166</f>
        <v>3412667</v>
      </c>
      <c r="AC166" s="457">
        <v>0</v>
      </c>
      <c r="AD166" s="20">
        <f t="shared" si="144"/>
        <v>3412667</v>
      </c>
      <c r="AE166" s="21">
        <f>MAYO!AG166</f>
        <v>260000</v>
      </c>
      <c r="AF166" s="457">
        <v>0</v>
      </c>
      <c r="AG166" s="20">
        <f t="shared" si="145"/>
        <v>260000</v>
      </c>
      <c r="AH166" s="21">
        <f t="shared" si="146"/>
        <v>2080843</v>
      </c>
      <c r="AI166" s="17">
        <f t="shared" si="147"/>
        <v>2080843</v>
      </c>
      <c r="AJ166" s="18">
        <f t="shared" si="148"/>
        <v>5233510</v>
      </c>
      <c r="AK166" s="10"/>
      <c r="AL166" s="455">
        <v>0</v>
      </c>
      <c r="AM166" s="458">
        <v>0</v>
      </c>
      <c r="AN166" s="10"/>
    </row>
    <row r="167" spans="1:40" s="467" customFormat="1" x14ac:dyDescent="0.2">
      <c r="A167" s="623"/>
      <c r="N167" s="10"/>
      <c r="P167" s="10"/>
      <c r="Q167" s="10"/>
      <c r="R167" s="10"/>
      <c r="S167" s="156" t="str">
        <f>+IF(MAYO!S167=0,"",MAYO!S167)</f>
        <v>2020202-10</v>
      </c>
      <c r="T167" s="55" t="str">
        <f>+IF(MAYO!T167=0,"",MAYO!T167)</f>
        <v>Servicios Públicos</v>
      </c>
      <c r="U167" s="29">
        <f>+ENERO!U167</f>
        <v>0</v>
      </c>
      <c r="V167" s="17">
        <f>MAYO!V167+JUNIO!AL167</f>
        <v>0</v>
      </c>
      <c r="W167" s="17">
        <f>MAYO!W167+JUNIO!AM167</f>
        <v>0</v>
      </c>
      <c r="X167" s="20">
        <f>SUM(U167:W167)</f>
        <v>0</v>
      </c>
      <c r="Y167" s="21">
        <f>MAYO!AA167</f>
        <v>0</v>
      </c>
      <c r="Z167" s="457">
        <v>0</v>
      </c>
      <c r="AA167" s="20">
        <f>SUM(Y167:Z167)</f>
        <v>0</v>
      </c>
      <c r="AB167" s="21">
        <f>MAYO!AD167</f>
        <v>0</v>
      </c>
      <c r="AC167" s="457">
        <v>0</v>
      </c>
      <c r="AD167" s="20">
        <f>SUM(AB167:AC167)</f>
        <v>0</v>
      </c>
      <c r="AE167" s="21">
        <f>MAYO!AG167</f>
        <v>0</v>
      </c>
      <c r="AF167" s="457">
        <v>0</v>
      </c>
      <c r="AG167" s="20">
        <f>SUM(AE167:AF167)</f>
        <v>0</v>
      </c>
      <c r="AH167" s="21">
        <f>X167-AA167</f>
        <v>0</v>
      </c>
      <c r="AI167" s="17">
        <f>X167-AD167</f>
        <v>0</v>
      </c>
      <c r="AJ167" s="18">
        <f>X167-AG167</f>
        <v>0</v>
      </c>
      <c r="AK167" s="10"/>
      <c r="AL167" s="455">
        <v>0</v>
      </c>
      <c r="AM167" s="458">
        <v>0</v>
      </c>
      <c r="AN167" s="10"/>
    </row>
    <row r="168" spans="1:40" s="467" customFormat="1" x14ac:dyDescent="0.2">
      <c r="A168" s="623"/>
      <c r="N168" s="10"/>
      <c r="P168" s="10"/>
      <c r="Q168" s="10"/>
      <c r="R168" s="10"/>
      <c r="S168" s="155">
        <f>+IF(MAYO!S168=0,"",MAYO!S168)</f>
        <v>2020299</v>
      </c>
      <c r="T168" s="159" t="str">
        <f>+IF(MAYO!T168=0,"",MAYO!T168)</f>
        <v>Vigencias Anteriores</v>
      </c>
      <c r="U168" s="29">
        <f>+ENERO!U168</f>
        <v>12730159</v>
      </c>
      <c r="V168" s="17">
        <f>MAYO!V168+JUNIO!AL168</f>
        <v>-2041325</v>
      </c>
      <c r="W168" s="17">
        <f>MAYO!W168+JUNIO!AM168</f>
        <v>0</v>
      </c>
      <c r="X168" s="20">
        <f t="shared" si="142"/>
        <v>10688834</v>
      </c>
      <c r="Y168" s="21">
        <f>MAYO!AA168</f>
        <v>10688834</v>
      </c>
      <c r="Z168" s="457">
        <v>0</v>
      </c>
      <c r="AA168" s="20">
        <f t="shared" si="143"/>
        <v>10688834</v>
      </c>
      <c r="AB168" s="21">
        <f>MAYO!AD168</f>
        <v>10688834</v>
      </c>
      <c r="AC168" s="457">
        <v>0</v>
      </c>
      <c r="AD168" s="20">
        <f t="shared" si="144"/>
        <v>10688834</v>
      </c>
      <c r="AE168" s="21">
        <f>MAYO!AG168</f>
        <v>8929684</v>
      </c>
      <c r="AF168" s="457">
        <v>0</v>
      </c>
      <c r="AG168" s="20">
        <f t="shared" si="145"/>
        <v>8929684</v>
      </c>
      <c r="AH168" s="21">
        <f t="shared" si="146"/>
        <v>0</v>
      </c>
      <c r="AI168" s="17">
        <f t="shared" si="147"/>
        <v>0</v>
      </c>
      <c r="AJ168" s="18">
        <f t="shared" si="148"/>
        <v>1759150</v>
      </c>
      <c r="AK168" s="10"/>
      <c r="AL168" s="455">
        <v>0</v>
      </c>
      <c r="AM168" s="458">
        <v>0</v>
      </c>
      <c r="AN168" s="10"/>
    </row>
    <row r="169" spans="1:40" s="467" customFormat="1" ht="15.75" x14ac:dyDescent="0.2">
      <c r="A169" s="623"/>
      <c r="N169" s="10"/>
      <c r="P169" s="10"/>
      <c r="Q169" s="10"/>
      <c r="R169" s="10"/>
      <c r="S169" s="448" t="str">
        <f>+IF(MAYO!S169=0,"",MAYO!S169)</f>
        <v/>
      </c>
      <c r="T169" s="649" t="str">
        <f>+IF(MAYO!T169=0,"",MAYO!T169)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row>
    <row r="170" spans="1:40" s="467" customFormat="1" ht="15.75" x14ac:dyDescent="0.2">
      <c r="A170" s="623"/>
      <c r="N170" s="10"/>
      <c r="P170" s="10"/>
      <c r="Q170" s="10"/>
      <c r="R170" s="10"/>
      <c r="S170" s="469">
        <f>+IF(MAYO!S170=0,"",MAYO!S170)</f>
        <v>3000000</v>
      </c>
      <c r="T170" s="588" t="str">
        <f>+IF(MAYO!T170=0,"",MAYO!T170)</f>
        <v>TRANSFERENCIAS CORRIENTES</v>
      </c>
      <c r="U170" s="589">
        <f t="shared" ref="U170:AJ170" si="149">U172+U176+U185</f>
        <v>217489235</v>
      </c>
      <c r="V170" s="590">
        <f t="shared" si="149"/>
        <v>-12907692</v>
      </c>
      <c r="W170" s="590">
        <f t="shared" si="149"/>
        <v>0</v>
      </c>
      <c r="X170" s="591">
        <f t="shared" si="149"/>
        <v>204581543</v>
      </c>
      <c r="Y170" s="464">
        <f t="shared" si="149"/>
        <v>63840645</v>
      </c>
      <c r="Z170" s="590">
        <f t="shared" si="149"/>
        <v>7560645</v>
      </c>
      <c r="AA170" s="591">
        <f t="shared" si="149"/>
        <v>71401290</v>
      </c>
      <c r="AB170" s="464">
        <f t="shared" si="149"/>
        <v>63840645</v>
      </c>
      <c r="AC170" s="590">
        <f t="shared" si="149"/>
        <v>7560645</v>
      </c>
      <c r="AD170" s="591">
        <f t="shared" si="149"/>
        <v>71401290</v>
      </c>
      <c r="AE170" s="464">
        <f t="shared" si="149"/>
        <v>59101186</v>
      </c>
      <c r="AF170" s="590">
        <f t="shared" si="149"/>
        <v>4295127</v>
      </c>
      <c r="AG170" s="591">
        <f t="shared" si="149"/>
        <v>63396313</v>
      </c>
      <c r="AH170" s="464">
        <f t="shared" si="149"/>
        <v>133180253</v>
      </c>
      <c r="AI170" s="590">
        <f t="shared" si="149"/>
        <v>133180253</v>
      </c>
      <c r="AJ170" s="465">
        <f t="shared" si="149"/>
        <v>141185230</v>
      </c>
      <c r="AK170" s="10"/>
      <c r="AL170" s="151">
        <f>AL172+AL176+AL185</f>
        <v>0</v>
      </c>
      <c r="AM170" s="153">
        <f>AM172+AM176+AM185</f>
        <v>0</v>
      </c>
      <c r="AN170" s="10"/>
    </row>
    <row r="171" spans="1:40" s="467" customFormat="1" ht="15.75" x14ac:dyDescent="0.2">
      <c r="A171" s="623"/>
      <c r="N171" s="10"/>
      <c r="P171" s="10"/>
      <c r="Q171" s="10"/>
      <c r="R171" s="10"/>
      <c r="S171" s="448" t="str">
        <f>+IF(MAYO!S171=0,"",MAYO!S171)</f>
        <v/>
      </c>
      <c r="T171" s="649" t="str">
        <f>+IF(MAYO!T171=0,"",MAYO!T171)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x14ac:dyDescent="0.2">
      <c r="A172" s="623"/>
      <c r="N172" s="10"/>
      <c r="P172" s="10"/>
      <c r="Q172" s="10"/>
      <c r="R172" s="10"/>
      <c r="S172" s="34">
        <f>+IF(MAYO!S172=0,"",MAYO!S172)</f>
        <v>3100000</v>
      </c>
      <c r="T172" s="158" t="str">
        <f>+IF(MAYO!T172=0,"",MAYO!T172)</f>
        <v>Transferencias al Sector Público</v>
      </c>
      <c r="U172" s="157">
        <f t="shared" ref="U172:AJ172" si="150">SUM(U173:U174)</f>
        <v>2689964</v>
      </c>
      <c r="V172" s="144">
        <f t="shared" si="150"/>
        <v>746499</v>
      </c>
      <c r="W172" s="144">
        <f t="shared" si="150"/>
        <v>0</v>
      </c>
      <c r="X172" s="152">
        <f t="shared" si="150"/>
        <v>3436463</v>
      </c>
      <c r="Y172" s="151">
        <f t="shared" si="150"/>
        <v>1255414</v>
      </c>
      <c r="Z172" s="144">
        <f t="shared" si="150"/>
        <v>101783</v>
      </c>
      <c r="AA172" s="152">
        <f t="shared" si="150"/>
        <v>1357197</v>
      </c>
      <c r="AB172" s="151">
        <f t="shared" si="150"/>
        <v>1255414</v>
      </c>
      <c r="AC172" s="144">
        <f t="shared" si="150"/>
        <v>101783</v>
      </c>
      <c r="AD172" s="152">
        <f t="shared" si="150"/>
        <v>1357197</v>
      </c>
      <c r="AE172" s="151">
        <f t="shared" si="150"/>
        <v>746499</v>
      </c>
      <c r="AF172" s="144">
        <f t="shared" si="150"/>
        <v>0</v>
      </c>
      <c r="AG172" s="152">
        <f t="shared" si="150"/>
        <v>746499</v>
      </c>
      <c r="AH172" s="151">
        <f t="shared" si="150"/>
        <v>2079266</v>
      </c>
      <c r="AI172" s="144">
        <f t="shared" si="150"/>
        <v>2079266</v>
      </c>
      <c r="AJ172" s="153">
        <f t="shared" si="150"/>
        <v>2689964</v>
      </c>
      <c r="AK172" s="10"/>
      <c r="AL172" s="151">
        <f>SUM(AL173:AL174)</f>
        <v>0</v>
      </c>
      <c r="AM172" s="153">
        <f>SUM(AM173:AM174)</f>
        <v>0</v>
      </c>
      <c r="AN172" s="10"/>
    </row>
    <row r="173" spans="1:40" s="467" customFormat="1" x14ac:dyDescent="0.2">
      <c r="A173" s="623"/>
      <c r="N173" s="10"/>
      <c r="P173" s="10"/>
      <c r="Q173" s="10"/>
      <c r="R173" s="10"/>
      <c r="S173" s="155">
        <f>+IF(MAYO!S173=0,"",MAYO!S173)</f>
        <v>3100003</v>
      </c>
      <c r="T173" s="159" t="str">
        <f>+IF(MAYO!T173=0,"",MAYO!T173)</f>
        <v>Entidades Públicas (Contraloria, Supersalud,…)</v>
      </c>
      <c r="U173" s="29">
        <f>+ENERO!U173</f>
        <v>2689964</v>
      </c>
      <c r="V173" s="17">
        <f>MAYO!V173+JUNIO!AL173</f>
        <v>0</v>
      </c>
      <c r="W173" s="17">
        <f>MAYO!W173+JUNIO!AM173</f>
        <v>0</v>
      </c>
      <c r="X173" s="20">
        <f>SUM(U173:W173)</f>
        <v>2689964</v>
      </c>
      <c r="Y173" s="21">
        <f>MAYO!AA173</f>
        <v>508915</v>
      </c>
      <c r="Z173" s="457">
        <v>101783</v>
      </c>
      <c r="AA173" s="20">
        <f>SUM(Y173:Z173)</f>
        <v>610698</v>
      </c>
      <c r="AB173" s="21">
        <f>MAYO!AD173</f>
        <v>508915</v>
      </c>
      <c r="AC173" s="457">
        <v>101783</v>
      </c>
      <c r="AD173" s="20">
        <f>SUM(AB173:AC173)</f>
        <v>610698</v>
      </c>
      <c r="AE173" s="21">
        <f>MAYO!AG173</f>
        <v>0</v>
      </c>
      <c r="AF173" s="457">
        <v>0</v>
      </c>
      <c r="AG173" s="20">
        <f>SUM(AE173:AF173)</f>
        <v>0</v>
      </c>
      <c r="AH173" s="21">
        <f>X173-AA173</f>
        <v>2079266</v>
      </c>
      <c r="AI173" s="17">
        <f>X173-AD173</f>
        <v>2079266</v>
      </c>
      <c r="AJ173" s="18">
        <f>X173-AG173</f>
        <v>2689964</v>
      </c>
      <c r="AK173" s="10"/>
      <c r="AL173" s="455">
        <v>0</v>
      </c>
      <c r="AM173" s="458">
        <v>0</v>
      </c>
      <c r="AN173" s="10"/>
    </row>
    <row r="174" spans="1:40" s="467" customFormat="1" x14ac:dyDescent="0.2">
      <c r="A174" s="623"/>
      <c r="N174" s="10"/>
      <c r="P174" s="10"/>
      <c r="Q174" s="10"/>
      <c r="R174" s="10"/>
      <c r="S174" s="155">
        <f>+IF(MAYO!S174=0,"",MAYO!S174)</f>
        <v>3199999</v>
      </c>
      <c r="T174" s="159" t="str">
        <f>+IF(MAYO!T174=0,"",MAYO!T174)</f>
        <v>Vigencias Anteriores</v>
      </c>
      <c r="U174" s="29">
        <f>+ENERO!U174</f>
        <v>0</v>
      </c>
      <c r="V174" s="17">
        <f>MAYO!V174+JUNIO!AL174</f>
        <v>746499</v>
      </c>
      <c r="W174" s="17">
        <f>MAYO!W174+JUNIO!AM174</f>
        <v>0</v>
      </c>
      <c r="X174" s="20">
        <f>SUM(U174:W174)</f>
        <v>746499</v>
      </c>
      <c r="Y174" s="21">
        <f>MAYO!AA174</f>
        <v>746499</v>
      </c>
      <c r="Z174" s="457">
        <v>0</v>
      </c>
      <c r="AA174" s="20">
        <f>SUM(Y174:Z174)</f>
        <v>746499</v>
      </c>
      <c r="AB174" s="21">
        <f>MAYO!AD174</f>
        <v>746499</v>
      </c>
      <c r="AC174" s="457">
        <v>0</v>
      </c>
      <c r="AD174" s="20">
        <f>SUM(AB174:AC174)</f>
        <v>746499</v>
      </c>
      <c r="AE174" s="21">
        <f>MAYO!AG174</f>
        <v>746499</v>
      </c>
      <c r="AF174" s="457">
        <v>0</v>
      </c>
      <c r="AG174" s="20">
        <f>SUM(AE174:AF174)</f>
        <v>746499</v>
      </c>
      <c r="AH174" s="21">
        <f>X174-AA174</f>
        <v>0</v>
      </c>
      <c r="AI174" s="17">
        <f>X174-AD174</f>
        <v>0</v>
      </c>
      <c r="AJ174" s="18">
        <f>X174-AG174</f>
        <v>0</v>
      </c>
      <c r="AK174" s="10"/>
      <c r="AL174" s="455">
        <v>0</v>
      </c>
      <c r="AM174" s="458">
        <v>0</v>
      </c>
      <c r="AN174" s="10"/>
    </row>
    <row r="175" spans="1:40" s="467" customFormat="1" ht="15.75" x14ac:dyDescent="0.2">
      <c r="A175" s="623"/>
      <c r="N175" s="10"/>
      <c r="P175" s="10"/>
      <c r="Q175" s="10"/>
      <c r="R175" s="10"/>
      <c r="S175" s="448" t="str">
        <f>+IF(MAYO!S175=0,"",MAYO!S175)</f>
        <v/>
      </c>
      <c r="T175" s="649" t="str">
        <f>+IF(MAYO!T175=0,"",MAYO!T175)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x14ac:dyDescent="0.2">
      <c r="A176" s="623"/>
      <c r="N176" s="10"/>
      <c r="P176" s="10"/>
      <c r="Q176" s="10"/>
      <c r="R176" s="10"/>
      <c r="S176" s="34">
        <f>+IF(MAYO!S176=0,"",MAYO!S176)</f>
        <v>320000</v>
      </c>
      <c r="T176" s="158" t="str">
        <f>+IF(MAYO!T176=0,"",MAYO!T176)</f>
        <v>Transf. Previsión y Seguridad Social</v>
      </c>
      <c r="U176" s="157">
        <f t="shared" ref="U176:AJ176" si="151">SUM(U177:U183)</f>
        <v>213299271</v>
      </c>
      <c r="V176" s="144">
        <f t="shared" si="151"/>
        <v>-14130741</v>
      </c>
      <c r="W176" s="144">
        <f t="shared" si="151"/>
        <v>0</v>
      </c>
      <c r="X176" s="152">
        <f t="shared" si="151"/>
        <v>199168530</v>
      </c>
      <c r="Y176" s="151">
        <f t="shared" si="151"/>
        <v>61969481</v>
      </c>
      <c r="Z176" s="144">
        <f t="shared" si="151"/>
        <v>7458862</v>
      </c>
      <c r="AA176" s="152">
        <f t="shared" si="151"/>
        <v>69428343</v>
      </c>
      <c r="AB176" s="151">
        <f t="shared" si="151"/>
        <v>61969481</v>
      </c>
      <c r="AC176" s="144">
        <f t="shared" si="151"/>
        <v>7458862</v>
      </c>
      <c r="AD176" s="152">
        <f t="shared" si="151"/>
        <v>69428343</v>
      </c>
      <c r="AE176" s="151">
        <f t="shared" si="151"/>
        <v>57878137</v>
      </c>
      <c r="AF176" s="144">
        <f t="shared" si="151"/>
        <v>4295127</v>
      </c>
      <c r="AG176" s="152">
        <f t="shared" si="151"/>
        <v>62173264</v>
      </c>
      <c r="AH176" s="151">
        <f t="shared" si="151"/>
        <v>129740187</v>
      </c>
      <c r="AI176" s="144">
        <f t="shared" si="151"/>
        <v>129740187</v>
      </c>
      <c r="AJ176" s="153">
        <f t="shared" si="151"/>
        <v>136995266</v>
      </c>
      <c r="AK176" s="10"/>
      <c r="AL176" s="151">
        <f>SUM(AL177:AL183)</f>
        <v>0</v>
      </c>
      <c r="AM176" s="153">
        <f>SUM(AM177:AM183)</f>
        <v>0</v>
      </c>
      <c r="AN176" s="10"/>
    </row>
    <row r="177" spans="1:40" s="467" customFormat="1" x14ac:dyDescent="0.2">
      <c r="A177" s="623"/>
      <c r="N177" s="10"/>
      <c r="P177" s="10"/>
      <c r="Q177" s="10"/>
      <c r="R177" s="10"/>
      <c r="S177" s="155">
        <f>+IF(MAYO!S177=0,"",MAYO!S177)</f>
        <v>3200100</v>
      </c>
      <c r="T177" s="159" t="str">
        <f>+IF(MAYO!T177=0,"",MAYO!T177)</f>
        <v>Pensiones y Jubilaciones (Pago Directo)</v>
      </c>
      <c r="U177" s="29">
        <f>+ENERO!U177</f>
        <v>104106866</v>
      </c>
      <c r="V177" s="17">
        <f>MAYO!V177+JUNIO!AL177</f>
        <v>0</v>
      </c>
      <c r="W177" s="17">
        <f>MAYO!W177+JUNIO!AM177</f>
        <v>0</v>
      </c>
      <c r="X177" s="20">
        <f t="shared" ref="X177:X183" si="152">SUM(U177:W177)</f>
        <v>104106866</v>
      </c>
      <c r="Y177" s="21">
        <f>MAYO!AA177</f>
        <v>36856351</v>
      </c>
      <c r="Z177" s="457">
        <v>7458862</v>
      </c>
      <c r="AA177" s="20">
        <f t="shared" ref="AA177:AA183" si="153">SUM(Y177:Z177)</f>
        <v>44315213</v>
      </c>
      <c r="AB177" s="21">
        <f>MAYO!AD177</f>
        <v>36856351</v>
      </c>
      <c r="AC177" s="457">
        <v>7458862</v>
      </c>
      <c r="AD177" s="20">
        <f t="shared" ref="AD177:AD183" si="154">SUM(AB177:AC177)</f>
        <v>44315213</v>
      </c>
      <c r="AE177" s="21">
        <f>MAYO!AG177</f>
        <v>35724959</v>
      </c>
      <c r="AF177" s="457">
        <v>4295127</v>
      </c>
      <c r="AG177" s="20">
        <f t="shared" ref="AG177:AG183" si="155">SUM(AE177:AF177)</f>
        <v>40020086</v>
      </c>
      <c r="AH177" s="21">
        <f t="shared" ref="AH177:AH183" si="156">X177-AA177</f>
        <v>59791653</v>
      </c>
      <c r="AI177" s="17">
        <f t="shared" ref="AI177:AI183" si="157">X177-AD177</f>
        <v>59791653</v>
      </c>
      <c r="AJ177" s="18">
        <f t="shared" ref="AJ177:AJ183" si="158">X177-AG177</f>
        <v>64086780</v>
      </c>
      <c r="AK177" s="10"/>
      <c r="AL177" s="455">
        <v>0</v>
      </c>
      <c r="AM177" s="458">
        <v>0</v>
      </c>
      <c r="AN177" s="10"/>
    </row>
    <row r="178" spans="1:40" s="467" customFormat="1" x14ac:dyDescent="0.2">
      <c r="A178" s="623"/>
      <c r="N178" s="10"/>
      <c r="P178" s="10"/>
      <c r="Q178" s="10"/>
      <c r="R178" s="10"/>
      <c r="S178" s="155">
        <f>+IF(MAYO!S178=0,"",MAYO!S178)</f>
        <v>3200200</v>
      </c>
      <c r="T178" s="159" t="str">
        <f>+IF(MAYO!T178=0,"",MAYO!T178)</f>
        <v>Cesantías Pago Directo (Pago Directo)</v>
      </c>
      <c r="U178" s="29">
        <f>+ENERO!U178</f>
        <v>22532311</v>
      </c>
      <c r="V178" s="17">
        <f>MAYO!V178+JUNIO!AL178</f>
        <v>0</v>
      </c>
      <c r="W178" s="17">
        <f>MAYO!W178+JUNIO!AM178</f>
        <v>0</v>
      </c>
      <c r="X178" s="20">
        <f t="shared" si="152"/>
        <v>22532311</v>
      </c>
      <c r="Y178" s="21">
        <f>MAYO!AA178</f>
        <v>5000000</v>
      </c>
      <c r="Z178" s="457">
        <v>0</v>
      </c>
      <c r="AA178" s="20">
        <f t="shared" si="153"/>
        <v>5000000</v>
      </c>
      <c r="AB178" s="21">
        <f>MAYO!AD178</f>
        <v>5000000</v>
      </c>
      <c r="AC178" s="457">
        <v>0</v>
      </c>
      <c r="AD178" s="20">
        <f t="shared" si="154"/>
        <v>5000000</v>
      </c>
      <c r="AE178" s="21">
        <f>MAYO!AG178</f>
        <v>5000000</v>
      </c>
      <c r="AF178" s="457">
        <v>0</v>
      </c>
      <c r="AG178" s="20">
        <f t="shared" si="155"/>
        <v>5000000</v>
      </c>
      <c r="AH178" s="21">
        <f t="shared" si="156"/>
        <v>17532311</v>
      </c>
      <c r="AI178" s="17">
        <f t="shared" si="157"/>
        <v>17532311</v>
      </c>
      <c r="AJ178" s="18">
        <f t="shared" si="158"/>
        <v>17532311</v>
      </c>
      <c r="AK178" s="10"/>
      <c r="AL178" s="455">
        <v>0</v>
      </c>
      <c r="AM178" s="458">
        <v>0</v>
      </c>
      <c r="AN178" s="10"/>
    </row>
    <row r="179" spans="1:40" s="467" customFormat="1" x14ac:dyDescent="0.2">
      <c r="A179" s="623"/>
      <c r="N179" s="10"/>
      <c r="P179" s="10"/>
      <c r="Q179" s="10"/>
      <c r="R179" s="10"/>
      <c r="S179" s="155">
        <f>+IF(MAYO!S179=0,"",MAYO!S179)</f>
        <v>3200300</v>
      </c>
      <c r="T179" s="159" t="str">
        <f>+IF(MAYO!T179=0,"",MAYO!T179)</f>
        <v>Bonos, Cuotas de Bonos y cuotas partes jubilatorias</v>
      </c>
      <c r="U179" s="29">
        <f>+ENERO!U179</f>
        <v>70000000</v>
      </c>
      <c r="V179" s="17">
        <f>MAYO!V179+JUNIO!AL179</f>
        <v>-17721746</v>
      </c>
      <c r="W179" s="17">
        <f>MAYO!W179+JUNIO!AM179</f>
        <v>0</v>
      </c>
      <c r="X179" s="20">
        <f t="shared" si="152"/>
        <v>52278254</v>
      </c>
      <c r="Y179" s="21">
        <f>MAYO!AA179</f>
        <v>3416959</v>
      </c>
      <c r="Z179" s="457">
        <v>0</v>
      </c>
      <c r="AA179" s="20">
        <f t="shared" si="153"/>
        <v>3416959</v>
      </c>
      <c r="AB179" s="21">
        <f>MAYO!AD179</f>
        <v>3416959</v>
      </c>
      <c r="AC179" s="457">
        <v>0</v>
      </c>
      <c r="AD179" s="20">
        <f t="shared" si="154"/>
        <v>3416959</v>
      </c>
      <c r="AE179" s="21">
        <f>MAYO!AG179</f>
        <v>1981020</v>
      </c>
      <c r="AF179" s="457">
        <v>0</v>
      </c>
      <c r="AG179" s="20">
        <f t="shared" si="155"/>
        <v>1981020</v>
      </c>
      <c r="AH179" s="21">
        <f t="shared" si="156"/>
        <v>48861295</v>
      </c>
      <c r="AI179" s="17">
        <f t="shared" si="157"/>
        <v>48861295</v>
      </c>
      <c r="AJ179" s="18">
        <f t="shared" si="158"/>
        <v>50297234</v>
      </c>
      <c r="AK179" s="10"/>
      <c r="AL179" s="455">
        <v>0</v>
      </c>
      <c r="AM179" s="458">
        <v>0</v>
      </c>
      <c r="AN179" s="10"/>
    </row>
    <row r="180" spans="1:40" s="467" customFormat="1" x14ac:dyDescent="0.2">
      <c r="A180" s="623"/>
      <c r="N180" s="10"/>
      <c r="P180" s="10"/>
      <c r="Q180" s="10"/>
      <c r="R180" s="10"/>
      <c r="S180" s="155">
        <f>+IF(MAYO!S180=0,"",MAYO!S180)</f>
        <v>3200400</v>
      </c>
      <c r="T180" s="159" t="str">
        <f>+IF(MAYO!T180=0,"",MAYO!T180)</f>
        <v>Intereses a las cesantias</v>
      </c>
      <c r="U180" s="29">
        <f>+ENERO!U180</f>
        <v>14660094</v>
      </c>
      <c r="V180" s="17">
        <f>MAYO!V180+JUNIO!AL180</f>
        <v>0</v>
      </c>
      <c r="W180" s="17">
        <f>MAYO!W180+JUNIO!AM180</f>
        <v>0</v>
      </c>
      <c r="X180" s="20">
        <f t="shared" si="152"/>
        <v>14660094</v>
      </c>
      <c r="Y180" s="21">
        <f>MAYO!AA180</f>
        <v>11105166</v>
      </c>
      <c r="Z180" s="457">
        <v>0</v>
      </c>
      <c r="AA180" s="20">
        <f t="shared" si="153"/>
        <v>11105166</v>
      </c>
      <c r="AB180" s="21">
        <f>MAYO!AD180</f>
        <v>11105166</v>
      </c>
      <c r="AC180" s="457">
        <v>0</v>
      </c>
      <c r="AD180" s="20">
        <f t="shared" si="154"/>
        <v>11105166</v>
      </c>
      <c r="AE180" s="21">
        <f>MAYO!AG180</f>
        <v>10526223</v>
      </c>
      <c r="AF180" s="457">
        <v>0</v>
      </c>
      <c r="AG180" s="20">
        <f t="shared" si="155"/>
        <v>10526223</v>
      </c>
      <c r="AH180" s="21">
        <f t="shared" si="156"/>
        <v>3554928</v>
      </c>
      <c r="AI180" s="17">
        <f t="shared" si="157"/>
        <v>3554928</v>
      </c>
      <c r="AJ180" s="18">
        <f t="shared" si="158"/>
        <v>4133871</v>
      </c>
      <c r="AK180" s="10"/>
      <c r="AL180" s="455">
        <v>0</v>
      </c>
      <c r="AM180" s="458">
        <v>0</v>
      </c>
      <c r="AN180" s="10"/>
    </row>
    <row r="181" spans="1:40" s="467" customFormat="1" x14ac:dyDescent="0.2">
      <c r="A181" s="623"/>
      <c r="N181" s="10"/>
      <c r="P181" s="10"/>
      <c r="Q181" s="10"/>
      <c r="R181" s="10"/>
      <c r="S181" s="155" t="str">
        <f>+IF(MAYO!S181=0,"",MAYO!S181)</f>
        <v/>
      </c>
      <c r="T181" s="159" t="str">
        <f>+IF(MAYO!T181=0,"",MAYO!T181)</f>
        <v/>
      </c>
      <c r="U181" s="29">
        <f>+ENERO!U181</f>
        <v>0</v>
      </c>
      <c r="V181" s="17">
        <f>MAYO!V181+JUNIO!AL181</f>
        <v>0</v>
      </c>
      <c r="W181" s="17">
        <f>MAYO!W181+JUNIO!AM181</f>
        <v>0</v>
      </c>
      <c r="X181" s="20">
        <f t="shared" si="152"/>
        <v>0</v>
      </c>
      <c r="Y181" s="21">
        <f>MAYO!AA181</f>
        <v>0</v>
      </c>
      <c r="Z181" s="457">
        <v>0</v>
      </c>
      <c r="AA181" s="20">
        <f t="shared" si="153"/>
        <v>0</v>
      </c>
      <c r="AB181" s="21">
        <f>MAYO!AD181</f>
        <v>0</v>
      </c>
      <c r="AC181" s="457">
        <v>0</v>
      </c>
      <c r="AD181" s="20">
        <f t="shared" si="154"/>
        <v>0</v>
      </c>
      <c r="AE181" s="21">
        <f>MAYO!AG181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x14ac:dyDescent="0.2">
      <c r="A182" s="623"/>
      <c r="N182" s="10"/>
      <c r="P182" s="10"/>
      <c r="Q182" s="10"/>
      <c r="R182" s="10"/>
      <c r="S182" s="155" t="str">
        <f>+IF(MAYO!S182=0,"",MAYO!S182)</f>
        <v/>
      </c>
      <c r="T182" s="159" t="str">
        <f>+IF(MAYO!T182=0,"",MAYO!T182)</f>
        <v/>
      </c>
      <c r="U182" s="29">
        <f>+ENERO!U182</f>
        <v>0</v>
      </c>
      <c r="V182" s="17">
        <f>MAYO!V182+JUNIO!AL182</f>
        <v>0</v>
      </c>
      <c r="W182" s="17">
        <f>MAYO!W182+JUNIO!AM182</f>
        <v>0</v>
      </c>
      <c r="X182" s="20">
        <f t="shared" si="152"/>
        <v>0</v>
      </c>
      <c r="Y182" s="21">
        <f>MAYO!AA182</f>
        <v>0</v>
      </c>
      <c r="Z182" s="457">
        <v>0</v>
      </c>
      <c r="AA182" s="20">
        <f t="shared" si="153"/>
        <v>0</v>
      </c>
      <c r="AB182" s="21">
        <f>MAYO!AD182</f>
        <v>0</v>
      </c>
      <c r="AC182" s="457">
        <v>0</v>
      </c>
      <c r="AD182" s="20">
        <f t="shared" si="154"/>
        <v>0</v>
      </c>
      <c r="AE182" s="21">
        <f>MAYO!AG182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x14ac:dyDescent="0.2">
      <c r="A183" s="623"/>
      <c r="N183" s="10"/>
      <c r="P183" s="10"/>
      <c r="Q183" s="10"/>
      <c r="R183" s="10"/>
      <c r="S183" s="155">
        <f>+IF(MAYO!S183=0,"",MAYO!S183)</f>
        <v>3299999</v>
      </c>
      <c r="T183" s="159" t="str">
        <f>+IF(MAYO!T183=0,"",MAYO!T183)</f>
        <v>Vigencias Anteriores</v>
      </c>
      <c r="U183" s="29">
        <f>+ENERO!U183</f>
        <v>2000000</v>
      </c>
      <c r="V183" s="17">
        <f>MAYO!V183+JUNIO!AL183</f>
        <v>3591005</v>
      </c>
      <c r="W183" s="17">
        <f>MAYO!W183+JUNIO!AM183</f>
        <v>0</v>
      </c>
      <c r="X183" s="20">
        <f t="shared" si="152"/>
        <v>5591005</v>
      </c>
      <c r="Y183" s="21">
        <f>MAYO!AA183</f>
        <v>5591005</v>
      </c>
      <c r="Z183" s="457">
        <v>0</v>
      </c>
      <c r="AA183" s="20">
        <f t="shared" si="153"/>
        <v>5591005</v>
      </c>
      <c r="AB183" s="21">
        <f>MAYO!AD183</f>
        <v>5591005</v>
      </c>
      <c r="AC183" s="457">
        <v>0</v>
      </c>
      <c r="AD183" s="20">
        <f t="shared" si="154"/>
        <v>5591005</v>
      </c>
      <c r="AE183" s="21">
        <f>MAYO!AG183</f>
        <v>4645935</v>
      </c>
      <c r="AF183" s="457">
        <v>0</v>
      </c>
      <c r="AG183" s="20">
        <f t="shared" si="155"/>
        <v>4645935</v>
      </c>
      <c r="AH183" s="21">
        <f t="shared" si="156"/>
        <v>0</v>
      </c>
      <c r="AI183" s="17">
        <f t="shared" si="157"/>
        <v>0</v>
      </c>
      <c r="AJ183" s="18">
        <f t="shared" si="158"/>
        <v>945070</v>
      </c>
      <c r="AK183" s="10"/>
      <c r="AL183" s="455">
        <v>0</v>
      </c>
      <c r="AM183" s="458">
        <v>0</v>
      </c>
      <c r="AN183" s="10"/>
    </row>
    <row r="184" spans="1:40" s="467" customFormat="1" ht="15.75" x14ac:dyDescent="0.2">
      <c r="A184" s="623"/>
      <c r="N184" s="10"/>
      <c r="P184" s="10"/>
      <c r="Q184" s="10"/>
      <c r="R184" s="10"/>
      <c r="S184" s="448" t="str">
        <f>+IF(MAYO!S184=0,"",MAYO!S184)</f>
        <v/>
      </c>
      <c r="T184" s="649" t="str">
        <f>+IF(MAYO!T184=0,"",MAYO!T184)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row>
    <row r="185" spans="1:40" s="467" customFormat="1" ht="15" x14ac:dyDescent="0.2">
      <c r="A185" s="623"/>
      <c r="N185" s="10"/>
      <c r="P185" s="10"/>
      <c r="Q185" s="10"/>
      <c r="R185" s="10"/>
      <c r="S185" s="34">
        <f>+IF(MAYO!S185=0,"",MAYO!S185)</f>
        <v>3300000</v>
      </c>
      <c r="T185" s="158" t="str">
        <f>+IF(MAYO!T185=0,"",MAYO!T185)</f>
        <v>Otras Transferencias</v>
      </c>
      <c r="U185" s="157">
        <f t="shared" ref="U185:AJ185" si="159">U186+U187+U191</f>
        <v>1500000</v>
      </c>
      <c r="V185" s="144">
        <f t="shared" si="159"/>
        <v>476550</v>
      </c>
      <c r="W185" s="144">
        <f t="shared" si="159"/>
        <v>0</v>
      </c>
      <c r="X185" s="152">
        <f t="shared" si="159"/>
        <v>1976550</v>
      </c>
      <c r="Y185" s="151">
        <f t="shared" si="159"/>
        <v>615750</v>
      </c>
      <c r="Z185" s="144">
        <f t="shared" si="159"/>
        <v>0</v>
      </c>
      <c r="AA185" s="152">
        <f t="shared" si="159"/>
        <v>615750</v>
      </c>
      <c r="AB185" s="151">
        <f t="shared" si="159"/>
        <v>615750</v>
      </c>
      <c r="AC185" s="144">
        <f t="shared" si="159"/>
        <v>0</v>
      </c>
      <c r="AD185" s="152">
        <f t="shared" si="159"/>
        <v>615750</v>
      </c>
      <c r="AE185" s="151">
        <f t="shared" si="159"/>
        <v>476550</v>
      </c>
      <c r="AF185" s="144">
        <f t="shared" si="159"/>
        <v>0</v>
      </c>
      <c r="AG185" s="152">
        <f t="shared" si="159"/>
        <v>476550</v>
      </c>
      <c r="AH185" s="151">
        <f t="shared" si="159"/>
        <v>1360800</v>
      </c>
      <c r="AI185" s="144">
        <f t="shared" si="159"/>
        <v>1360800</v>
      </c>
      <c r="AJ185" s="153">
        <f t="shared" si="159"/>
        <v>1500000</v>
      </c>
      <c r="AK185" s="10"/>
      <c r="AL185" s="151">
        <f>AL186+AL187+AL191</f>
        <v>0</v>
      </c>
      <c r="AM185" s="153">
        <f>AM186+AM187+AM191</f>
        <v>0</v>
      </c>
      <c r="AN185" s="10"/>
    </row>
    <row r="186" spans="1:40" s="467" customFormat="1" x14ac:dyDescent="0.2">
      <c r="A186" s="623"/>
      <c r="N186" s="10"/>
      <c r="P186" s="10"/>
      <c r="Q186" s="10"/>
      <c r="R186" s="10"/>
      <c r="S186" s="155">
        <f>+IF(MAYO!S186=0,"",MAYO!S186)</f>
        <v>3300100</v>
      </c>
      <c r="T186" s="159" t="str">
        <f>+IF(MAYO!T186=0,"",MAYO!T186)</f>
        <v>Sentencias y Conciliaciones</v>
      </c>
      <c r="U186" s="29">
        <f>+ENERO!U186</f>
        <v>0</v>
      </c>
      <c r="V186" s="17">
        <f>MAYO!V186+JUNIO!AL186</f>
        <v>0</v>
      </c>
      <c r="W186" s="17">
        <f>MAYO!W186+JUNIO!AM186</f>
        <v>0</v>
      </c>
      <c r="X186" s="20">
        <f>SUM(U186:W186)</f>
        <v>0</v>
      </c>
      <c r="Y186" s="21">
        <f>MAYO!AA186</f>
        <v>0</v>
      </c>
      <c r="Z186" s="457">
        <v>0</v>
      </c>
      <c r="AA186" s="20">
        <f>SUM(Y186:Z186)</f>
        <v>0</v>
      </c>
      <c r="AB186" s="21">
        <f>MAYO!AD186</f>
        <v>0</v>
      </c>
      <c r="AC186" s="457">
        <v>0</v>
      </c>
      <c r="AD186" s="20">
        <f>SUM(AB186:AC186)</f>
        <v>0</v>
      </c>
      <c r="AE186" s="21">
        <f>MAYO!AG186</f>
        <v>0</v>
      </c>
      <c r="AF186" s="457">
        <v>0</v>
      </c>
      <c r="AG186" s="20">
        <f>SUM(AE186:AF186)</f>
        <v>0</v>
      </c>
      <c r="AH186" s="21">
        <f>X186-AA186</f>
        <v>0</v>
      </c>
      <c r="AI186" s="17">
        <f>X186-AD186</f>
        <v>0</v>
      </c>
      <c r="AJ186" s="18">
        <f>X186-AG186</f>
        <v>0</v>
      </c>
      <c r="AK186" s="10"/>
      <c r="AL186" s="455">
        <v>0</v>
      </c>
      <c r="AM186" s="458">
        <v>0</v>
      </c>
      <c r="AN186" s="10"/>
    </row>
    <row r="187" spans="1:40" s="467" customFormat="1" x14ac:dyDescent="0.2">
      <c r="A187" s="623"/>
      <c r="N187" s="10"/>
      <c r="P187" s="10"/>
      <c r="Q187" s="10"/>
      <c r="R187" s="10"/>
      <c r="S187" s="155">
        <f>+IF(MAYO!S187=0,"",MAYO!S187)</f>
        <v>3300200</v>
      </c>
      <c r="T187" s="159" t="str">
        <f>+IF(MAYO!T187=0,"",MAYO!T187)</f>
        <v>Destinatarios de otras transferencias</v>
      </c>
      <c r="U187" s="29">
        <f t="shared" ref="U187:AM187" si="160">SUM(U188:U190)</f>
        <v>1500000</v>
      </c>
      <c r="V187" s="17">
        <f t="shared" si="160"/>
        <v>0</v>
      </c>
      <c r="W187" s="17">
        <f t="shared" si="160"/>
        <v>0</v>
      </c>
      <c r="X187" s="20">
        <f t="shared" si="160"/>
        <v>1500000</v>
      </c>
      <c r="Y187" s="21">
        <f t="shared" si="160"/>
        <v>139200</v>
      </c>
      <c r="Z187" s="169">
        <f t="shared" si="160"/>
        <v>0</v>
      </c>
      <c r="AA187" s="20">
        <f t="shared" si="160"/>
        <v>139200</v>
      </c>
      <c r="AB187" s="21">
        <f t="shared" si="160"/>
        <v>139200</v>
      </c>
      <c r="AC187" s="169">
        <f t="shared" si="160"/>
        <v>0</v>
      </c>
      <c r="AD187" s="20">
        <f t="shared" si="160"/>
        <v>139200</v>
      </c>
      <c r="AE187" s="21">
        <f t="shared" si="160"/>
        <v>0</v>
      </c>
      <c r="AF187" s="169">
        <f t="shared" si="160"/>
        <v>0</v>
      </c>
      <c r="AG187" s="20">
        <f t="shared" si="160"/>
        <v>0</v>
      </c>
      <c r="AH187" s="21">
        <f t="shared" si="160"/>
        <v>1360800</v>
      </c>
      <c r="AI187" s="17">
        <f t="shared" si="160"/>
        <v>1360800</v>
      </c>
      <c r="AJ187" s="18">
        <f t="shared" si="160"/>
        <v>1500000</v>
      </c>
      <c r="AK187" s="10"/>
      <c r="AL187" s="31">
        <f t="shared" si="160"/>
        <v>0</v>
      </c>
      <c r="AM187" s="28">
        <f t="shared" si="160"/>
        <v>0</v>
      </c>
      <c r="AN187" s="10"/>
    </row>
    <row r="188" spans="1:40" s="467" customFormat="1" x14ac:dyDescent="0.2">
      <c r="A188" s="623"/>
      <c r="B188" s="554"/>
      <c r="N188" s="10"/>
      <c r="P188" s="10"/>
      <c r="Q188" s="10"/>
      <c r="R188" s="10"/>
      <c r="S188" s="156" t="str">
        <f>+IF(MAYO!S188=0,"",MAYO!S188)</f>
        <v>3300200-1</v>
      </c>
      <c r="T188" s="159" t="str">
        <f>+IF(MAYO!T188=0,"",MAYO!T188)</f>
        <v>COHAN</v>
      </c>
      <c r="U188" s="29">
        <f>+ENERO!U188</f>
        <v>1500000</v>
      </c>
      <c r="V188" s="17">
        <f>MAYO!V188+JUNIO!AL188</f>
        <v>0</v>
      </c>
      <c r="W188" s="17">
        <f>MAYO!W188+JUNIO!AM188</f>
        <v>0</v>
      </c>
      <c r="X188" s="20">
        <f>SUM(U188:W188)</f>
        <v>1500000</v>
      </c>
      <c r="Y188" s="21">
        <f>MAYO!AA188</f>
        <v>139200</v>
      </c>
      <c r="Z188" s="457">
        <v>0</v>
      </c>
      <c r="AA188" s="20">
        <f>SUM(Y188:Z188)</f>
        <v>139200</v>
      </c>
      <c r="AB188" s="21">
        <f>MAYO!AD188</f>
        <v>139200</v>
      </c>
      <c r="AC188" s="457">
        <v>0</v>
      </c>
      <c r="AD188" s="20">
        <f>SUM(AB188:AC188)</f>
        <v>139200</v>
      </c>
      <c r="AE188" s="21">
        <f>MAYO!AG188</f>
        <v>0</v>
      </c>
      <c r="AF188" s="457">
        <v>0</v>
      </c>
      <c r="AG188" s="20">
        <f>SUM(AE188:AF188)</f>
        <v>0</v>
      </c>
      <c r="AH188" s="21">
        <f>X188-AA188</f>
        <v>1360800</v>
      </c>
      <c r="AI188" s="17">
        <f>X188-AD188</f>
        <v>1360800</v>
      </c>
      <c r="AJ188" s="18">
        <f>X188-AG188</f>
        <v>1500000</v>
      </c>
      <c r="AK188" s="10"/>
      <c r="AL188" s="455">
        <v>0</v>
      </c>
      <c r="AM188" s="458">
        <v>0</v>
      </c>
      <c r="AN188" s="10"/>
    </row>
    <row r="189" spans="1:40" s="467" customFormat="1" x14ac:dyDescent="0.2">
      <c r="A189" s="623"/>
      <c r="B189" s="554"/>
      <c r="N189" s="10"/>
      <c r="P189" s="10"/>
      <c r="Q189" s="10"/>
      <c r="R189" s="10"/>
      <c r="S189" s="156" t="str">
        <f>+IF(MAYO!S189=0,"",MAYO!S189)</f>
        <v>3300200-2</v>
      </c>
      <c r="T189" s="159" t="str">
        <f>+IF(MAYO!T189=0,"",MAYO!T189)</f>
        <v>AESA</v>
      </c>
      <c r="U189" s="29">
        <f>+ENERO!U189</f>
        <v>0</v>
      </c>
      <c r="V189" s="17">
        <f>MAYO!V189+JUNIO!AL189</f>
        <v>0</v>
      </c>
      <c r="W189" s="17">
        <f>MAYO!W189+JUNIO!AM189</f>
        <v>0</v>
      </c>
      <c r="X189" s="20">
        <f>SUM(U189:W189)</f>
        <v>0</v>
      </c>
      <c r="Y189" s="21">
        <f>MAYO!AA189</f>
        <v>0</v>
      </c>
      <c r="Z189" s="457">
        <v>0</v>
      </c>
      <c r="AA189" s="20">
        <f>SUM(Y189:Z189)</f>
        <v>0</v>
      </c>
      <c r="AB189" s="21">
        <f>MAYO!AD189</f>
        <v>0</v>
      </c>
      <c r="AC189" s="457">
        <v>0</v>
      </c>
      <c r="AD189" s="20">
        <f>SUM(AB189:AC189)</f>
        <v>0</v>
      </c>
      <c r="AE189" s="21">
        <f>MAYO!AG189</f>
        <v>0</v>
      </c>
      <c r="AF189" s="457">
        <v>0</v>
      </c>
      <c r="AG189" s="20">
        <f>SUM(AE189:AF189)</f>
        <v>0</v>
      </c>
      <c r="AH189" s="21">
        <f>X189-AA189</f>
        <v>0</v>
      </c>
      <c r="AI189" s="17">
        <f>X189-AD189</f>
        <v>0</v>
      </c>
      <c r="AJ189" s="18">
        <f>X189-AG189</f>
        <v>0</v>
      </c>
      <c r="AK189" s="10"/>
      <c r="AL189" s="455">
        <v>0</v>
      </c>
      <c r="AM189" s="458">
        <v>0</v>
      </c>
      <c r="AN189" s="10"/>
    </row>
    <row r="190" spans="1:40" s="467" customFormat="1" x14ac:dyDescent="0.2">
      <c r="A190" s="623"/>
      <c r="B190" s="554"/>
      <c r="N190" s="10"/>
      <c r="P190" s="10"/>
      <c r="Q190" s="10"/>
      <c r="R190" s="10"/>
      <c r="S190" s="156" t="str">
        <f>+IF(MAYO!S190=0,"",MAYO!S190)</f>
        <v>3300200-3</v>
      </c>
      <c r="T190" s="159" t="str">
        <f>+IF(MAYO!T190=0,"",MAYO!T190)</f>
        <v xml:space="preserve">OTRAS </v>
      </c>
      <c r="U190" s="29">
        <f>+ENERO!U190</f>
        <v>0</v>
      </c>
      <c r="V190" s="17">
        <f>MAYO!V190+JUNIO!AL190</f>
        <v>0</v>
      </c>
      <c r="W190" s="17">
        <f>MAYO!W190+JUNIO!AM190</f>
        <v>0</v>
      </c>
      <c r="X190" s="20">
        <f>SUM(U190:W190)</f>
        <v>0</v>
      </c>
      <c r="Y190" s="21">
        <f>MAYO!AA190</f>
        <v>0</v>
      </c>
      <c r="Z190" s="457">
        <v>0</v>
      </c>
      <c r="AA190" s="20">
        <f>SUM(Y190:Z190)</f>
        <v>0</v>
      </c>
      <c r="AB190" s="21">
        <f>MAYO!AD190</f>
        <v>0</v>
      </c>
      <c r="AC190" s="457">
        <v>0</v>
      </c>
      <c r="AD190" s="20">
        <f>SUM(AB190:AC190)</f>
        <v>0</v>
      </c>
      <c r="AE190" s="21">
        <f>MAYO!AG190</f>
        <v>0</v>
      </c>
      <c r="AF190" s="457">
        <v>0</v>
      </c>
      <c r="AG190" s="20">
        <f>SUM(AE190:AF190)</f>
        <v>0</v>
      </c>
      <c r="AH190" s="21">
        <f>X190-AA190</f>
        <v>0</v>
      </c>
      <c r="AI190" s="17">
        <f>X190-AD190</f>
        <v>0</v>
      </c>
      <c r="AJ190" s="18">
        <f>X190-AG190</f>
        <v>0</v>
      </c>
      <c r="AK190" s="10"/>
      <c r="AL190" s="455">
        <v>0</v>
      </c>
      <c r="AM190" s="458">
        <v>0</v>
      </c>
      <c r="AN190" s="10"/>
    </row>
    <row r="191" spans="1:40" s="467" customFormat="1" x14ac:dyDescent="0.2">
      <c r="A191" s="623"/>
      <c r="B191" s="554"/>
      <c r="N191" s="10"/>
      <c r="P191" s="10"/>
      <c r="Q191" s="10"/>
      <c r="R191" s="10"/>
      <c r="S191" s="155">
        <f>+IF(MAYO!S191=0,"",MAYO!S191)</f>
        <v>3399999</v>
      </c>
      <c r="T191" s="159" t="str">
        <f>+IF(MAYO!T191=0,"",MAYO!T191)</f>
        <v>Vigencias Anteriores</v>
      </c>
      <c r="U191" s="29">
        <f>+ENERO!U191</f>
        <v>0</v>
      </c>
      <c r="V191" s="17">
        <f>MAYO!V191+JUNIO!AL191</f>
        <v>476550</v>
      </c>
      <c r="W191" s="17">
        <f>MAYO!W191+JUNIO!AM191</f>
        <v>0</v>
      </c>
      <c r="X191" s="20">
        <f>SUM(U191:W191)</f>
        <v>476550</v>
      </c>
      <c r="Y191" s="21">
        <f>MAYO!AA191</f>
        <v>476550</v>
      </c>
      <c r="Z191" s="457">
        <v>0</v>
      </c>
      <c r="AA191" s="20">
        <f>SUM(Y191:Z191)</f>
        <v>476550</v>
      </c>
      <c r="AB191" s="21">
        <f>MAYO!AD191</f>
        <v>476550</v>
      </c>
      <c r="AC191" s="457">
        <v>0</v>
      </c>
      <c r="AD191" s="20">
        <f>SUM(AB191:AC191)</f>
        <v>476550</v>
      </c>
      <c r="AE191" s="21">
        <f>MAYO!AG191</f>
        <v>476550</v>
      </c>
      <c r="AF191" s="457">
        <v>0</v>
      </c>
      <c r="AG191" s="20">
        <f>SUM(AE191:AF191)</f>
        <v>476550</v>
      </c>
      <c r="AH191" s="21">
        <f>X191-AA191</f>
        <v>0</v>
      </c>
      <c r="AI191" s="17">
        <f>X191-AD191</f>
        <v>0</v>
      </c>
      <c r="AJ191" s="18">
        <f>X191-AG191</f>
        <v>0</v>
      </c>
      <c r="AK191" s="10"/>
      <c r="AL191" s="455">
        <v>0</v>
      </c>
      <c r="AM191" s="458">
        <v>0</v>
      </c>
      <c r="AN191" s="10"/>
    </row>
    <row r="192" spans="1:40" s="467" customFormat="1" ht="15.75" x14ac:dyDescent="0.2">
      <c r="A192" s="623"/>
      <c r="B192" s="554"/>
      <c r="N192" s="10"/>
      <c r="P192" s="10"/>
      <c r="Q192" s="10"/>
      <c r="R192" s="10"/>
      <c r="S192" s="448" t="str">
        <f>+IF(MAYO!S192=0,"",MAYO!S192)</f>
        <v/>
      </c>
      <c r="T192" s="649" t="str">
        <f>+IF(MAYO!T192=0,"",MAYO!T192)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x14ac:dyDescent="0.2">
      <c r="A193" s="623"/>
      <c r="B193" s="554"/>
      <c r="N193" s="10"/>
      <c r="P193" s="10"/>
      <c r="Q193" s="10"/>
      <c r="R193" s="10"/>
      <c r="S193" s="469">
        <f>+IF(MAYO!S193=0,"",MAYO!S193)</f>
        <v>4000000</v>
      </c>
      <c r="T193" s="588" t="str">
        <f>+IF(MAYO!T193=0,"",MAYO!T193)</f>
        <v>GASTOS  DE PRESTACION DE SERVICIOS</v>
      </c>
      <c r="U193" s="589">
        <f t="shared" ref="U193:AJ193" si="161">U194</f>
        <v>355892858</v>
      </c>
      <c r="V193" s="590">
        <f t="shared" si="161"/>
        <v>15217291</v>
      </c>
      <c r="W193" s="590">
        <f t="shared" si="161"/>
        <v>17783068</v>
      </c>
      <c r="X193" s="591">
        <f t="shared" si="161"/>
        <v>388893217</v>
      </c>
      <c r="Y193" s="464">
        <f t="shared" si="161"/>
        <v>167874023</v>
      </c>
      <c r="Z193" s="590">
        <f t="shared" si="161"/>
        <v>27671036</v>
      </c>
      <c r="AA193" s="591">
        <f t="shared" si="161"/>
        <v>195545059</v>
      </c>
      <c r="AB193" s="464">
        <f t="shared" si="161"/>
        <v>167847013</v>
      </c>
      <c r="AC193" s="590">
        <f t="shared" si="161"/>
        <v>27671035</v>
      </c>
      <c r="AD193" s="591">
        <f t="shared" si="161"/>
        <v>195518048</v>
      </c>
      <c r="AE193" s="464">
        <f t="shared" si="161"/>
        <v>101303115</v>
      </c>
      <c r="AF193" s="590">
        <f t="shared" si="161"/>
        <v>18894588</v>
      </c>
      <c r="AG193" s="591">
        <f t="shared" si="161"/>
        <v>120197703</v>
      </c>
      <c r="AH193" s="464">
        <f t="shared" si="161"/>
        <v>193348158</v>
      </c>
      <c r="AI193" s="590">
        <f t="shared" si="161"/>
        <v>193375169</v>
      </c>
      <c r="AJ193" s="465">
        <f t="shared" si="161"/>
        <v>268695514</v>
      </c>
      <c r="AK193" s="10"/>
      <c r="AL193" s="151">
        <f>AL194</f>
        <v>0</v>
      </c>
      <c r="AM193" s="153">
        <f>AM194</f>
        <v>0</v>
      </c>
      <c r="AN193" s="10"/>
    </row>
    <row r="194" spans="1:40" s="467" customFormat="1" ht="15" x14ac:dyDescent="0.2">
      <c r="A194" s="623"/>
      <c r="B194" s="554"/>
      <c r="N194" s="10"/>
      <c r="P194" s="10"/>
      <c r="Q194" s="10"/>
      <c r="R194" s="10"/>
      <c r="S194" s="34">
        <f>+IF(MAYO!S194=0,"",MAYO!S194)</f>
        <v>4100000</v>
      </c>
      <c r="T194" s="158" t="str">
        <f>+IF(MAYO!T194=0,"",MAYO!T194)</f>
        <v>Insumos y Suministros Hospitalarios</v>
      </c>
      <c r="U194" s="157">
        <f t="shared" ref="U194:AJ194" si="162">U195+U203+U205</f>
        <v>355892858</v>
      </c>
      <c r="V194" s="144">
        <f t="shared" si="162"/>
        <v>15217291</v>
      </c>
      <c r="W194" s="144">
        <f t="shared" si="162"/>
        <v>17783068</v>
      </c>
      <c r="X194" s="152">
        <f t="shared" si="162"/>
        <v>388893217</v>
      </c>
      <c r="Y194" s="151">
        <f t="shared" si="162"/>
        <v>167874023</v>
      </c>
      <c r="Z194" s="144">
        <f t="shared" si="162"/>
        <v>27671036</v>
      </c>
      <c r="AA194" s="152">
        <f t="shared" si="162"/>
        <v>195545059</v>
      </c>
      <c r="AB194" s="151">
        <f t="shared" si="162"/>
        <v>167847013</v>
      </c>
      <c r="AC194" s="144">
        <f t="shared" si="162"/>
        <v>27671035</v>
      </c>
      <c r="AD194" s="152">
        <f t="shared" si="162"/>
        <v>195518048</v>
      </c>
      <c r="AE194" s="151">
        <f t="shared" si="162"/>
        <v>101303115</v>
      </c>
      <c r="AF194" s="144">
        <f t="shared" si="162"/>
        <v>18894588</v>
      </c>
      <c r="AG194" s="152">
        <f t="shared" si="162"/>
        <v>120197703</v>
      </c>
      <c r="AH194" s="151">
        <f t="shared" si="162"/>
        <v>193348158</v>
      </c>
      <c r="AI194" s="144">
        <f t="shared" si="162"/>
        <v>193375169</v>
      </c>
      <c r="AJ194" s="153">
        <f t="shared" si="162"/>
        <v>268695514</v>
      </c>
      <c r="AK194" s="12"/>
      <c r="AL194" s="151">
        <f>AL195+AL203+AL205</f>
        <v>0</v>
      </c>
      <c r="AM194" s="153">
        <f>AM195+AM203+AM205</f>
        <v>0</v>
      </c>
      <c r="AN194" s="10"/>
    </row>
    <row r="195" spans="1:40" s="467" customFormat="1" x14ac:dyDescent="0.2">
      <c r="A195" s="623"/>
      <c r="B195" s="554"/>
      <c r="N195" s="10"/>
      <c r="P195" s="10"/>
      <c r="Q195" s="10"/>
      <c r="R195" s="10"/>
      <c r="S195" s="155">
        <f>+IF(MAYO!S195=0,"",MAYO!S195)</f>
        <v>4100100</v>
      </c>
      <c r="T195" s="159" t="str">
        <f>+IF(MAYO!T195=0,"",MAYO!T195)</f>
        <v>Compra de Bienes para la Prestacion de servicios</v>
      </c>
      <c r="U195" s="29">
        <f t="shared" ref="U195:AJ195" si="163">SUM(U196:U202)</f>
        <v>282124359</v>
      </c>
      <c r="V195" s="17">
        <f t="shared" si="163"/>
        <v>0</v>
      </c>
      <c r="W195" s="17">
        <f t="shared" si="163"/>
        <v>17783068</v>
      </c>
      <c r="X195" s="20">
        <f t="shared" si="163"/>
        <v>299907427</v>
      </c>
      <c r="Y195" s="21">
        <f t="shared" si="163"/>
        <v>98805653</v>
      </c>
      <c r="Z195" s="169">
        <f t="shared" si="163"/>
        <v>26404014</v>
      </c>
      <c r="AA195" s="20">
        <f t="shared" si="163"/>
        <v>125209667</v>
      </c>
      <c r="AB195" s="21">
        <f t="shared" si="163"/>
        <v>98778643</v>
      </c>
      <c r="AC195" s="169">
        <f t="shared" si="163"/>
        <v>26404013</v>
      </c>
      <c r="AD195" s="20">
        <f t="shared" si="163"/>
        <v>125182656</v>
      </c>
      <c r="AE195" s="21">
        <f t="shared" si="163"/>
        <v>35889759</v>
      </c>
      <c r="AF195" s="169">
        <f t="shared" si="163"/>
        <v>17467634</v>
      </c>
      <c r="AG195" s="20">
        <f t="shared" si="163"/>
        <v>53357393</v>
      </c>
      <c r="AH195" s="21">
        <f t="shared" si="163"/>
        <v>174697760</v>
      </c>
      <c r="AI195" s="17">
        <f t="shared" si="163"/>
        <v>174724771</v>
      </c>
      <c r="AJ195" s="18">
        <f t="shared" si="163"/>
        <v>246550034</v>
      </c>
      <c r="AK195" s="10"/>
      <c r="AL195" s="31">
        <f>SUM(AL196:AL202)</f>
        <v>0</v>
      </c>
      <c r="AM195" s="28">
        <f>SUM(AM196:AM202)</f>
        <v>0</v>
      </c>
      <c r="AN195" s="10"/>
    </row>
    <row r="196" spans="1:40" s="467" customFormat="1" x14ac:dyDescent="0.2">
      <c r="A196" s="623"/>
      <c r="B196" s="554"/>
      <c r="N196" s="10"/>
      <c r="P196" s="10"/>
      <c r="Q196" s="10"/>
      <c r="R196" s="10"/>
      <c r="S196" s="156" t="str">
        <f>+IF(MAYO!S196=0,"",MAYO!S196)</f>
        <v>4100100-1</v>
      </c>
      <c r="T196" s="55" t="str">
        <f>+IF(MAYO!T196=0,"",MAYO!T196)</f>
        <v>Productos Farmaceuticos</v>
      </c>
      <c r="U196" s="29">
        <f>+ENERO!U196</f>
        <v>185254982</v>
      </c>
      <c r="V196" s="17">
        <f>MAYO!V196+JUNIO!AL196</f>
        <v>0</v>
      </c>
      <c r="W196" s="17">
        <f>MAYO!W196+JUNIO!AM196</f>
        <v>17783068</v>
      </c>
      <c r="X196" s="20">
        <f t="shared" ref="X196:X202" si="164">SUM(U196:W196)</f>
        <v>203038050</v>
      </c>
      <c r="Y196" s="21">
        <f>MAYO!AA196</f>
        <v>64500045</v>
      </c>
      <c r="Z196" s="457">
        <v>13691795</v>
      </c>
      <c r="AA196" s="20">
        <f t="shared" ref="AA196:AA202" si="165">SUM(Y196:Z196)</f>
        <v>78191840</v>
      </c>
      <c r="AB196" s="21">
        <f>MAYO!AD196</f>
        <v>64473036</v>
      </c>
      <c r="AC196" s="457">
        <v>13691795</v>
      </c>
      <c r="AD196" s="20">
        <f t="shared" ref="AD196:AD202" si="166">SUM(AB196:AC196)</f>
        <v>78164831</v>
      </c>
      <c r="AE196" s="21">
        <f>MAYO!AG196</f>
        <v>27123001</v>
      </c>
      <c r="AF196" s="457">
        <v>10135870</v>
      </c>
      <c r="AG196" s="20">
        <f t="shared" ref="AG196:AG202" si="167">SUM(AE196:AF196)</f>
        <v>37258871</v>
      </c>
      <c r="AH196" s="21">
        <f t="shared" ref="AH196:AH202" si="168">X196-AA196</f>
        <v>124846210</v>
      </c>
      <c r="AI196" s="17">
        <f t="shared" ref="AI196:AI202" si="169">X196-AD196</f>
        <v>124873219</v>
      </c>
      <c r="AJ196" s="18">
        <f t="shared" ref="AJ196:AJ202" si="170">X196-AG196</f>
        <v>165779179</v>
      </c>
      <c r="AK196" s="10"/>
      <c r="AL196" s="455">
        <v>0</v>
      </c>
      <c r="AM196" s="458">
        <v>0</v>
      </c>
      <c r="AN196" s="10"/>
    </row>
    <row r="197" spans="1:40" s="467" customFormat="1" x14ac:dyDescent="0.2">
      <c r="A197" s="623"/>
      <c r="B197" s="554"/>
      <c r="N197" s="10"/>
      <c r="P197" s="10"/>
      <c r="Q197" s="10"/>
      <c r="R197" s="10"/>
      <c r="S197" s="156" t="str">
        <f>+IF(MAYO!S197=0,"",MAYO!S197)</f>
        <v>4100100-2</v>
      </c>
      <c r="T197" s="55" t="str">
        <f>+IF(MAYO!T197=0,"",MAYO!T197)</f>
        <v>Material Médico Quirúrgico</v>
      </c>
      <c r="U197" s="29">
        <f>+ENERO!U197</f>
        <v>45805235</v>
      </c>
      <c r="V197" s="17">
        <f>MAYO!V197+JUNIO!AL197</f>
        <v>0</v>
      </c>
      <c r="W197" s="17">
        <f>MAYO!W197+JUNIO!AM197</f>
        <v>0</v>
      </c>
      <c r="X197" s="20">
        <f t="shared" si="164"/>
        <v>45805235</v>
      </c>
      <c r="Y197" s="21">
        <f>MAYO!AA197</f>
        <v>17686766</v>
      </c>
      <c r="Z197" s="457">
        <v>6452370</v>
      </c>
      <c r="AA197" s="20">
        <f t="shared" si="165"/>
        <v>24139136</v>
      </c>
      <c r="AB197" s="21">
        <f>MAYO!AD197</f>
        <v>17686765</v>
      </c>
      <c r="AC197" s="457">
        <v>6452369</v>
      </c>
      <c r="AD197" s="20">
        <f t="shared" si="166"/>
        <v>24139134</v>
      </c>
      <c r="AE197" s="21">
        <f>MAYO!AG197</f>
        <v>7057953</v>
      </c>
      <c r="AF197" s="457">
        <v>3369610</v>
      </c>
      <c r="AG197" s="20">
        <f t="shared" si="167"/>
        <v>10427563</v>
      </c>
      <c r="AH197" s="21">
        <f t="shared" si="168"/>
        <v>21666099</v>
      </c>
      <c r="AI197" s="17">
        <f t="shared" si="169"/>
        <v>21666101</v>
      </c>
      <c r="AJ197" s="18">
        <f t="shared" si="170"/>
        <v>35377672</v>
      </c>
      <c r="AK197" s="10"/>
      <c r="AL197" s="455">
        <v>0</v>
      </c>
      <c r="AM197" s="458">
        <v>0</v>
      </c>
      <c r="AN197" s="10"/>
    </row>
    <row r="198" spans="1:40" s="467" customFormat="1" x14ac:dyDescent="0.2">
      <c r="A198" s="623"/>
      <c r="B198" s="554"/>
      <c r="N198" s="10"/>
      <c r="P198" s="10"/>
      <c r="Q198" s="10"/>
      <c r="R198" s="10"/>
      <c r="S198" s="156" t="str">
        <f>+IF(MAYO!S198=0,"",MAYO!S198)</f>
        <v>4100100-3</v>
      </c>
      <c r="T198" s="55" t="str">
        <f>+IF(MAYO!T198=0,"",MAYO!T198)</f>
        <v>Material de Laboratorio</v>
      </c>
      <c r="U198" s="29">
        <f>+ENERO!U198</f>
        <v>28507645</v>
      </c>
      <c r="V198" s="17">
        <f>MAYO!V198+JUNIO!AL198</f>
        <v>0</v>
      </c>
      <c r="W198" s="17">
        <f>MAYO!W198+JUNIO!AM198</f>
        <v>0</v>
      </c>
      <c r="X198" s="20">
        <f t="shared" si="164"/>
        <v>28507645</v>
      </c>
      <c r="Y198" s="21">
        <f>MAYO!AA198</f>
        <v>9326170</v>
      </c>
      <c r="Z198" s="457">
        <v>4667363</v>
      </c>
      <c r="AA198" s="20">
        <f t="shared" si="165"/>
        <v>13993533</v>
      </c>
      <c r="AB198" s="21">
        <f>MAYO!AD198</f>
        <v>9326170</v>
      </c>
      <c r="AC198" s="457">
        <v>4667363</v>
      </c>
      <c r="AD198" s="20">
        <f t="shared" si="166"/>
        <v>13993533</v>
      </c>
      <c r="AE198" s="21">
        <f>MAYO!AG198</f>
        <v>1440000</v>
      </c>
      <c r="AF198" s="457">
        <v>916464</v>
      </c>
      <c r="AG198" s="20">
        <f t="shared" si="167"/>
        <v>2356464</v>
      </c>
      <c r="AH198" s="21">
        <f t="shared" si="168"/>
        <v>14514112</v>
      </c>
      <c r="AI198" s="17">
        <f t="shared" si="169"/>
        <v>14514112</v>
      </c>
      <c r="AJ198" s="18">
        <f t="shared" si="170"/>
        <v>26151181</v>
      </c>
      <c r="AK198" s="10"/>
      <c r="AL198" s="455">
        <v>0</v>
      </c>
      <c r="AM198" s="458">
        <v>0</v>
      </c>
      <c r="AN198" s="10"/>
    </row>
    <row r="199" spans="1:40" s="467" customFormat="1" x14ac:dyDescent="0.2">
      <c r="A199" s="623"/>
      <c r="B199" s="554"/>
      <c r="N199" s="10"/>
      <c r="P199" s="10"/>
      <c r="Q199" s="10"/>
      <c r="R199" s="10"/>
      <c r="S199" s="156" t="str">
        <f>+IF(MAYO!S199=0,"",MAYO!S199)</f>
        <v>4100100-4</v>
      </c>
      <c r="T199" s="55" t="str">
        <f>+IF(MAYO!T199=0,"",MAYO!T199)</f>
        <v>Material para Odontologia</v>
      </c>
      <c r="U199" s="29">
        <f>+ENERO!U199</f>
        <v>13598841</v>
      </c>
      <c r="V199" s="17">
        <f>MAYO!V199+JUNIO!AL199</f>
        <v>0</v>
      </c>
      <c r="W199" s="17">
        <f>MAYO!W199+JUNIO!AM199</f>
        <v>0</v>
      </c>
      <c r="X199" s="20">
        <f t="shared" si="164"/>
        <v>13598841</v>
      </c>
      <c r="Y199" s="21">
        <f>MAYO!AA199</f>
        <v>4977390</v>
      </c>
      <c r="Z199" s="457">
        <v>0</v>
      </c>
      <c r="AA199" s="20">
        <f t="shared" si="165"/>
        <v>4977390</v>
      </c>
      <c r="AB199" s="21">
        <f>MAYO!AD199</f>
        <v>4977390</v>
      </c>
      <c r="AC199" s="457">
        <v>0</v>
      </c>
      <c r="AD199" s="20">
        <f t="shared" si="166"/>
        <v>4977390</v>
      </c>
      <c r="AE199" s="21">
        <f>MAYO!AG199</f>
        <v>30000</v>
      </c>
      <c r="AF199" s="457">
        <v>1242050</v>
      </c>
      <c r="AG199" s="20">
        <f t="shared" si="167"/>
        <v>1272050</v>
      </c>
      <c r="AH199" s="21">
        <f t="shared" si="168"/>
        <v>8621451</v>
      </c>
      <c r="AI199" s="17">
        <f t="shared" si="169"/>
        <v>8621451</v>
      </c>
      <c r="AJ199" s="18">
        <f t="shared" si="170"/>
        <v>12326791</v>
      </c>
      <c r="AK199" s="10"/>
      <c r="AL199" s="455">
        <v>0</v>
      </c>
      <c r="AM199" s="458">
        <v>0</v>
      </c>
      <c r="AN199" s="10"/>
    </row>
    <row r="200" spans="1:40" s="467" customFormat="1" x14ac:dyDescent="0.2">
      <c r="A200" s="623"/>
      <c r="B200" s="554"/>
      <c r="N200" s="10"/>
      <c r="P200" s="10"/>
      <c r="Q200" s="10"/>
      <c r="R200" s="10"/>
      <c r="S200" s="156" t="str">
        <f>+IF(MAYO!S200=0,"",MAYO!S200)</f>
        <v>4100100-5</v>
      </c>
      <c r="T200" s="55" t="str">
        <f>+IF(MAYO!T200=0,"",MAYO!T200)</f>
        <v>Material para Rayos X</v>
      </c>
      <c r="U200" s="29">
        <f>+ENERO!U200</f>
        <v>8957656</v>
      </c>
      <c r="V200" s="17">
        <f>MAYO!V200+JUNIO!AL200</f>
        <v>0</v>
      </c>
      <c r="W200" s="17">
        <f>MAYO!W200+JUNIO!AM200</f>
        <v>0</v>
      </c>
      <c r="X200" s="20">
        <f t="shared" si="164"/>
        <v>8957656</v>
      </c>
      <c r="Y200" s="21">
        <f>MAYO!AA200</f>
        <v>2315282</v>
      </c>
      <c r="Z200" s="457">
        <v>1592486</v>
      </c>
      <c r="AA200" s="20">
        <f t="shared" si="165"/>
        <v>3907768</v>
      </c>
      <c r="AB200" s="21">
        <f>MAYO!AD200</f>
        <v>2315282</v>
      </c>
      <c r="AC200" s="457">
        <v>1592486</v>
      </c>
      <c r="AD200" s="20">
        <f t="shared" si="166"/>
        <v>3907768</v>
      </c>
      <c r="AE200" s="21">
        <f>MAYO!AG200</f>
        <v>238805</v>
      </c>
      <c r="AF200" s="457">
        <v>1803640</v>
      </c>
      <c r="AG200" s="20">
        <f t="shared" si="167"/>
        <v>2042445</v>
      </c>
      <c r="AH200" s="21">
        <f t="shared" si="168"/>
        <v>5049888</v>
      </c>
      <c r="AI200" s="17">
        <f t="shared" si="169"/>
        <v>5049888</v>
      </c>
      <c r="AJ200" s="18">
        <f t="shared" si="170"/>
        <v>6915211</v>
      </c>
      <c r="AK200" s="10"/>
      <c r="AL200" s="455">
        <v>0</v>
      </c>
      <c r="AM200" s="458">
        <v>0</v>
      </c>
      <c r="AN200" s="10"/>
    </row>
    <row r="201" spans="1:40" s="467" customFormat="1" x14ac:dyDescent="0.2">
      <c r="A201" s="623"/>
      <c r="B201" s="554"/>
      <c r="N201" s="10"/>
      <c r="P201" s="10"/>
      <c r="Q201" s="10"/>
      <c r="R201" s="10"/>
      <c r="S201" s="156" t="str">
        <f>+IF(MAYO!S201=0,"",MAYO!S201)</f>
        <v/>
      </c>
      <c r="T201" s="55" t="str">
        <f>+IF(MAYO!T201=0,"",MAYO!T201)</f>
        <v/>
      </c>
      <c r="U201" s="29">
        <f>+ENERO!U201</f>
        <v>0</v>
      </c>
      <c r="V201" s="17">
        <f>MAYO!V201+JUNIO!AL201</f>
        <v>0</v>
      </c>
      <c r="W201" s="17">
        <f>MAYO!W201+JUNIO!AM201</f>
        <v>0</v>
      </c>
      <c r="X201" s="20">
        <f t="shared" si="164"/>
        <v>0</v>
      </c>
      <c r="Y201" s="21">
        <f>MAYO!AA201</f>
        <v>0</v>
      </c>
      <c r="Z201" s="457">
        <v>0</v>
      </c>
      <c r="AA201" s="20">
        <f t="shared" si="165"/>
        <v>0</v>
      </c>
      <c r="AB201" s="21">
        <f>MAYO!AD201</f>
        <v>0</v>
      </c>
      <c r="AC201" s="457">
        <v>0</v>
      </c>
      <c r="AD201" s="20">
        <f t="shared" si="166"/>
        <v>0</v>
      </c>
      <c r="AE201" s="21">
        <f>MAYO!AG201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x14ac:dyDescent="0.2">
      <c r="A202" s="623"/>
      <c r="B202" s="554"/>
      <c r="N202" s="10"/>
      <c r="P202" s="10"/>
      <c r="Q202" s="10"/>
      <c r="R202" s="10"/>
      <c r="S202" s="156" t="str">
        <f>+IF(MAYO!S202=0,"",MAYO!S202)</f>
        <v/>
      </c>
      <c r="T202" s="55" t="str">
        <f>+IF(MAYO!T202=0,"",MAYO!T202)</f>
        <v/>
      </c>
      <c r="U202" s="29">
        <f>+ENERO!U202</f>
        <v>0</v>
      </c>
      <c r="V202" s="17">
        <f>MAYO!V202+JUNIO!AL202</f>
        <v>0</v>
      </c>
      <c r="W202" s="17">
        <f>MAYO!W202+JUNIO!AM202</f>
        <v>0</v>
      </c>
      <c r="X202" s="20">
        <f t="shared" si="164"/>
        <v>0</v>
      </c>
      <c r="Y202" s="21">
        <f>MAYO!AA202</f>
        <v>0</v>
      </c>
      <c r="Z202" s="457">
        <v>0</v>
      </c>
      <c r="AA202" s="20">
        <f t="shared" si="165"/>
        <v>0</v>
      </c>
      <c r="AB202" s="21">
        <f>MAYO!AD202</f>
        <v>0</v>
      </c>
      <c r="AC202" s="457">
        <v>0</v>
      </c>
      <c r="AD202" s="20">
        <f t="shared" si="166"/>
        <v>0</v>
      </c>
      <c r="AE202" s="21">
        <f>MAYO!AG202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x14ac:dyDescent="0.2">
      <c r="A203" s="623"/>
      <c r="B203" s="554"/>
      <c r="N203" s="10"/>
      <c r="P203" s="10"/>
      <c r="Q203" s="10"/>
      <c r="R203" s="10"/>
      <c r="S203" s="155">
        <f>+IF(MAYO!S203=0,"",MAYO!S203)</f>
        <v>4100200</v>
      </c>
      <c r="T203" s="159" t="str">
        <f>+IF(MAYO!T203=0,"",MAYO!T203)</f>
        <v>Gastos Complementarios e Intermedios</v>
      </c>
      <c r="U203" s="29">
        <f t="shared" ref="U203:AJ203" si="171">U204</f>
        <v>28768499</v>
      </c>
      <c r="V203" s="17">
        <f t="shared" si="171"/>
        <v>0</v>
      </c>
      <c r="W203" s="17">
        <f t="shared" si="171"/>
        <v>0</v>
      </c>
      <c r="X203" s="20">
        <f t="shared" si="171"/>
        <v>28768499</v>
      </c>
      <c r="Y203" s="21">
        <f t="shared" si="171"/>
        <v>8851079</v>
      </c>
      <c r="Z203" s="169">
        <f t="shared" si="171"/>
        <v>1267022</v>
      </c>
      <c r="AA203" s="20">
        <f t="shared" si="171"/>
        <v>10118101</v>
      </c>
      <c r="AB203" s="21">
        <f t="shared" si="171"/>
        <v>8851079</v>
      </c>
      <c r="AC203" s="169">
        <f t="shared" si="171"/>
        <v>1267022</v>
      </c>
      <c r="AD203" s="20">
        <f t="shared" si="171"/>
        <v>10118101</v>
      </c>
      <c r="AE203" s="21">
        <f t="shared" si="171"/>
        <v>6931125</v>
      </c>
      <c r="AF203" s="169">
        <f t="shared" si="171"/>
        <v>1426954</v>
      </c>
      <c r="AG203" s="20">
        <f t="shared" si="171"/>
        <v>8358079</v>
      </c>
      <c r="AH203" s="21">
        <f t="shared" si="171"/>
        <v>18650398</v>
      </c>
      <c r="AI203" s="17">
        <f t="shared" si="171"/>
        <v>18650398</v>
      </c>
      <c r="AJ203" s="18">
        <f t="shared" si="171"/>
        <v>20410420</v>
      </c>
      <c r="AK203" s="10"/>
      <c r="AL203" s="31">
        <f>AL204</f>
        <v>0</v>
      </c>
      <c r="AM203" s="28">
        <f>AM204</f>
        <v>0</v>
      </c>
      <c r="AN203" s="10"/>
    </row>
    <row r="204" spans="1:40" s="467" customFormat="1" x14ac:dyDescent="0.2">
      <c r="A204" s="623"/>
      <c r="B204" s="554"/>
      <c r="N204" s="10"/>
      <c r="P204" s="10"/>
      <c r="Q204" s="10"/>
      <c r="R204" s="10"/>
      <c r="S204" s="156" t="str">
        <f>+IF(MAYO!S204=0,"",MAYO!S204)</f>
        <v>4100200-1</v>
      </c>
      <c r="T204" s="55" t="str">
        <f>+IF(MAYO!T204=0,"",MAYO!T204)</f>
        <v>Alimentación</v>
      </c>
      <c r="U204" s="29">
        <f>+ENERO!U204</f>
        <v>28768499</v>
      </c>
      <c r="V204" s="17">
        <f>MAYO!V204+JUNIO!AL204</f>
        <v>0</v>
      </c>
      <c r="W204" s="17">
        <f>MAYO!W204+JUNIO!AM204</f>
        <v>0</v>
      </c>
      <c r="X204" s="20">
        <f>SUM(U204:W204)</f>
        <v>28768499</v>
      </c>
      <c r="Y204" s="21">
        <f>MAYO!AA204</f>
        <v>8851079</v>
      </c>
      <c r="Z204" s="457">
        <v>1267022</v>
      </c>
      <c r="AA204" s="20">
        <f>SUM(Y204:Z204)</f>
        <v>10118101</v>
      </c>
      <c r="AB204" s="21">
        <f>MAYO!AD204</f>
        <v>8851079</v>
      </c>
      <c r="AC204" s="457">
        <v>1267022</v>
      </c>
      <c r="AD204" s="20">
        <f>SUM(AB204:AC204)</f>
        <v>10118101</v>
      </c>
      <c r="AE204" s="21">
        <f>MAYO!AG204</f>
        <v>6931125</v>
      </c>
      <c r="AF204" s="457">
        <v>1426954</v>
      </c>
      <c r="AG204" s="20">
        <f>SUM(AE204:AF204)</f>
        <v>8358079</v>
      </c>
      <c r="AH204" s="21">
        <f>X204-AA204</f>
        <v>18650398</v>
      </c>
      <c r="AI204" s="17">
        <f>X204-AD204</f>
        <v>18650398</v>
      </c>
      <c r="AJ204" s="18">
        <f>X204-AG204</f>
        <v>20410420</v>
      </c>
      <c r="AK204" s="10"/>
      <c r="AL204" s="455">
        <v>0</v>
      </c>
      <c r="AM204" s="458">
        <v>0</v>
      </c>
      <c r="AN204" s="10"/>
    </row>
    <row r="205" spans="1:40" s="467" customFormat="1" ht="13.5" thickBot="1" x14ac:dyDescent="0.25">
      <c r="A205" s="623"/>
      <c r="B205" s="554"/>
      <c r="N205" s="10"/>
      <c r="P205" s="10"/>
      <c r="Q205" s="10"/>
      <c r="R205" s="10"/>
      <c r="S205" s="624">
        <f>+IF(MAYO!S205=0,"",MAYO!S205)</f>
        <v>4199999</v>
      </c>
      <c r="T205" s="625" t="str">
        <f>+IF(MAYO!T205=0,"",MAYO!T205)</f>
        <v>Vigencias Anteriores</v>
      </c>
      <c r="U205" s="160">
        <f>+ENERO!U205</f>
        <v>45000000</v>
      </c>
      <c r="V205" s="143">
        <f>MAYO!V205+JUNIO!AL205</f>
        <v>15217291</v>
      </c>
      <c r="W205" s="143">
        <f>MAYO!W205+JUNIO!AM205</f>
        <v>0</v>
      </c>
      <c r="X205" s="149">
        <f>SUM(U205:W205)</f>
        <v>60217291</v>
      </c>
      <c r="Y205" s="147">
        <f>MAYO!AA205</f>
        <v>60217291</v>
      </c>
      <c r="Z205" s="475">
        <v>0</v>
      </c>
      <c r="AA205" s="149">
        <f>SUM(Y205:Z205)</f>
        <v>60217291</v>
      </c>
      <c r="AB205" s="147">
        <f>MAYO!AD205</f>
        <v>60217291</v>
      </c>
      <c r="AC205" s="475">
        <v>0</v>
      </c>
      <c r="AD205" s="149">
        <f>SUM(AB205:AC205)</f>
        <v>60217291</v>
      </c>
      <c r="AE205" s="147">
        <f>MAYO!AG205</f>
        <v>58482231</v>
      </c>
      <c r="AF205" s="475">
        <v>0</v>
      </c>
      <c r="AG205" s="149">
        <f>SUM(AE205:AF205)</f>
        <v>58482231</v>
      </c>
      <c r="AH205" s="147">
        <f>X205-AA205</f>
        <v>0</v>
      </c>
      <c r="AI205" s="143">
        <f>X205-AD205</f>
        <v>0</v>
      </c>
      <c r="AJ205" s="148">
        <f>X205-AG205</f>
        <v>1735060</v>
      </c>
      <c r="AK205" s="10"/>
      <c r="AL205" s="471">
        <v>0</v>
      </c>
      <c r="AM205" s="476">
        <v>0</v>
      </c>
      <c r="AN205" s="10"/>
    </row>
    <row r="206" spans="1:40" s="467" customFormat="1" ht="15.75" x14ac:dyDescent="0.2">
      <c r="A206" s="623"/>
      <c r="B206" s="554"/>
      <c r="N206" s="10"/>
      <c r="P206" s="10"/>
      <c r="Q206" s="10"/>
      <c r="R206" s="10"/>
      <c r="S206" s="627" t="str">
        <f>+IF(MAYO!S206=0,"",MAYO!S206)</f>
        <v/>
      </c>
      <c r="T206" s="628" t="str">
        <f>+IF(MAYO!T206=0,"",MAYO!T206)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x14ac:dyDescent="0.2">
      <c r="A207" s="623"/>
      <c r="B207" s="554"/>
      <c r="N207" s="10"/>
      <c r="P207" s="10"/>
      <c r="Q207" s="10"/>
      <c r="R207" s="10"/>
      <c r="S207" s="654" t="str">
        <f>+IF(MAYO!S207=0,"",MAYO!S207)</f>
        <v>B</v>
      </c>
      <c r="T207" s="655" t="str">
        <f>+IF(MAYO!T207=0,"",MAYO!T207)</f>
        <v>GASTOS DE OPERACION COMERCIAL</v>
      </c>
      <c r="U207" s="589">
        <f t="shared" ref="U207:AJ207" si="172">U209</f>
        <v>0</v>
      </c>
      <c r="V207" s="590">
        <f t="shared" si="172"/>
        <v>0</v>
      </c>
      <c r="W207" s="590">
        <f t="shared" si="172"/>
        <v>0</v>
      </c>
      <c r="X207" s="591">
        <f t="shared" si="172"/>
        <v>0</v>
      </c>
      <c r="Y207" s="464">
        <f t="shared" si="172"/>
        <v>0</v>
      </c>
      <c r="Z207" s="590">
        <f t="shared" si="172"/>
        <v>0</v>
      </c>
      <c r="AA207" s="591">
        <f t="shared" si="172"/>
        <v>0</v>
      </c>
      <c r="AB207" s="464">
        <f t="shared" si="172"/>
        <v>0</v>
      </c>
      <c r="AC207" s="590">
        <f t="shared" si="172"/>
        <v>0</v>
      </c>
      <c r="AD207" s="591">
        <f t="shared" si="172"/>
        <v>0</v>
      </c>
      <c r="AE207" s="464">
        <f t="shared" si="172"/>
        <v>0</v>
      </c>
      <c r="AF207" s="590">
        <f t="shared" si="172"/>
        <v>0</v>
      </c>
      <c r="AG207" s="591">
        <f t="shared" si="172"/>
        <v>0</v>
      </c>
      <c r="AH207" s="464">
        <f t="shared" si="172"/>
        <v>0</v>
      </c>
      <c r="AI207" s="590">
        <f t="shared" si="172"/>
        <v>0</v>
      </c>
      <c r="AJ207" s="465">
        <f t="shared" si="172"/>
        <v>0</v>
      </c>
      <c r="AK207" s="10"/>
      <c r="AL207" s="464">
        <f>AL209</f>
        <v>0</v>
      </c>
      <c r="AM207" s="465">
        <f>AM209</f>
        <v>0</v>
      </c>
      <c r="AN207" s="10"/>
    </row>
    <row r="208" spans="1:40" s="467" customFormat="1" ht="15.75" x14ac:dyDescent="0.2">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x14ac:dyDescent="0.2">
      <c r="A209" s="623"/>
      <c r="B209" s="554"/>
      <c r="N209" s="10"/>
      <c r="P209" s="10"/>
      <c r="Q209" s="10"/>
      <c r="R209" s="10"/>
      <c r="S209" s="469">
        <f>+IF(MAYO!S209=0,"",MAYO!S209)</f>
        <v>5000000</v>
      </c>
      <c r="T209" s="469" t="str">
        <f>+IF(MAYO!T209=0,"",MAYO!T209)</f>
        <v>GASTOS DE COMERCIALIZACION</v>
      </c>
      <c r="U209" s="589">
        <f t="shared" ref="U209:AJ209" si="173">U210</f>
        <v>0</v>
      </c>
      <c r="V209" s="590">
        <f t="shared" si="173"/>
        <v>0</v>
      </c>
      <c r="W209" s="590">
        <f t="shared" si="173"/>
        <v>0</v>
      </c>
      <c r="X209" s="591">
        <f t="shared" si="173"/>
        <v>0</v>
      </c>
      <c r="Y209" s="464">
        <f t="shared" si="173"/>
        <v>0</v>
      </c>
      <c r="Z209" s="590">
        <f t="shared" si="173"/>
        <v>0</v>
      </c>
      <c r="AA209" s="591">
        <f t="shared" si="173"/>
        <v>0</v>
      </c>
      <c r="AB209" s="464">
        <f t="shared" si="173"/>
        <v>0</v>
      </c>
      <c r="AC209" s="590">
        <f t="shared" si="173"/>
        <v>0</v>
      </c>
      <c r="AD209" s="591">
        <f t="shared" si="173"/>
        <v>0</v>
      </c>
      <c r="AE209" s="464">
        <f t="shared" si="173"/>
        <v>0</v>
      </c>
      <c r="AF209" s="590">
        <f t="shared" si="173"/>
        <v>0</v>
      </c>
      <c r="AG209" s="591">
        <f t="shared" si="173"/>
        <v>0</v>
      </c>
      <c r="AH209" s="464">
        <f t="shared" si="173"/>
        <v>0</v>
      </c>
      <c r="AI209" s="590">
        <f t="shared" si="173"/>
        <v>0</v>
      </c>
      <c r="AJ209" s="465">
        <f t="shared" si="173"/>
        <v>0</v>
      </c>
      <c r="AK209" s="10"/>
      <c r="AL209" s="151">
        <f>AL210</f>
        <v>0</v>
      </c>
      <c r="AM209" s="153">
        <f>AM210</f>
        <v>0</v>
      </c>
      <c r="AN209" s="10"/>
    </row>
    <row r="210" spans="1:40" s="467" customFormat="1" ht="15" x14ac:dyDescent="0.2">
      <c r="A210" s="623"/>
      <c r="B210" s="554"/>
      <c r="N210" s="10"/>
      <c r="P210" s="10"/>
      <c r="Q210" s="10"/>
      <c r="R210" s="10"/>
      <c r="S210" s="34">
        <f>+IF(MAYO!S210=0,"",MAYO!S210)</f>
        <v>5100000</v>
      </c>
      <c r="T210" s="158" t="str">
        <f>+IF(MAYO!T210=0,"",MAYO!T210)</f>
        <v>Insumos y Suministros para Venta al Público</v>
      </c>
      <c r="U210" s="157">
        <f t="shared" ref="U210:AJ210" si="174">U211+U218</f>
        <v>0</v>
      </c>
      <c r="V210" s="144">
        <f t="shared" si="174"/>
        <v>0</v>
      </c>
      <c r="W210" s="144">
        <f t="shared" si="174"/>
        <v>0</v>
      </c>
      <c r="X210" s="152">
        <f t="shared" si="174"/>
        <v>0</v>
      </c>
      <c r="Y210" s="151">
        <f t="shared" si="174"/>
        <v>0</v>
      </c>
      <c r="Z210" s="144">
        <f t="shared" si="174"/>
        <v>0</v>
      </c>
      <c r="AA210" s="152">
        <f t="shared" si="174"/>
        <v>0</v>
      </c>
      <c r="AB210" s="151">
        <f t="shared" si="174"/>
        <v>0</v>
      </c>
      <c r="AC210" s="144">
        <f t="shared" si="174"/>
        <v>0</v>
      </c>
      <c r="AD210" s="152">
        <f t="shared" si="174"/>
        <v>0</v>
      </c>
      <c r="AE210" s="151">
        <f t="shared" si="174"/>
        <v>0</v>
      </c>
      <c r="AF210" s="144">
        <f t="shared" si="174"/>
        <v>0</v>
      </c>
      <c r="AG210" s="152">
        <f t="shared" si="174"/>
        <v>0</v>
      </c>
      <c r="AH210" s="151">
        <f t="shared" si="174"/>
        <v>0</v>
      </c>
      <c r="AI210" s="144">
        <f t="shared" si="174"/>
        <v>0</v>
      </c>
      <c r="AJ210" s="153">
        <f t="shared" si="174"/>
        <v>0</v>
      </c>
      <c r="AK210" s="10"/>
      <c r="AL210" s="151">
        <f>AL211+AL218</f>
        <v>0</v>
      </c>
      <c r="AM210" s="153">
        <f>AM211+AM218</f>
        <v>0</v>
      </c>
      <c r="AN210" s="10"/>
    </row>
    <row r="211" spans="1:40" s="467" customFormat="1" x14ac:dyDescent="0.2">
      <c r="A211" s="623"/>
      <c r="B211" s="554"/>
      <c r="N211" s="10"/>
      <c r="P211" s="10"/>
      <c r="Q211" s="10"/>
      <c r="R211" s="10"/>
      <c r="S211" s="155">
        <f>+IF(MAYO!S211=0,"",MAYO!S211)</f>
        <v>5100100</v>
      </c>
      <c r="T211" s="159" t="str">
        <f>+IF(MAYO!T211=0,"",MAYO!T211)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x14ac:dyDescent="0.2">
      <c r="A212" s="623"/>
      <c r="B212" s="554"/>
      <c r="N212" s="10"/>
      <c r="P212" s="10"/>
      <c r="Q212" s="10"/>
      <c r="R212" s="10"/>
      <c r="S212" s="156" t="str">
        <f>+IF(MAYO!S212=0,"",MAYO!S212)</f>
        <v>5100100-1</v>
      </c>
      <c r="T212" s="55" t="str">
        <f>+IF(MAYO!T212=0,"",MAYO!T212)</f>
        <v>Productos Farmaceuticos</v>
      </c>
      <c r="U212" s="29">
        <f>+ENERO!U212</f>
        <v>0</v>
      </c>
      <c r="V212" s="17">
        <f>MAYO!V212+JUNIO!AL212</f>
        <v>0</v>
      </c>
      <c r="W212" s="17">
        <f>MAYO!W212+JUNIO!AM212</f>
        <v>0</v>
      </c>
      <c r="X212" s="20">
        <f t="shared" ref="X212:X218" si="176">SUM(U212:W212)</f>
        <v>0</v>
      </c>
      <c r="Y212" s="21">
        <f>MAYO!AA212</f>
        <v>0</v>
      </c>
      <c r="Z212" s="457">
        <v>0</v>
      </c>
      <c r="AA212" s="20">
        <f t="shared" ref="AA212:AA218" si="177">SUM(Y212:Z212)</f>
        <v>0</v>
      </c>
      <c r="AB212" s="21">
        <f>MAYO!AD212</f>
        <v>0</v>
      </c>
      <c r="AC212" s="457">
        <v>0</v>
      </c>
      <c r="AD212" s="20">
        <f t="shared" ref="AD212:AD218" si="178">SUM(AB212:AC212)</f>
        <v>0</v>
      </c>
      <c r="AE212" s="21">
        <f>MAYO!AG212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x14ac:dyDescent="0.2">
      <c r="A213" s="623"/>
      <c r="B213" s="554"/>
      <c r="N213" s="10"/>
      <c r="P213" s="10"/>
      <c r="Q213" s="10"/>
      <c r="R213" s="10"/>
      <c r="S213" s="156" t="str">
        <f>+IF(MAYO!S213=0,"",MAYO!S213)</f>
        <v>5100100-2</v>
      </c>
      <c r="T213" s="55" t="str">
        <f>+IF(MAYO!T213=0,"",MAYO!T213)</f>
        <v>Material Médico Quirúrgico</v>
      </c>
      <c r="U213" s="29">
        <f>+ENERO!U213</f>
        <v>0</v>
      </c>
      <c r="V213" s="17">
        <f>MAYO!V213+JUNIO!AL213</f>
        <v>0</v>
      </c>
      <c r="W213" s="17">
        <f>MAYO!W213+JUNIO!AM213</f>
        <v>0</v>
      </c>
      <c r="X213" s="20">
        <f t="shared" si="176"/>
        <v>0</v>
      </c>
      <c r="Y213" s="21">
        <f>MAYO!AA213</f>
        <v>0</v>
      </c>
      <c r="Z213" s="457">
        <v>0</v>
      </c>
      <c r="AA213" s="20">
        <f t="shared" si="177"/>
        <v>0</v>
      </c>
      <c r="AB213" s="21">
        <f>MAYO!AD213</f>
        <v>0</v>
      </c>
      <c r="AC213" s="457">
        <v>0</v>
      </c>
      <c r="AD213" s="20">
        <f t="shared" si="178"/>
        <v>0</v>
      </c>
      <c r="AE213" s="21">
        <f>MAYO!AG213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x14ac:dyDescent="0.2">
      <c r="A214" s="623"/>
      <c r="B214" s="554"/>
      <c r="N214" s="10"/>
      <c r="P214" s="10"/>
      <c r="Q214" s="10"/>
      <c r="R214" s="10"/>
      <c r="S214" s="156" t="str">
        <f>+IF(MAYO!S214=0,"",MAYO!S214)</f>
        <v>5100100-3</v>
      </c>
      <c r="T214" s="55" t="str">
        <f>+IF(MAYO!T214=0,"",MAYO!T214)</f>
        <v>Material de Laboratorio</v>
      </c>
      <c r="U214" s="29">
        <f>+ENERO!U214</f>
        <v>0</v>
      </c>
      <c r="V214" s="17">
        <f>MAYO!V214+JUNIO!AL214</f>
        <v>0</v>
      </c>
      <c r="W214" s="17">
        <f>MAYO!W214+JUNIO!AM214</f>
        <v>0</v>
      </c>
      <c r="X214" s="20">
        <f t="shared" si="176"/>
        <v>0</v>
      </c>
      <c r="Y214" s="21">
        <f>MAYO!AA214</f>
        <v>0</v>
      </c>
      <c r="Z214" s="457">
        <v>0</v>
      </c>
      <c r="AA214" s="20">
        <f t="shared" si="177"/>
        <v>0</v>
      </c>
      <c r="AB214" s="21">
        <f>MAYO!AD214</f>
        <v>0</v>
      </c>
      <c r="AC214" s="457">
        <v>0</v>
      </c>
      <c r="AD214" s="20">
        <f t="shared" si="178"/>
        <v>0</v>
      </c>
      <c r="AE214" s="21">
        <f>MAYO!AG214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x14ac:dyDescent="0.2">
      <c r="A215" s="623"/>
      <c r="B215" s="554"/>
      <c r="N215" s="10"/>
      <c r="P215" s="10"/>
      <c r="Q215" s="10"/>
      <c r="R215" s="10"/>
      <c r="S215" s="156" t="str">
        <f>+IF(MAYO!S215=0,"",MAYO!S215)</f>
        <v>5100100-4</v>
      </c>
      <c r="T215" s="55" t="str">
        <f>+IF(MAYO!T215=0,"",MAYO!T215)</f>
        <v>Material para Odontologia</v>
      </c>
      <c r="U215" s="29">
        <f>+ENERO!U215</f>
        <v>0</v>
      </c>
      <c r="V215" s="17">
        <f>MAYO!V215+JUNIO!AL215</f>
        <v>0</v>
      </c>
      <c r="W215" s="17">
        <f>MAYO!W215+JUNIO!AM215</f>
        <v>0</v>
      </c>
      <c r="X215" s="20">
        <f t="shared" si="176"/>
        <v>0</v>
      </c>
      <c r="Y215" s="21">
        <f>MAYO!AA215</f>
        <v>0</v>
      </c>
      <c r="Z215" s="457">
        <v>0</v>
      </c>
      <c r="AA215" s="20">
        <f t="shared" si="177"/>
        <v>0</v>
      </c>
      <c r="AB215" s="21">
        <f>MAYO!AD215</f>
        <v>0</v>
      </c>
      <c r="AC215" s="457">
        <v>0</v>
      </c>
      <c r="AD215" s="20">
        <f t="shared" si="178"/>
        <v>0</v>
      </c>
      <c r="AE215" s="21">
        <f>MAYO!AG215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x14ac:dyDescent="0.2">
      <c r="A216" s="623"/>
      <c r="B216" s="554"/>
      <c r="N216" s="10"/>
      <c r="P216" s="10"/>
      <c r="Q216" s="10"/>
      <c r="R216" s="10"/>
      <c r="S216" s="156" t="str">
        <f>+IF(MAYO!S216=0,"",MAYO!S216)</f>
        <v>5100100-5</v>
      </c>
      <c r="T216" s="55" t="str">
        <f>+IF(MAYO!T216=0,"",MAYO!T216)</f>
        <v>Material para Rayos X</v>
      </c>
      <c r="U216" s="29">
        <f>+ENERO!U216</f>
        <v>0</v>
      </c>
      <c r="V216" s="17">
        <f>MAYO!V216+JUNIO!AL216</f>
        <v>0</v>
      </c>
      <c r="W216" s="17">
        <f>MAYO!W216+JUNIO!AM216</f>
        <v>0</v>
      </c>
      <c r="X216" s="20">
        <f t="shared" si="176"/>
        <v>0</v>
      </c>
      <c r="Y216" s="21">
        <f>MAYO!AA216</f>
        <v>0</v>
      </c>
      <c r="Z216" s="457">
        <v>0</v>
      </c>
      <c r="AA216" s="20">
        <f t="shared" si="177"/>
        <v>0</v>
      </c>
      <c r="AB216" s="21">
        <f>MAYO!AD216</f>
        <v>0</v>
      </c>
      <c r="AC216" s="457">
        <v>0</v>
      </c>
      <c r="AD216" s="20">
        <f t="shared" si="178"/>
        <v>0</v>
      </c>
      <c r="AE216" s="21">
        <f>MAYO!AG216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x14ac:dyDescent="0.2">
      <c r="A217" s="623"/>
      <c r="B217" s="554"/>
      <c r="N217" s="10"/>
      <c r="P217" s="10"/>
      <c r="Q217" s="10"/>
      <c r="R217" s="10"/>
      <c r="S217" s="156" t="str">
        <f>+IF(MAYO!S217=0,"",MAYO!S217)</f>
        <v>5100100-6</v>
      </c>
      <c r="T217" s="55" t="str">
        <f>+IF(MAYO!T217=0,"",MAYO!T217)</f>
        <v>Material aseo personal, etc.</v>
      </c>
      <c r="U217" s="29">
        <f>+ENERO!U217</f>
        <v>0</v>
      </c>
      <c r="V217" s="17">
        <f>MAYO!V217+JUNIO!AL217</f>
        <v>0</v>
      </c>
      <c r="W217" s="17">
        <f>MAYO!W217+JUNIO!AM217</f>
        <v>0</v>
      </c>
      <c r="X217" s="20">
        <f t="shared" si="176"/>
        <v>0</v>
      </c>
      <c r="Y217" s="21">
        <f>MAYO!AA217</f>
        <v>0</v>
      </c>
      <c r="Z217" s="457">
        <v>0</v>
      </c>
      <c r="AA217" s="20">
        <f t="shared" si="177"/>
        <v>0</v>
      </c>
      <c r="AB217" s="21">
        <f>MAYO!AD217</f>
        <v>0</v>
      </c>
      <c r="AC217" s="457">
        <v>0</v>
      </c>
      <c r="AD217" s="20">
        <f t="shared" si="178"/>
        <v>0</v>
      </c>
      <c r="AE217" s="21">
        <f>MAYO!AG217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x14ac:dyDescent="0.25">
      <c r="A218" s="623"/>
      <c r="B218" s="554"/>
      <c r="N218" s="10"/>
      <c r="P218" s="10"/>
      <c r="Q218" s="10"/>
      <c r="R218" s="10"/>
      <c r="S218" s="657">
        <f>+IF(MAYO!S218=0,"",MAYO!S218)</f>
        <v>5199999</v>
      </c>
      <c r="T218" s="658" t="str">
        <f>+IF(MAYO!T218=0,"",MAYO!T218)</f>
        <v>Vigencias Anteriores</v>
      </c>
      <c r="U218" s="160">
        <f>+ENERO!U218</f>
        <v>0</v>
      </c>
      <c r="V218" s="143">
        <f>MAYO!V218+JUNIO!AL218</f>
        <v>0</v>
      </c>
      <c r="W218" s="143">
        <f>MAYO!W218+JUNIO!AM218</f>
        <v>0</v>
      </c>
      <c r="X218" s="149">
        <f t="shared" si="176"/>
        <v>0</v>
      </c>
      <c r="Y218" s="147">
        <f>MAYO!AA218</f>
        <v>0</v>
      </c>
      <c r="Z218" s="475">
        <v>0</v>
      </c>
      <c r="AA218" s="149">
        <f t="shared" si="177"/>
        <v>0</v>
      </c>
      <c r="AB218" s="147">
        <f>MAYO!AD218</f>
        <v>0</v>
      </c>
      <c r="AC218" s="475">
        <v>0</v>
      </c>
      <c r="AD218" s="149">
        <f t="shared" si="178"/>
        <v>0</v>
      </c>
      <c r="AE218" s="147">
        <f>MAYO!AG218</f>
        <v>0</v>
      </c>
      <c r="AF218" s="475">
        <v>0</v>
      </c>
      <c r="AG218" s="149">
        <f t="shared" si="179"/>
        <v>0</v>
      </c>
      <c r="AH218" s="147">
        <f t="shared" si="180"/>
        <v>0</v>
      </c>
      <c r="AI218" s="143">
        <f t="shared" si="181"/>
        <v>0</v>
      </c>
      <c r="AJ218" s="148">
        <f t="shared" si="182"/>
        <v>0</v>
      </c>
      <c r="AK218" s="10"/>
      <c r="AL218" s="650">
        <v>0</v>
      </c>
      <c r="AM218" s="651">
        <v>0</v>
      </c>
      <c r="AN218" s="10"/>
    </row>
    <row r="219" spans="1:40" s="467" customFormat="1" ht="16.5" thickBot="1" x14ac:dyDescent="0.25">
      <c r="A219" s="623"/>
      <c r="B219" s="554"/>
      <c r="N219" s="10"/>
      <c r="P219" s="10"/>
      <c r="Q219" s="10"/>
      <c r="R219" s="10"/>
      <c r="S219" s="643" t="str">
        <f>+IF(MAYO!S219=0,"",MAYO!S219)</f>
        <v/>
      </c>
      <c r="T219" s="357" t="str">
        <f>+IF(MAYO!T219=0,"",MAYO!T219)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x14ac:dyDescent="0.2">
      <c r="A220" s="623"/>
      <c r="B220" s="554"/>
      <c r="N220" s="10"/>
      <c r="P220" s="10"/>
      <c r="Q220" s="10"/>
      <c r="R220" s="10"/>
      <c r="S220" s="438" t="str">
        <f>+IF(MAYO!S220=0,"",MAYO!S220)</f>
        <v>C</v>
      </c>
      <c r="T220" s="439" t="str">
        <f>+IF(MAYO!T220=0,"",MAYO!T220)</f>
        <v xml:space="preserve">SERVICIO DE LA DEUDA </v>
      </c>
      <c r="U220" s="440">
        <f t="shared" ref="U220:AJ220" si="183">U222+U227</f>
        <v>0</v>
      </c>
      <c r="V220" s="441">
        <f t="shared" si="183"/>
        <v>0</v>
      </c>
      <c r="W220" s="441">
        <f t="shared" si="183"/>
        <v>0</v>
      </c>
      <c r="X220" s="444">
        <f t="shared" si="183"/>
        <v>0</v>
      </c>
      <c r="Y220" s="443">
        <f t="shared" si="183"/>
        <v>0</v>
      </c>
      <c r="Z220" s="441">
        <f t="shared" si="183"/>
        <v>0</v>
      </c>
      <c r="AA220" s="444">
        <f t="shared" si="183"/>
        <v>0</v>
      </c>
      <c r="AB220" s="443">
        <f t="shared" si="183"/>
        <v>0</v>
      </c>
      <c r="AC220" s="441">
        <f t="shared" si="183"/>
        <v>0</v>
      </c>
      <c r="AD220" s="444">
        <f t="shared" si="183"/>
        <v>0</v>
      </c>
      <c r="AE220" s="443">
        <f t="shared" si="183"/>
        <v>0</v>
      </c>
      <c r="AF220" s="441">
        <f t="shared" si="183"/>
        <v>0</v>
      </c>
      <c r="AG220" s="444">
        <f t="shared" si="183"/>
        <v>0</v>
      </c>
      <c r="AH220" s="443">
        <f t="shared" si="183"/>
        <v>0</v>
      </c>
      <c r="AI220" s="441">
        <f t="shared" si="183"/>
        <v>0</v>
      </c>
      <c r="AJ220" s="442">
        <f t="shared" si="183"/>
        <v>0</v>
      </c>
      <c r="AK220" s="648"/>
      <c r="AL220" s="443">
        <f>AL222+AL227</f>
        <v>0</v>
      </c>
      <c r="AM220" s="442">
        <f>AM222+AM227</f>
        <v>0</v>
      </c>
      <c r="AN220" s="10"/>
    </row>
    <row r="221" spans="1:40" s="467" customFormat="1" ht="15.75" x14ac:dyDescent="0.2">
      <c r="A221" s="623"/>
      <c r="B221" s="554"/>
      <c r="N221" s="10"/>
      <c r="P221" s="10"/>
      <c r="Q221" s="10"/>
      <c r="R221" s="10"/>
      <c r="S221" s="448" t="str">
        <f>+IF(MAYO!S221=0,"",MAYO!S221)</f>
        <v/>
      </c>
      <c r="T221" s="649" t="str">
        <f>+IF(MAYO!T221=0,"",MAYO!T221)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x14ac:dyDescent="0.2">
      <c r="A222" s="623"/>
      <c r="B222" s="554"/>
      <c r="N222" s="10"/>
      <c r="P222" s="10"/>
      <c r="Q222" s="10"/>
      <c r="R222" s="10"/>
      <c r="S222" s="34">
        <f>+IF(MAYO!S222=0,"",MAYO!S222)</f>
        <v>7001000</v>
      </c>
      <c r="T222" s="158" t="str">
        <f>+IF(MAYO!T222=0,"",MAYO!T222)</f>
        <v>SERVICIO DE LA DEUDA INTERNA</v>
      </c>
      <c r="U222" s="157">
        <f t="shared" ref="U222:AJ222" si="184">SUM(U223:U225)</f>
        <v>0</v>
      </c>
      <c r="V222" s="144">
        <f t="shared" si="184"/>
        <v>0</v>
      </c>
      <c r="W222" s="144">
        <f t="shared" si="184"/>
        <v>0</v>
      </c>
      <c r="X222" s="152">
        <f t="shared" si="184"/>
        <v>0</v>
      </c>
      <c r="Y222" s="151">
        <f t="shared" si="184"/>
        <v>0</v>
      </c>
      <c r="Z222" s="144">
        <f t="shared" si="184"/>
        <v>0</v>
      </c>
      <c r="AA222" s="152">
        <f t="shared" si="184"/>
        <v>0</v>
      </c>
      <c r="AB222" s="151">
        <f t="shared" si="184"/>
        <v>0</v>
      </c>
      <c r="AC222" s="144">
        <f t="shared" si="184"/>
        <v>0</v>
      </c>
      <c r="AD222" s="152">
        <f t="shared" si="184"/>
        <v>0</v>
      </c>
      <c r="AE222" s="151">
        <f t="shared" si="184"/>
        <v>0</v>
      </c>
      <c r="AF222" s="144">
        <f t="shared" si="184"/>
        <v>0</v>
      </c>
      <c r="AG222" s="152">
        <f t="shared" si="184"/>
        <v>0</v>
      </c>
      <c r="AH222" s="151">
        <f t="shared" si="184"/>
        <v>0</v>
      </c>
      <c r="AI222" s="144">
        <f t="shared" si="184"/>
        <v>0</v>
      </c>
      <c r="AJ222" s="153">
        <f t="shared" si="184"/>
        <v>0</v>
      </c>
      <c r="AK222" s="10"/>
      <c r="AL222" s="151">
        <f>SUM(AL223:AL225)</f>
        <v>0</v>
      </c>
      <c r="AM222" s="153">
        <f>SUM(AM223:AM225)</f>
        <v>0</v>
      </c>
      <c r="AN222" s="10"/>
    </row>
    <row r="223" spans="1:40" s="467" customFormat="1" x14ac:dyDescent="0.2">
      <c r="A223" s="623"/>
      <c r="B223" s="554"/>
      <c r="N223" s="10"/>
      <c r="P223" s="10"/>
      <c r="Q223" s="10"/>
      <c r="R223" s="10"/>
      <c r="S223" s="155">
        <f>+IF(MAYO!S223=0,"",MAYO!S223)</f>
        <v>7001100</v>
      </c>
      <c r="T223" s="159" t="str">
        <f>+IF(MAYO!T223=0,"",MAYO!T223)</f>
        <v>Amortización deuda Pública Interna</v>
      </c>
      <c r="U223" s="29">
        <f>+ENERO!U223</f>
        <v>0</v>
      </c>
      <c r="V223" s="17">
        <f>MAYO!V223+JUNIO!AL223</f>
        <v>0</v>
      </c>
      <c r="W223" s="17">
        <f>MAYO!W223+JUNIO!AM223</f>
        <v>0</v>
      </c>
      <c r="X223" s="20">
        <f>SUM(U223:W223)</f>
        <v>0</v>
      </c>
      <c r="Y223" s="21">
        <f>MAYO!AA223</f>
        <v>0</v>
      </c>
      <c r="Z223" s="457">
        <v>0</v>
      </c>
      <c r="AA223" s="20">
        <f>SUM(Y223:Z223)</f>
        <v>0</v>
      </c>
      <c r="AB223" s="21">
        <f>MAYO!AD223</f>
        <v>0</v>
      </c>
      <c r="AC223" s="457">
        <v>0</v>
      </c>
      <c r="AD223" s="20">
        <f>SUM(AB223:AC223)</f>
        <v>0</v>
      </c>
      <c r="AE223" s="21">
        <f>MAYO!AG223</f>
        <v>0</v>
      </c>
      <c r="AF223" s="457">
        <v>0</v>
      </c>
      <c r="AG223" s="20">
        <f>SUM(AE223:AF223)</f>
        <v>0</v>
      </c>
      <c r="AH223" s="21">
        <f>X223-AA223</f>
        <v>0</v>
      </c>
      <c r="AI223" s="17">
        <f>X223-AD223</f>
        <v>0</v>
      </c>
      <c r="AJ223" s="18">
        <f>X223-AG223</f>
        <v>0</v>
      </c>
      <c r="AK223" s="10"/>
      <c r="AL223" s="455">
        <v>0</v>
      </c>
      <c r="AM223" s="458">
        <v>0</v>
      </c>
      <c r="AN223" s="10"/>
    </row>
    <row r="224" spans="1:40" s="467" customFormat="1" x14ac:dyDescent="0.2">
      <c r="A224" s="623"/>
      <c r="B224" s="554"/>
      <c r="N224" s="10"/>
      <c r="P224" s="10"/>
      <c r="Q224" s="10"/>
      <c r="R224" s="10"/>
      <c r="S224" s="155">
        <f>+IF(MAYO!S224=0,"",MAYO!S224)</f>
        <v>7001200</v>
      </c>
      <c r="T224" s="159" t="str">
        <f>+IF(MAYO!T224=0,"",MAYO!T224)</f>
        <v>Intereses Comisiones y gastos de la Deuda Pública</v>
      </c>
      <c r="U224" s="29">
        <f>+ENERO!U224</f>
        <v>0</v>
      </c>
      <c r="V224" s="17">
        <f>MAYO!V224+JUNIO!AL224</f>
        <v>0</v>
      </c>
      <c r="W224" s="17">
        <f>MAYO!W224+JUNIO!AM224</f>
        <v>0</v>
      </c>
      <c r="X224" s="20">
        <f>SUM(U224:W224)</f>
        <v>0</v>
      </c>
      <c r="Y224" s="21">
        <f>MAYO!AA224</f>
        <v>0</v>
      </c>
      <c r="Z224" s="457">
        <v>0</v>
      </c>
      <c r="AA224" s="20">
        <f>SUM(Y224:Z224)</f>
        <v>0</v>
      </c>
      <c r="AB224" s="21">
        <f>MAYO!AD224</f>
        <v>0</v>
      </c>
      <c r="AC224" s="457">
        <v>0</v>
      </c>
      <c r="AD224" s="20">
        <f>SUM(AB224:AC224)</f>
        <v>0</v>
      </c>
      <c r="AE224" s="21">
        <f>MAYO!AG224</f>
        <v>0</v>
      </c>
      <c r="AF224" s="457">
        <v>0</v>
      </c>
      <c r="AG224" s="20">
        <f>SUM(AE224:AF224)</f>
        <v>0</v>
      </c>
      <c r="AH224" s="21">
        <f>X224-AA224</f>
        <v>0</v>
      </c>
      <c r="AI224" s="17">
        <f>X224-AD224</f>
        <v>0</v>
      </c>
      <c r="AJ224" s="18">
        <f>X224-AG224</f>
        <v>0</v>
      </c>
      <c r="AK224" s="10"/>
      <c r="AL224" s="455">
        <v>0</v>
      </c>
      <c r="AM224" s="458">
        <v>0</v>
      </c>
      <c r="AN224" s="10"/>
    </row>
    <row r="225" spans="1:40" s="467" customFormat="1" x14ac:dyDescent="0.2">
      <c r="A225" s="623"/>
      <c r="B225" s="554"/>
      <c r="N225" s="10"/>
      <c r="P225" s="10"/>
      <c r="Q225" s="10"/>
      <c r="R225" s="10"/>
      <c r="S225" s="155">
        <f>+IF(MAYO!S225=0,"",MAYO!S225)</f>
        <v>7001999</v>
      </c>
      <c r="T225" s="159" t="str">
        <f>+IF(MAYO!T225=0,"",MAYO!T225)</f>
        <v>Vigencias Anteriores</v>
      </c>
      <c r="U225" s="29">
        <f>+ENERO!U225</f>
        <v>0</v>
      </c>
      <c r="V225" s="17">
        <f>MAYO!V225+JUNIO!AL225</f>
        <v>0</v>
      </c>
      <c r="W225" s="17">
        <f>MAYO!W225+JUNIO!AM225</f>
        <v>0</v>
      </c>
      <c r="X225" s="20">
        <f>SUM(U225:W225)</f>
        <v>0</v>
      </c>
      <c r="Y225" s="21">
        <f>MAYO!AA225</f>
        <v>0</v>
      </c>
      <c r="Z225" s="457">
        <v>0</v>
      </c>
      <c r="AA225" s="20">
        <f>SUM(Y225:Z225)</f>
        <v>0</v>
      </c>
      <c r="AB225" s="21">
        <f>MAYO!AD225</f>
        <v>0</v>
      </c>
      <c r="AC225" s="457">
        <v>0</v>
      </c>
      <c r="AD225" s="20">
        <f>SUM(AB225:AC225)</f>
        <v>0</v>
      </c>
      <c r="AE225" s="21">
        <f>MAYO!AG225</f>
        <v>0</v>
      </c>
      <c r="AF225" s="457">
        <v>0</v>
      </c>
      <c r="AG225" s="20">
        <f>SUM(AE225:AF225)</f>
        <v>0</v>
      </c>
      <c r="AH225" s="21">
        <f>X225-AA225</f>
        <v>0</v>
      </c>
      <c r="AI225" s="17">
        <f>X225-AD225</f>
        <v>0</v>
      </c>
      <c r="AJ225" s="18">
        <f>X225-AG225</f>
        <v>0</v>
      </c>
      <c r="AK225" s="10"/>
      <c r="AL225" s="455">
        <v>0</v>
      </c>
      <c r="AM225" s="458">
        <v>0</v>
      </c>
      <c r="AN225" s="10"/>
    </row>
    <row r="226" spans="1:40" s="467" customFormat="1" ht="15.75" x14ac:dyDescent="0.2">
      <c r="A226" s="623"/>
      <c r="B226" s="554"/>
      <c r="N226" s="10"/>
      <c r="P226" s="10"/>
      <c r="Q226" s="10"/>
      <c r="R226" s="10"/>
      <c r="S226" s="448" t="str">
        <f>+IF(MAYO!S226=0,"",MAYO!S226)</f>
        <v/>
      </c>
      <c r="T226" s="649" t="str">
        <f>+IF(MAYO!T226=0,"",MAYO!T226)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x14ac:dyDescent="0.2">
      <c r="A227" s="623"/>
      <c r="B227" s="554"/>
      <c r="N227" s="10"/>
      <c r="P227" s="10"/>
      <c r="Q227" s="10"/>
      <c r="R227" s="10"/>
      <c r="S227" s="34">
        <f>+IF(MAYO!S227=0,"",MAYO!S227)</f>
        <v>7002001</v>
      </c>
      <c r="T227" s="158" t="str">
        <f>+IF(MAYO!T227=0,"",MAYO!T227)</f>
        <v>SERVICIO DE LA DEUDA EXTERNA</v>
      </c>
      <c r="U227" s="157">
        <f t="shared" ref="U227:AJ227" si="185">SUM(U228:U230)</f>
        <v>0</v>
      </c>
      <c r="V227" s="144">
        <f t="shared" si="185"/>
        <v>0</v>
      </c>
      <c r="W227" s="144">
        <f t="shared" si="185"/>
        <v>0</v>
      </c>
      <c r="X227" s="152">
        <f t="shared" si="185"/>
        <v>0</v>
      </c>
      <c r="Y227" s="151">
        <f t="shared" si="185"/>
        <v>0</v>
      </c>
      <c r="Z227" s="144">
        <f t="shared" si="185"/>
        <v>0</v>
      </c>
      <c r="AA227" s="152">
        <f t="shared" si="185"/>
        <v>0</v>
      </c>
      <c r="AB227" s="151">
        <f t="shared" si="185"/>
        <v>0</v>
      </c>
      <c r="AC227" s="144">
        <f t="shared" si="185"/>
        <v>0</v>
      </c>
      <c r="AD227" s="152">
        <f t="shared" si="185"/>
        <v>0</v>
      </c>
      <c r="AE227" s="151">
        <f t="shared" si="185"/>
        <v>0</v>
      </c>
      <c r="AF227" s="144">
        <f t="shared" si="185"/>
        <v>0</v>
      </c>
      <c r="AG227" s="152">
        <f t="shared" si="185"/>
        <v>0</v>
      </c>
      <c r="AH227" s="151">
        <f t="shared" si="185"/>
        <v>0</v>
      </c>
      <c r="AI227" s="144">
        <f t="shared" si="185"/>
        <v>0</v>
      </c>
      <c r="AJ227" s="153">
        <f t="shared" si="185"/>
        <v>0</v>
      </c>
      <c r="AK227" s="12"/>
      <c r="AL227" s="151">
        <f>SUM(AL228:AL230)</f>
        <v>0</v>
      </c>
      <c r="AM227" s="153">
        <f>SUM(AM228:AM230)</f>
        <v>0</v>
      </c>
      <c r="AN227" s="10"/>
    </row>
    <row r="228" spans="1:40" s="467" customFormat="1" x14ac:dyDescent="0.2">
      <c r="A228" s="623"/>
      <c r="B228" s="554"/>
      <c r="N228" s="10"/>
      <c r="P228" s="10"/>
      <c r="Q228" s="10"/>
      <c r="R228" s="10"/>
      <c r="S228" s="155">
        <f>+IF(MAYO!S228=0,"",MAYO!S228)</f>
        <v>7002100</v>
      </c>
      <c r="T228" s="159" t="str">
        <f>+IF(MAYO!T228=0,"",MAYO!T228)</f>
        <v>Amortización deuda Pública Externa</v>
      </c>
      <c r="U228" s="29">
        <f>+ENERO!U228</f>
        <v>0</v>
      </c>
      <c r="V228" s="17">
        <f>MAYO!V228+JUNIO!AL228</f>
        <v>0</v>
      </c>
      <c r="W228" s="17">
        <f>MAYO!W228+JUNIO!AM228</f>
        <v>0</v>
      </c>
      <c r="X228" s="20">
        <f>SUM(U228:W228)</f>
        <v>0</v>
      </c>
      <c r="Y228" s="21">
        <f>MAYO!AA228</f>
        <v>0</v>
      </c>
      <c r="Z228" s="457">
        <v>0</v>
      </c>
      <c r="AA228" s="20">
        <f>SUM(Y228:Z228)</f>
        <v>0</v>
      </c>
      <c r="AB228" s="21">
        <f>MAYO!AD228</f>
        <v>0</v>
      </c>
      <c r="AC228" s="457">
        <v>0</v>
      </c>
      <c r="AD228" s="20">
        <f>SUM(AB228:AC228)</f>
        <v>0</v>
      </c>
      <c r="AE228" s="21">
        <f>MAYO!AG228</f>
        <v>0</v>
      </c>
      <c r="AF228" s="457">
        <v>0</v>
      </c>
      <c r="AG228" s="20">
        <f>SUM(AE228:AF228)</f>
        <v>0</v>
      </c>
      <c r="AH228" s="21">
        <f>X228-AA228</f>
        <v>0</v>
      </c>
      <c r="AI228" s="17">
        <f>X228-AD228</f>
        <v>0</v>
      </c>
      <c r="AJ228" s="18">
        <f>X228-AG228</f>
        <v>0</v>
      </c>
      <c r="AK228" s="10"/>
      <c r="AL228" s="455">
        <v>0</v>
      </c>
      <c r="AM228" s="458">
        <v>0</v>
      </c>
      <c r="AN228" s="10"/>
    </row>
    <row r="229" spans="1:40" s="467" customFormat="1" x14ac:dyDescent="0.2">
      <c r="A229" s="623"/>
      <c r="B229" s="554"/>
      <c r="N229" s="10"/>
      <c r="P229" s="10"/>
      <c r="Q229" s="10"/>
      <c r="R229" s="10"/>
      <c r="S229" s="155">
        <f>+IF(MAYO!S229=0,"",MAYO!S229)</f>
        <v>7002200</v>
      </c>
      <c r="T229" s="159" t="str">
        <f>+IF(MAYO!T229=0,"",MAYO!T229)</f>
        <v>Intereses Comisiones y gastos de la Deuda Pública</v>
      </c>
      <c r="U229" s="29">
        <f>+ENERO!U229</f>
        <v>0</v>
      </c>
      <c r="V229" s="17">
        <f>MAYO!V229+JUNIO!AL229</f>
        <v>0</v>
      </c>
      <c r="W229" s="17">
        <f>MAYO!W229+JUNIO!AM229</f>
        <v>0</v>
      </c>
      <c r="X229" s="20">
        <f>SUM(U229:W229)</f>
        <v>0</v>
      </c>
      <c r="Y229" s="21">
        <f>MAYO!AA229</f>
        <v>0</v>
      </c>
      <c r="Z229" s="457">
        <v>0</v>
      </c>
      <c r="AA229" s="20">
        <f>SUM(Y229:Z229)</f>
        <v>0</v>
      </c>
      <c r="AB229" s="21">
        <f>MAYO!AD229</f>
        <v>0</v>
      </c>
      <c r="AC229" s="457">
        <v>0</v>
      </c>
      <c r="AD229" s="20">
        <f>SUM(AB229:AC229)</f>
        <v>0</v>
      </c>
      <c r="AE229" s="21">
        <f>MAYO!AG229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x14ac:dyDescent="0.25">
      <c r="A230" s="623"/>
      <c r="B230" s="554"/>
      <c r="N230" s="10"/>
      <c r="P230" s="10"/>
      <c r="Q230" s="10"/>
      <c r="R230" s="10"/>
      <c r="S230" s="624">
        <f>+IF(MAYO!S230=0,"",MAYO!S230)</f>
        <v>7002999</v>
      </c>
      <c r="T230" s="625" t="str">
        <f>+IF(MAYO!T230=0,"",MAYO!T230)</f>
        <v>Vigencias Anteriores</v>
      </c>
      <c r="U230" s="160">
        <f>+ENERO!U230</f>
        <v>0</v>
      </c>
      <c r="V230" s="143">
        <f>MAYO!V230+JUNIO!AL230</f>
        <v>0</v>
      </c>
      <c r="W230" s="143">
        <f>MAYO!W230+JUNIO!AM230</f>
        <v>0</v>
      </c>
      <c r="X230" s="149">
        <f>SUM(U230:W230)</f>
        <v>0</v>
      </c>
      <c r="Y230" s="147">
        <f>MAYO!AA230</f>
        <v>0</v>
      </c>
      <c r="Z230" s="475">
        <v>0</v>
      </c>
      <c r="AA230" s="149">
        <f>SUM(Y230:Z230)</f>
        <v>0</v>
      </c>
      <c r="AB230" s="147">
        <f>MAYO!AD230</f>
        <v>0</v>
      </c>
      <c r="AC230" s="475">
        <v>0</v>
      </c>
      <c r="AD230" s="149">
        <f>SUM(AB230:AC230)</f>
        <v>0</v>
      </c>
      <c r="AE230" s="147">
        <f>MAYO!AG230</f>
        <v>0</v>
      </c>
      <c r="AF230" s="475">
        <v>0</v>
      </c>
      <c r="AG230" s="149">
        <f>SUM(AE230:AF230)</f>
        <v>0</v>
      </c>
      <c r="AH230" s="147">
        <f>X230-AA230</f>
        <v>0</v>
      </c>
      <c r="AI230" s="143">
        <f>X230-AD230</f>
        <v>0</v>
      </c>
      <c r="AJ230" s="148">
        <f>X230-AG230</f>
        <v>0</v>
      </c>
      <c r="AK230" s="10"/>
      <c r="AL230" s="650">
        <v>0</v>
      </c>
      <c r="AM230" s="651">
        <v>0</v>
      </c>
      <c r="AN230" s="10"/>
    </row>
    <row r="231" spans="1:40" s="467" customFormat="1" ht="15.75" x14ac:dyDescent="0.2">
      <c r="A231" s="623"/>
      <c r="B231" s="554"/>
      <c r="N231" s="10"/>
      <c r="P231" s="10"/>
      <c r="Q231" s="10"/>
      <c r="R231" s="10"/>
      <c r="S231" s="627" t="str">
        <f>+IF(MAYO!S231=0,"",MAYO!S231)</f>
        <v/>
      </c>
      <c r="T231" s="628" t="str">
        <f>+IF(MAYO!T231=0,"",MAYO!T231)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x14ac:dyDescent="0.2">
      <c r="A232" s="623"/>
      <c r="B232" s="554"/>
      <c r="N232" s="10"/>
      <c r="P232" s="10"/>
      <c r="Q232" s="10"/>
      <c r="R232" s="10"/>
      <c r="S232" s="654" t="str">
        <f>+IF(MAYO!S232=0,"",MAYO!S232)</f>
        <v>D</v>
      </c>
      <c r="T232" s="655" t="str">
        <f>+IF(MAYO!T232=0,"",MAYO!T232)</f>
        <v>INVERSION</v>
      </c>
      <c r="U232" s="589">
        <f t="shared" ref="U232:AJ232" si="186">U234</f>
        <v>121563100</v>
      </c>
      <c r="V232" s="590">
        <f t="shared" si="186"/>
        <v>-1563100</v>
      </c>
      <c r="W232" s="590">
        <f t="shared" si="186"/>
        <v>0</v>
      </c>
      <c r="X232" s="591">
        <f t="shared" si="186"/>
        <v>120000000</v>
      </c>
      <c r="Y232" s="464">
        <f t="shared" si="186"/>
        <v>74405968</v>
      </c>
      <c r="Z232" s="590">
        <f t="shared" si="186"/>
        <v>20888493</v>
      </c>
      <c r="AA232" s="591">
        <f t="shared" si="186"/>
        <v>95294461</v>
      </c>
      <c r="AB232" s="464">
        <f t="shared" si="186"/>
        <v>74405968</v>
      </c>
      <c r="AC232" s="590">
        <f t="shared" si="186"/>
        <v>20888493</v>
      </c>
      <c r="AD232" s="591">
        <f t="shared" si="186"/>
        <v>95294461</v>
      </c>
      <c r="AE232" s="464">
        <f t="shared" si="186"/>
        <v>55280476</v>
      </c>
      <c r="AF232" s="590">
        <f t="shared" si="186"/>
        <v>17309492</v>
      </c>
      <c r="AG232" s="591">
        <f t="shared" si="186"/>
        <v>72589968</v>
      </c>
      <c r="AH232" s="464">
        <f t="shared" si="186"/>
        <v>24705539</v>
      </c>
      <c r="AI232" s="590">
        <f t="shared" si="186"/>
        <v>24705539</v>
      </c>
      <c r="AJ232" s="465">
        <f t="shared" si="186"/>
        <v>47410032</v>
      </c>
      <c r="AK232" s="648"/>
      <c r="AL232" s="464">
        <f>AL234</f>
        <v>0</v>
      </c>
      <c r="AM232" s="465">
        <f>AM234</f>
        <v>0</v>
      </c>
      <c r="AN232" s="10"/>
    </row>
    <row r="233" spans="1:40" s="467" customFormat="1" ht="15.75" x14ac:dyDescent="0.2">
      <c r="A233" s="623"/>
      <c r="B233" s="554"/>
      <c r="N233" s="10"/>
      <c r="P233" s="10"/>
      <c r="Q233" s="10"/>
      <c r="R233" s="10"/>
      <c r="S233" s="448" t="str">
        <f>+IF(MAYO!S233=0,"",MAYO!S233)</f>
        <v/>
      </c>
      <c r="T233" s="649" t="str">
        <f>+IF(MAYO!T233=0,"",MAYO!T233)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x14ac:dyDescent="0.2">
      <c r="A234" s="623"/>
      <c r="B234" s="554"/>
      <c r="N234" s="10"/>
      <c r="P234" s="10"/>
      <c r="Q234" s="10"/>
      <c r="R234" s="10"/>
      <c r="S234" s="34">
        <f>+IF(MAYO!S234=0,"",MAYO!S234)</f>
        <v>8000000</v>
      </c>
      <c r="T234" s="158" t="str">
        <f>+IF(MAYO!T234=0,"",MAYO!T234)</f>
        <v>Programas de Inversión</v>
      </c>
      <c r="U234" s="157">
        <f t="shared" ref="U234:AJ234" si="187">U235+U243</f>
        <v>121563100</v>
      </c>
      <c r="V234" s="144">
        <f t="shared" si="187"/>
        <v>-1563100</v>
      </c>
      <c r="W234" s="144">
        <f t="shared" si="187"/>
        <v>0</v>
      </c>
      <c r="X234" s="152">
        <f t="shared" si="187"/>
        <v>120000000</v>
      </c>
      <c r="Y234" s="151">
        <f t="shared" si="187"/>
        <v>74405968</v>
      </c>
      <c r="Z234" s="144">
        <f t="shared" si="187"/>
        <v>20888493</v>
      </c>
      <c r="AA234" s="152">
        <f t="shared" si="187"/>
        <v>95294461</v>
      </c>
      <c r="AB234" s="151">
        <f t="shared" si="187"/>
        <v>74405968</v>
      </c>
      <c r="AC234" s="144">
        <f t="shared" si="187"/>
        <v>20888493</v>
      </c>
      <c r="AD234" s="152">
        <f t="shared" si="187"/>
        <v>95294461</v>
      </c>
      <c r="AE234" s="151">
        <f t="shared" si="187"/>
        <v>55280476</v>
      </c>
      <c r="AF234" s="144">
        <f t="shared" si="187"/>
        <v>17309492</v>
      </c>
      <c r="AG234" s="152">
        <f t="shared" si="187"/>
        <v>72589968</v>
      </c>
      <c r="AH234" s="151">
        <f t="shared" si="187"/>
        <v>24705539</v>
      </c>
      <c r="AI234" s="144">
        <f t="shared" si="187"/>
        <v>24705539</v>
      </c>
      <c r="AJ234" s="153">
        <f t="shared" si="187"/>
        <v>47410032</v>
      </c>
      <c r="AK234" s="10"/>
      <c r="AL234" s="151">
        <f>AL235+AL243</f>
        <v>0</v>
      </c>
      <c r="AM234" s="153">
        <f>AM235+AM243</f>
        <v>0</v>
      </c>
      <c r="AN234" s="10"/>
    </row>
    <row r="235" spans="1:40" s="467" customFormat="1" x14ac:dyDescent="0.2">
      <c r="A235" s="623"/>
      <c r="B235" s="554"/>
      <c r="N235" s="10"/>
      <c r="P235" s="10"/>
      <c r="Q235" s="10"/>
      <c r="R235" s="10"/>
      <c r="S235" s="155">
        <f>+IF(MAYO!S235=0,"",MAYO!S235)</f>
        <v>8001000</v>
      </c>
      <c r="T235" s="159" t="str">
        <f>+IF(MAYO!T235=0,"",MAYO!T235)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40" s="467" customFormat="1" x14ac:dyDescent="0.2">
      <c r="A236" s="623"/>
      <c r="B236" s="554"/>
      <c r="N236" s="10"/>
      <c r="P236" s="10"/>
      <c r="Q236" s="10"/>
      <c r="R236" s="10"/>
      <c r="S236" s="156" t="str">
        <f>+IF(MAYO!S236=0,"",MAYO!S236)</f>
        <v>8001000-1</v>
      </c>
      <c r="T236" s="55" t="str">
        <f>+IF(MAYO!T236=0,"",MAYO!T236)</f>
        <v>Subprogr.Construc. Remodelac. Adecuación y Apliac.1</v>
      </c>
      <c r="U236" s="29">
        <f>+ENERO!U236</f>
        <v>0</v>
      </c>
      <c r="V236" s="17">
        <f>MAYO!V236+JUNIO!AL236</f>
        <v>0</v>
      </c>
      <c r="W236" s="17">
        <f>MAYO!W236+JUNIO!AM236</f>
        <v>0</v>
      </c>
      <c r="X236" s="20">
        <f t="shared" ref="X236:X241" si="189">SUM(U236:W236)</f>
        <v>0</v>
      </c>
      <c r="Y236" s="21">
        <f>MAYO!AA236</f>
        <v>0</v>
      </c>
      <c r="Z236" s="457">
        <v>0</v>
      </c>
      <c r="AA236" s="20">
        <f t="shared" ref="AA236:AA241" si="190">SUM(Y236:Z236)</f>
        <v>0</v>
      </c>
      <c r="AB236" s="21">
        <f>MAYO!AD236</f>
        <v>0</v>
      </c>
      <c r="AC236" s="457">
        <v>0</v>
      </c>
      <c r="AD236" s="20">
        <f t="shared" ref="AD236:AD241" si="191">SUM(AB236:AC236)</f>
        <v>0</v>
      </c>
      <c r="AE236" s="21">
        <f>MAYO!AG236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40" s="467" customFormat="1" x14ac:dyDescent="0.2">
      <c r="A237" s="623"/>
      <c r="B237" s="554"/>
      <c r="N237" s="10"/>
      <c r="P237" s="10"/>
      <c r="Q237" s="10"/>
      <c r="R237" s="10"/>
      <c r="S237" s="156" t="str">
        <f>+IF(MAYO!S237=0,"",MAYO!S237)</f>
        <v>8001000-2</v>
      </c>
      <c r="T237" s="55" t="str">
        <f>+IF(MAYO!T237=0,"",MAYO!T237)</f>
        <v>Subprogr.Construc. Remodelac. Adecuación y Apliac.2</v>
      </c>
      <c r="U237" s="29">
        <f>+ENERO!U237</f>
        <v>0</v>
      </c>
      <c r="V237" s="17">
        <f>MAYO!V237+JUNIO!AL237</f>
        <v>0</v>
      </c>
      <c r="W237" s="17">
        <f>MAYO!W237+JUNIO!AM237</f>
        <v>0</v>
      </c>
      <c r="X237" s="20">
        <f t="shared" si="189"/>
        <v>0</v>
      </c>
      <c r="Y237" s="21">
        <f>MAYO!AA237</f>
        <v>0</v>
      </c>
      <c r="Z237" s="457">
        <v>0</v>
      </c>
      <c r="AA237" s="20">
        <f t="shared" si="190"/>
        <v>0</v>
      </c>
      <c r="AB237" s="21">
        <f>MAYO!AD237</f>
        <v>0</v>
      </c>
      <c r="AC237" s="457">
        <v>0</v>
      </c>
      <c r="AD237" s="20">
        <f t="shared" si="191"/>
        <v>0</v>
      </c>
      <c r="AE237" s="21">
        <f>MAYO!AG237</f>
        <v>0</v>
      </c>
      <c r="AF237" s="457">
        <v>0</v>
      </c>
      <c r="AG237" s="20">
        <f t="shared" si="192"/>
        <v>0</v>
      </c>
      <c r="AH237" s="21">
        <f t="shared" si="193"/>
        <v>0</v>
      </c>
      <c r="AI237" s="17">
        <f t="shared" si="194"/>
        <v>0</v>
      </c>
      <c r="AJ237" s="18">
        <f t="shared" si="195"/>
        <v>0</v>
      </c>
      <c r="AK237" s="10"/>
      <c r="AL237" s="455">
        <v>0</v>
      </c>
      <c r="AM237" s="458">
        <v>0</v>
      </c>
      <c r="AN237" s="10"/>
    </row>
    <row r="238" spans="1:40" s="467" customFormat="1" x14ac:dyDescent="0.2">
      <c r="A238" s="623"/>
      <c r="B238" s="554"/>
      <c r="N238" s="10"/>
      <c r="P238" s="10"/>
      <c r="Q238" s="10"/>
      <c r="R238" s="10"/>
      <c r="S238" s="156" t="str">
        <f>+IF(MAYO!S238=0,"",MAYO!S238)</f>
        <v>8001000-3</v>
      </c>
      <c r="T238" s="55" t="str">
        <f>+IF(MAYO!T238=0,"",MAYO!T238)</f>
        <v>Subprogr.Construc. Remodelac. Adecuación y Apliac.3</v>
      </c>
      <c r="U238" s="29">
        <f>+ENERO!U238</f>
        <v>0</v>
      </c>
      <c r="V238" s="17">
        <f>MAYO!V238+JUNIO!AL238</f>
        <v>0</v>
      </c>
      <c r="W238" s="17">
        <f>MAYO!W238+JUNIO!AM238</f>
        <v>0</v>
      </c>
      <c r="X238" s="20">
        <f t="shared" si="189"/>
        <v>0</v>
      </c>
      <c r="Y238" s="21">
        <f>MAYO!AA238</f>
        <v>0</v>
      </c>
      <c r="Z238" s="457">
        <v>0</v>
      </c>
      <c r="AA238" s="20">
        <f t="shared" si="190"/>
        <v>0</v>
      </c>
      <c r="AB238" s="21">
        <f>MAYO!AD238</f>
        <v>0</v>
      </c>
      <c r="AC238" s="457">
        <v>0</v>
      </c>
      <c r="AD238" s="20">
        <f t="shared" si="191"/>
        <v>0</v>
      </c>
      <c r="AE238" s="21">
        <f>MAYO!AG238</f>
        <v>0</v>
      </c>
      <c r="AF238" s="457">
        <v>0</v>
      </c>
      <c r="AG238" s="20">
        <f t="shared" si="192"/>
        <v>0</v>
      </c>
      <c r="AH238" s="21">
        <f t="shared" si="193"/>
        <v>0</v>
      </c>
      <c r="AI238" s="17">
        <f t="shared" si="194"/>
        <v>0</v>
      </c>
      <c r="AJ238" s="18">
        <f t="shared" si="195"/>
        <v>0</v>
      </c>
      <c r="AK238" s="10"/>
      <c r="AL238" s="455">
        <v>0</v>
      </c>
      <c r="AM238" s="458">
        <v>0</v>
      </c>
      <c r="AN238" s="10"/>
    </row>
    <row r="239" spans="1:40" s="467" customFormat="1" x14ac:dyDescent="0.2">
      <c r="A239" s="623"/>
      <c r="B239" s="554"/>
      <c r="N239" s="10"/>
      <c r="P239" s="10"/>
      <c r="Q239" s="10"/>
      <c r="S239" s="156" t="str">
        <f>+IF(MAYO!S239=0,"",MAYO!S239)</f>
        <v>8001000-4</v>
      </c>
      <c r="T239" s="55" t="str">
        <f>+IF(MAYO!T239=0,"",MAYO!T239)</f>
        <v>Subprogr.Construc. Remodelac. Adecuación y Apliac.4</v>
      </c>
      <c r="U239" s="29">
        <f>+ENERO!U239</f>
        <v>0</v>
      </c>
      <c r="V239" s="17">
        <f>MAYO!V239+JUNIO!AL239</f>
        <v>0</v>
      </c>
      <c r="W239" s="17">
        <f>MAYO!W239+JUNIO!AM239</f>
        <v>0</v>
      </c>
      <c r="X239" s="20">
        <f t="shared" si="189"/>
        <v>0</v>
      </c>
      <c r="Y239" s="21">
        <f>MAYO!AA239</f>
        <v>0</v>
      </c>
      <c r="Z239" s="457">
        <v>0</v>
      </c>
      <c r="AA239" s="20">
        <f t="shared" si="190"/>
        <v>0</v>
      </c>
      <c r="AB239" s="21">
        <f>MAYO!AD239</f>
        <v>0</v>
      </c>
      <c r="AC239" s="457">
        <v>0</v>
      </c>
      <c r="AD239" s="20">
        <f t="shared" si="191"/>
        <v>0</v>
      </c>
      <c r="AE239" s="21">
        <f>MAYO!AG239</f>
        <v>0</v>
      </c>
      <c r="AF239" s="457">
        <v>0</v>
      </c>
      <c r="AG239" s="20">
        <f t="shared" si="192"/>
        <v>0</v>
      </c>
      <c r="AH239" s="21">
        <f t="shared" si="193"/>
        <v>0</v>
      </c>
      <c r="AI239" s="17">
        <f t="shared" si="194"/>
        <v>0</v>
      </c>
      <c r="AJ239" s="18">
        <f t="shared" si="195"/>
        <v>0</v>
      </c>
      <c r="AK239" s="10"/>
      <c r="AL239" s="455">
        <v>0</v>
      </c>
      <c r="AM239" s="458">
        <v>0</v>
      </c>
      <c r="AN239" s="10"/>
    </row>
    <row r="240" spans="1:40" s="467" customFormat="1" x14ac:dyDescent="0.2">
      <c r="A240" s="623"/>
      <c r="B240" s="554"/>
      <c r="N240" s="10"/>
      <c r="P240" s="10"/>
      <c r="Q240" s="10"/>
      <c r="S240" s="156" t="str">
        <f>+IF(MAYO!S240=0,"",MAYO!S240)</f>
        <v>8001000-7</v>
      </c>
      <c r="T240" s="55" t="str">
        <f>+IF(MAYO!T240=0,"",MAYO!T240)</f>
        <v>Subprogr.Construc. Remodelac. Adecuación y Apliac.5</v>
      </c>
      <c r="U240" s="29">
        <f>+ENERO!U240</f>
        <v>0</v>
      </c>
      <c r="V240" s="17">
        <f>MAYO!V240+JUNIO!AL240</f>
        <v>0</v>
      </c>
      <c r="W240" s="17">
        <f>MAYO!W240+JUNIO!AM240</f>
        <v>0</v>
      </c>
      <c r="X240" s="20">
        <f t="shared" si="189"/>
        <v>0</v>
      </c>
      <c r="Y240" s="21">
        <f>MAYO!AA240</f>
        <v>0</v>
      </c>
      <c r="Z240" s="457">
        <v>0</v>
      </c>
      <c r="AA240" s="20">
        <f t="shared" si="190"/>
        <v>0</v>
      </c>
      <c r="AB240" s="21">
        <f>MAYO!AD240</f>
        <v>0</v>
      </c>
      <c r="AC240" s="457">
        <v>0</v>
      </c>
      <c r="AD240" s="20">
        <f t="shared" si="191"/>
        <v>0</v>
      </c>
      <c r="AE240" s="21">
        <f>MAYO!AG240</f>
        <v>0</v>
      </c>
      <c r="AF240" s="457">
        <v>0</v>
      </c>
      <c r="AG240" s="20">
        <f t="shared" si="192"/>
        <v>0</v>
      </c>
      <c r="AH240" s="21">
        <f t="shared" si="193"/>
        <v>0</v>
      </c>
      <c r="AI240" s="17">
        <f t="shared" si="194"/>
        <v>0</v>
      </c>
      <c r="AJ240" s="18">
        <f t="shared" si="195"/>
        <v>0</v>
      </c>
      <c r="AK240" s="10"/>
      <c r="AL240" s="455">
        <v>0</v>
      </c>
      <c r="AM240" s="458">
        <v>0</v>
      </c>
      <c r="AN240" s="10"/>
    </row>
    <row r="241" spans="1:70" ht="14.25" x14ac:dyDescent="0.2">
      <c r="A241" s="623"/>
      <c r="B241" s="554"/>
      <c r="C241" s="467"/>
      <c r="D241" s="467"/>
      <c r="E241" s="467"/>
      <c r="F241" s="467"/>
      <c r="G241" s="467"/>
      <c r="H241" s="467"/>
      <c r="I241" s="467"/>
      <c r="J241" s="467"/>
      <c r="K241" s="467"/>
      <c r="L241" s="467"/>
      <c r="M241" s="467"/>
      <c r="N241" s="10"/>
      <c r="O241" s="467"/>
      <c r="P241" s="10"/>
      <c r="Q241" s="10"/>
      <c r="S241" s="656">
        <f>+IF(MAYO!S241=0,"",MAYO!S241)</f>
        <v>8001999</v>
      </c>
      <c r="T241" s="55" t="str">
        <f>+IF(MAYO!T241=0,"",MAYO!T241)</f>
        <v>Vigencias Anteriores</v>
      </c>
      <c r="U241" s="29">
        <f>+ENERO!U241</f>
        <v>0</v>
      </c>
      <c r="V241" s="17">
        <f>MAYO!V241+JUNIO!AL241</f>
        <v>0</v>
      </c>
      <c r="W241" s="17">
        <f>MAYO!W241+JUNIO!AM241</f>
        <v>0</v>
      </c>
      <c r="X241" s="20">
        <f t="shared" si="189"/>
        <v>0</v>
      </c>
      <c r="Y241" s="21">
        <f>MAYO!AA241</f>
        <v>0</v>
      </c>
      <c r="Z241" s="457">
        <v>0</v>
      </c>
      <c r="AA241" s="20">
        <f t="shared" si="190"/>
        <v>0</v>
      </c>
      <c r="AB241" s="21">
        <f>MAYO!AD241</f>
        <v>0</v>
      </c>
      <c r="AC241" s="457">
        <v>0</v>
      </c>
      <c r="AD241" s="20">
        <f t="shared" si="191"/>
        <v>0</v>
      </c>
      <c r="AE241" s="21">
        <f>MAYO!AG241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x14ac:dyDescent="0.2">
      <c r="A242" s="623"/>
      <c r="B242" s="554"/>
      <c r="C242" s="467"/>
      <c r="D242" s="467"/>
      <c r="E242" s="467"/>
      <c r="F242" s="467"/>
      <c r="G242" s="467"/>
      <c r="H242" s="467"/>
      <c r="I242" s="467"/>
      <c r="J242" s="467"/>
      <c r="K242" s="467"/>
      <c r="L242" s="467"/>
      <c r="M242" s="467"/>
      <c r="N242" s="10"/>
      <c r="O242" s="467"/>
      <c r="P242" s="10"/>
      <c r="Q242" s="10"/>
      <c r="S242" s="448" t="str">
        <f>+IF(MAYO!S242=0,"",MAYO!S242)</f>
        <v/>
      </c>
      <c r="T242" s="649" t="str">
        <f>+IF(MAYO!T242=0,"",MAYO!T242)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x14ac:dyDescent="0.2">
      <c r="A243" s="623"/>
      <c r="B243" s="554"/>
      <c r="C243" s="467"/>
      <c r="D243" s="467"/>
      <c r="E243" s="467"/>
      <c r="F243" s="467"/>
      <c r="G243" s="467"/>
      <c r="H243" s="467"/>
      <c r="I243" s="467"/>
      <c r="J243" s="467"/>
      <c r="K243" s="467"/>
      <c r="L243" s="467"/>
      <c r="M243" s="467"/>
      <c r="N243" s="10"/>
      <c r="O243" s="467"/>
      <c r="P243" s="10"/>
      <c r="Q243" s="10"/>
      <c r="S243" s="155">
        <f>+IF(MAYO!S243=0,"",MAYO!S243)</f>
        <v>8002001</v>
      </c>
      <c r="T243" s="159" t="str">
        <f>+IF(MAYO!T243=0,"",MAYO!T243)</f>
        <v>Gastos Operativos de Inversion   (Programas Especiales)</v>
      </c>
      <c r="U243" s="29">
        <f t="shared" ref="U243:AJ243" si="196">SUM(U244:U256)</f>
        <v>121563100</v>
      </c>
      <c r="V243" s="17">
        <f t="shared" si="196"/>
        <v>-1563100</v>
      </c>
      <c r="W243" s="17">
        <f t="shared" si="196"/>
        <v>0</v>
      </c>
      <c r="X243" s="20">
        <f t="shared" si="196"/>
        <v>120000000</v>
      </c>
      <c r="Y243" s="21">
        <f t="shared" si="196"/>
        <v>74405968</v>
      </c>
      <c r="Z243" s="169">
        <f t="shared" si="196"/>
        <v>20888493</v>
      </c>
      <c r="AA243" s="20">
        <f t="shared" si="196"/>
        <v>95294461</v>
      </c>
      <c r="AB243" s="21">
        <f t="shared" si="196"/>
        <v>74405968</v>
      </c>
      <c r="AC243" s="169">
        <f t="shared" si="196"/>
        <v>20888493</v>
      </c>
      <c r="AD243" s="20">
        <f t="shared" si="196"/>
        <v>95294461</v>
      </c>
      <c r="AE243" s="21">
        <f t="shared" si="196"/>
        <v>55280476</v>
      </c>
      <c r="AF243" s="169">
        <f t="shared" si="196"/>
        <v>17309492</v>
      </c>
      <c r="AG243" s="20">
        <f t="shared" si="196"/>
        <v>72589968</v>
      </c>
      <c r="AH243" s="21">
        <f t="shared" si="196"/>
        <v>24705539</v>
      </c>
      <c r="AI243" s="17">
        <f t="shared" si="196"/>
        <v>24705539</v>
      </c>
      <c r="AJ243" s="18">
        <f t="shared" si="196"/>
        <v>47410032</v>
      </c>
      <c r="AK243" s="10"/>
      <c r="AL243" s="21">
        <f>SUM(AL244:AL256)</f>
        <v>0</v>
      </c>
      <c r="AM243" s="18">
        <f>SUM(AM244:AM256)</f>
        <v>0</v>
      </c>
    </row>
    <row r="244" spans="1:70" x14ac:dyDescent="0.2">
      <c r="A244" s="623"/>
      <c r="B244" s="554"/>
      <c r="C244" s="467"/>
      <c r="D244" s="467"/>
      <c r="E244" s="467"/>
      <c r="F244" s="467"/>
      <c r="G244" s="467"/>
      <c r="H244" s="467"/>
      <c r="I244" s="467"/>
      <c r="J244" s="467"/>
      <c r="K244" s="467"/>
      <c r="L244" s="467"/>
      <c r="M244" s="467"/>
      <c r="N244" s="10"/>
      <c r="O244" s="467"/>
      <c r="P244" s="10"/>
      <c r="Q244" s="10"/>
      <c r="S244" s="156" t="str">
        <f>+IF(MAYO!S244=0,"",MAYO!S244)</f>
        <v>8002100-1</v>
      </c>
      <c r="T244" s="55" t="str">
        <f>+IF(MAYO!T244=0,"",MAYO!T244)</f>
        <v>Salud Pública</v>
      </c>
      <c r="U244" s="29">
        <f>+ENERO!U244</f>
        <v>120000000</v>
      </c>
      <c r="V244" s="17">
        <f>MAYO!V244+JUNIO!AL244</f>
        <v>0</v>
      </c>
      <c r="W244" s="17">
        <f>MAYO!W244+JUNIO!AM244</f>
        <v>0</v>
      </c>
      <c r="X244" s="20">
        <f t="shared" ref="X244:X256" si="197">SUM(U244:W244)</f>
        <v>120000000</v>
      </c>
      <c r="Y244" s="21">
        <f>MAYO!AA244</f>
        <v>74405968</v>
      </c>
      <c r="Z244" s="457">
        <v>20888493</v>
      </c>
      <c r="AA244" s="20">
        <f t="shared" ref="AA244:AA256" si="198">SUM(Y244:Z244)</f>
        <v>95294461</v>
      </c>
      <c r="AB244" s="21">
        <f>MAYO!AD244</f>
        <v>74405968</v>
      </c>
      <c r="AC244" s="457">
        <v>20888493</v>
      </c>
      <c r="AD244" s="20">
        <f t="shared" ref="AD244:AD256" si="199">SUM(AB244:AC244)</f>
        <v>95294461</v>
      </c>
      <c r="AE244" s="21">
        <f>MAYO!AG244</f>
        <v>55280476</v>
      </c>
      <c r="AF244" s="457">
        <v>17309492</v>
      </c>
      <c r="AG244" s="20">
        <f t="shared" ref="AG244:AG256" si="200">SUM(AE244:AF244)</f>
        <v>72589968</v>
      </c>
      <c r="AH244" s="21">
        <f t="shared" ref="AH244:AH256" si="201">X244-AA244</f>
        <v>24705539</v>
      </c>
      <c r="AI244" s="17">
        <f t="shared" ref="AI244:AI256" si="202">X244-AD244</f>
        <v>24705539</v>
      </c>
      <c r="AJ244" s="18">
        <f t="shared" ref="AJ244:AJ256" si="203">X244-AG244</f>
        <v>47410032</v>
      </c>
      <c r="AK244" s="10"/>
      <c r="AL244" s="455">
        <v>0</v>
      </c>
      <c r="AM244" s="458">
        <v>0</v>
      </c>
    </row>
    <row r="245" spans="1:70" x14ac:dyDescent="0.2">
      <c r="A245" s="623"/>
      <c r="B245" s="554"/>
      <c r="C245" s="467"/>
      <c r="D245" s="467"/>
      <c r="E245" s="467"/>
      <c r="F245" s="467"/>
      <c r="G245" s="467"/>
      <c r="H245" s="467"/>
      <c r="I245" s="467"/>
      <c r="J245" s="467"/>
      <c r="K245" s="467"/>
      <c r="L245" s="467"/>
      <c r="M245" s="467"/>
      <c r="N245" s="10"/>
      <c r="O245" s="467"/>
      <c r="P245" s="10"/>
      <c r="Q245" s="10"/>
      <c r="S245" s="156" t="str">
        <f>+IF(MAYO!S245=0,"",MAYO!S245)</f>
        <v>8002100-2</v>
      </c>
      <c r="T245" s="55" t="str">
        <f>+IF(MAYO!T245=0,"",MAYO!T245)</f>
        <v>Programas Especial 01</v>
      </c>
      <c r="U245" s="29">
        <f>+ENERO!U245</f>
        <v>0</v>
      </c>
      <c r="V245" s="17">
        <f>MAYO!V245+JUNIO!AL245</f>
        <v>0</v>
      </c>
      <c r="W245" s="17">
        <f>MAYO!W245+JUNIO!AM245</f>
        <v>0</v>
      </c>
      <c r="X245" s="20">
        <f t="shared" si="197"/>
        <v>0</v>
      </c>
      <c r="Y245" s="21">
        <f>MAYO!AA245</f>
        <v>0</v>
      </c>
      <c r="Z245" s="457">
        <v>0</v>
      </c>
      <c r="AA245" s="20">
        <f t="shared" si="198"/>
        <v>0</v>
      </c>
      <c r="AB245" s="21">
        <f>MAYO!AD245</f>
        <v>0</v>
      </c>
      <c r="AC245" s="457">
        <v>0</v>
      </c>
      <c r="AD245" s="20">
        <f t="shared" si="199"/>
        <v>0</v>
      </c>
      <c r="AE245" s="21">
        <f>MAYO!AG245</f>
        <v>0</v>
      </c>
      <c r="AF245" s="457">
        <v>0</v>
      </c>
      <c r="AG245" s="20">
        <f t="shared" si="200"/>
        <v>0</v>
      </c>
      <c r="AH245" s="21">
        <f t="shared" si="201"/>
        <v>0</v>
      </c>
      <c r="AI245" s="17">
        <f t="shared" si="202"/>
        <v>0</v>
      </c>
      <c r="AJ245" s="18">
        <f t="shared" si="203"/>
        <v>0</v>
      </c>
      <c r="AK245" s="10"/>
      <c r="AL245" s="455">
        <v>0</v>
      </c>
      <c r="AM245" s="458">
        <v>0</v>
      </c>
    </row>
    <row r="246" spans="1:70" x14ac:dyDescent="0.2">
      <c r="A246" s="623"/>
      <c r="B246" s="554"/>
      <c r="C246" s="467"/>
      <c r="D246" s="467"/>
      <c r="E246" s="467"/>
      <c r="F246" s="467"/>
      <c r="G246" s="467"/>
      <c r="H246" s="467"/>
      <c r="I246" s="467"/>
      <c r="J246" s="467"/>
      <c r="K246" s="467"/>
      <c r="L246" s="467"/>
      <c r="M246" s="467"/>
      <c r="N246" s="10"/>
      <c r="O246" s="467"/>
      <c r="P246" s="10"/>
      <c r="Q246" s="10"/>
      <c r="S246" s="156" t="str">
        <f>+IF(MAYO!S246=0,"",MAYO!S246)</f>
        <v>8002100-3</v>
      </c>
      <c r="T246" s="55" t="str">
        <f>+IF(MAYO!T246=0,"",MAYO!T246)</f>
        <v>Programas Especial 02</v>
      </c>
      <c r="U246" s="29">
        <f>+ENERO!U246</f>
        <v>0</v>
      </c>
      <c r="V246" s="17">
        <f>MAYO!V246+JUNIO!AL246</f>
        <v>0</v>
      </c>
      <c r="W246" s="17">
        <f>MAYO!W246+JUNIO!AM246</f>
        <v>0</v>
      </c>
      <c r="X246" s="20">
        <f t="shared" si="197"/>
        <v>0</v>
      </c>
      <c r="Y246" s="21">
        <f>MAYO!AA246</f>
        <v>0</v>
      </c>
      <c r="Z246" s="457">
        <v>0</v>
      </c>
      <c r="AA246" s="20">
        <f t="shared" si="198"/>
        <v>0</v>
      </c>
      <c r="AB246" s="21">
        <f>MAYO!AD246</f>
        <v>0</v>
      </c>
      <c r="AC246" s="457">
        <v>0</v>
      </c>
      <c r="AD246" s="20">
        <f t="shared" si="199"/>
        <v>0</v>
      </c>
      <c r="AE246" s="21">
        <f>MAYO!AG246</f>
        <v>0</v>
      </c>
      <c r="AF246" s="457">
        <v>0</v>
      </c>
      <c r="AG246" s="20">
        <f t="shared" si="200"/>
        <v>0</v>
      </c>
      <c r="AH246" s="21">
        <f t="shared" si="201"/>
        <v>0</v>
      </c>
      <c r="AI246" s="17">
        <f t="shared" si="202"/>
        <v>0</v>
      </c>
      <c r="AJ246" s="18">
        <f t="shared" si="203"/>
        <v>0</v>
      </c>
      <c r="AK246" s="10"/>
      <c r="AL246" s="455">
        <v>0</v>
      </c>
      <c r="AM246" s="458">
        <v>0</v>
      </c>
    </row>
    <row r="247" spans="1:70" x14ac:dyDescent="0.2">
      <c r="A247" s="623"/>
      <c r="B247" s="554"/>
      <c r="C247" s="467"/>
      <c r="D247" s="467"/>
      <c r="E247" s="467"/>
      <c r="F247" s="467"/>
      <c r="G247" s="467"/>
      <c r="H247" s="467"/>
      <c r="I247" s="467"/>
      <c r="J247" s="467"/>
      <c r="K247" s="467"/>
      <c r="L247" s="467"/>
      <c r="M247" s="467"/>
      <c r="N247" s="10"/>
      <c r="O247" s="467"/>
      <c r="P247" s="10"/>
      <c r="Q247" s="10"/>
      <c r="S247" s="156" t="str">
        <f>+IF(MAYO!S247=0,"",MAYO!S247)</f>
        <v>8002100-4</v>
      </c>
      <c r="T247" s="55" t="str">
        <f>+IF(MAYO!T247=0,"",MAYO!T247)</f>
        <v>Programas Especial 03</v>
      </c>
      <c r="U247" s="29">
        <f>+ENERO!U247</f>
        <v>0</v>
      </c>
      <c r="V247" s="17">
        <f>MAYO!V247+JUNIO!AL247</f>
        <v>0</v>
      </c>
      <c r="W247" s="17">
        <f>MAYO!W247+JUNIO!AM247</f>
        <v>0</v>
      </c>
      <c r="X247" s="20">
        <f t="shared" si="197"/>
        <v>0</v>
      </c>
      <c r="Y247" s="21">
        <f>MAYO!AA247</f>
        <v>0</v>
      </c>
      <c r="Z247" s="457">
        <v>0</v>
      </c>
      <c r="AA247" s="20">
        <f t="shared" si="198"/>
        <v>0</v>
      </c>
      <c r="AB247" s="21">
        <f>MAYO!AD247</f>
        <v>0</v>
      </c>
      <c r="AC247" s="457">
        <v>0</v>
      </c>
      <c r="AD247" s="20">
        <f t="shared" si="199"/>
        <v>0</v>
      </c>
      <c r="AE247" s="21">
        <f>MAYO!AG247</f>
        <v>0</v>
      </c>
      <c r="AF247" s="457">
        <v>0</v>
      </c>
      <c r="AG247" s="20">
        <f t="shared" si="200"/>
        <v>0</v>
      </c>
      <c r="AH247" s="21">
        <f t="shared" si="201"/>
        <v>0</v>
      </c>
      <c r="AI247" s="17">
        <f t="shared" si="202"/>
        <v>0</v>
      </c>
      <c r="AJ247" s="18">
        <f t="shared" si="203"/>
        <v>0</v>
      </c>
      <c r="AK247" s="10"/>
      <c r="AL247" s="455">
        <v>0</v>
      </c>
      <c r="AM247" s="458">
        <v>0</v>
      </c>
    </row>
    <row r="248" spans="1:70" x14ac:dyDescent="0.2">
      <c r="A248" s="623"/>
      <c r="B248" s="554"/>
      <c r="C248" s="467"/>
      <c r="D248" s="467"/>
      <c r="E248" s="467"/>
      <c r="F248" s="467"/>
      <c r="G248" s="467"/>
      <c r="H248" s="467"/>
      <c r="I248" s="467"/>
      <c r="J248" s="467"/>
      <c r="K248" s="467"/>
      <c r="L248" s="467"/>
      <c r="M248" s="467"/>
      <c r="N248" s="10"/>
      <c r="O248" s="467"/>
      <c r="P248" s="10"/>
      <c r="Q248" s="10"/>
      <c r="S248" s="156" t="str">
        <f>+IF(MAYO!S248=0,"",MAYO!S248)</f>
        <v>8002100-5</v>
      </c>
      <c r="T248" s="55" t="str">
        <f>+IF(MAYO!T248=0,"",MAYO!T248)</f>
        <v>Programas Especial 04</v>
      </c>
      <c r="U248" s="29">
        <f>+ENERO!U248</f>
        <v>0</v>
      </c>
      <c r="V248" s="17">
        <f>MAYO!V248+JUNIO!AL248</f>
        <v>0</v>
      </c>
      <c r="W248" s="17">
        <f>MAYO!W248+JUNIO!AM248</f>
        <v>0</v>
      </c>
      <c r="X248" s="20">
        <f t="shared" si="197"/>
        <v>0</v>
      </c>
      <c r="Y248" s="21">
        <f>MAYO!AA248</f>
        <v>0</v>
      </c>
      <c r="Z248" s="457">
        <v>0</v>
      </c>
      <c r="AA248" s="20">
        <f t="shared" si="198"/>
        <v>0</v>
      </c>
      <c r="AB248" s="21">
        <f>MAYO!AD248</f>
        <v>0</v>
      </c>
      <c r="AC248" s="457">
        <v>0</v>
      </c>
      <c r="AD248" s="20">
        <f t="shared" si="199"/>
        <v>0</v>
      </c>
      <c r="AE248" s="21">
        <f>MAYO!AG248</f>
        <v>0</v>
      </c>
      <c r="AF248" s="457">
        <v>0</v>
      </c>
      <c r="AG248" s="20">
        <f t="shared" si="200"/>
        <v>0</v>
      </c>
      <c r="AH248" s="21">
        <f t="shared" si="201"/>
        <v>0</v>
      </c>
      <c r="AI248" s="17">
        <f t="shared" si="202"/>
        <v>0</v>
      </c>
      <c r="AJ248" s="18">
        <f t="shared" si="203"/>
        <v>0</v>
      </c>
      <c r="AK248" s="10"/>
      <c r="AL248" s="455">
        <v>0</v>
      </c>
      <c r="AM248" s="458">
        <v>0</v>
      </c>
    </row>
    <row r="249" spans="1:70" x14ac:dyDescent="0.2">
      <c r="A249" s="623"/>
      <c r="B249" s="554"/>
      <c r="C249" s="467"/>
      <c r="D249" s="467"/>
      <c r="E249" s="467"/>
      <c r="F249" s="467"/>
      <c r="G249" s="467"/>
      <c r="H249" s="467"/>
      <c r="I249" s="467"/>
      <c r="J249" s="467"/>
      <c r="K249" s="467"/>
      <c r="L249" s="467"/>
      <c r="M249" s="467"/>
      <c r="N249" s="10"/>
      <c r="O249" s="467"/>
      <c r="P249" s="10"/>
      <c r="Q249" s="10"/>
      <c r="S249" s="156" t="str">
        <f>+IF(MAYO!S249=0,"",MAYO!S249)</f>
        <v>8002100-6</v>
      </c>
      <c r="T249" s="55" t="str">
        <f>+IF(MAYO!T249=0,"",MAYO!T249)</f>
        <v>Programas Especial 05</v>
      </c>
      <c r="U249" s="29">
        <f>+ENERO!U249</f>
        <v>0</v>
      </c>
      <c r="V249" s="17">
        <f>MAYO!V249+JUNIO!AL249</f>
        <v>0</v>
      </c>
      <c r="W249" s="17">
        <f>MAYO!W249+JUNIO!AM249</f>
        <v>0</v>
      </c>
      <c r="X249" s="20">
        <f t="shared" si="197"/>
        <v>0</v>
      </c>
      <c r="Y249" s="21">
        <f>MAYO!AA249</f>
        <v>0</v>
      </c>
      <c r="Z249" s="457">
        <v>0</v>
      </c>
      <c r="AA249" s="20">
        <f t="shared" si="198"/>
        <v>0</v>
      </c>
      <c r="AB249" s="21">
        <f>MAYO!AD249</f>
        <v>0</v>
      </c>
      <c r="AC249" s="457">
        <v>0</v>
      </c>
      <c r="AD249" s="20">
        <f t="shared" si="199"/>
        <v>0</v>
      </c>
      <c r="AE249" s="21">
        <f>MAYO!AG249</f>
        <v>0</v>
      </c>
      <c r="AF249" s="457">
        <v>0</v>
      </c>
      <c r="AG249" s="20">
        <f t="shared" si="200"/>
        <v>0</v>
      </c>
      <c r="AH249" s="21">
        <f t="shared" si="201"/>
        <v>0</v>
      </c>
      <c r="AI249" s="17">
        <f t="shared" si="202"/>
        <v>0</v>
      </c>
      <c r="AJ249" s="18">
        <f t="shared" si="203"/>
        <v>0</v>
      </c>
      <c r="AK249" s="10"/>
      <c r="AL249" s="455">
        <v>0</v>
      </c>
      <c r="AM249" s="458">
        <v>0</v>
      </c>
    </row>
    <row r="250" spans="1:70" x14ac:dyDescent="0.2">
      <c r="A250" s="623"/>
      <c r="B250" s="554"/>
      <c r="C250" s="467"/>
      <c r="D250" s="467"/>
      <c r="E250" s="467"/>
      <c r="F250" s="467"/>
      <c r="G250" s="467"/>
      <c r="H250" s="467"/>
      <c r="I250" s="467"/>
      <c r="J250" s="467"/>
      <c r="K250" s="467"/>
      <c r="L250" s="467"/>
      <c r="M250" s="467"/>
      <c r="N250" s="10"/>
      <c r="O250" s="467"/>
      <c r="P250" s="10"/>
      <c r="Q250" s="10"/>
      <c r="S250" s="156" t="str">
        <f>+IF(MAYO!S250=0,"",MAYO!S250)</f>
        <v>8002100-7</v>
      </c>
      <c r="T250" s="55" t="str">
        <f>+IF(MAYO!T250=0,"",MAYO!T250)</f>
        <v>Programas Especial 06</v>
      </c>
      <c r="U250" s="29">
        <f>+ENERO!U250</f>
        <v>0</v>
      </c>
      <c r="V250" s="17">
        <f>MAYO!V250+JUNIO!AL250</f>
        <v>0</v>
      </c>
      <c r="W250" s="17">
        <f>MAYO!W250+JUNIO!AM250</f>
        <v>0</v>
      </c>
      <c r="X250" s="20">
        <f>SUM(U250:W250)</f>
        <v>0</v>
      </c>
      <c r="Y250" s="21">
        <f>MAYO!AA250</f>
        <v>0</v>
      </c>
      <c r="Z250" s="457">
        <v>0</v>
      </c>
      <c r="AA250" s="20">
        <f>SUM(Y250:Z250)</f>
        <v>0</v>
      </c>
      <c r="AB250" s="21">
        <f>MAYO!AD250</f>
        <v>0</v>
      </c>
      <c r="AC250" s="457">
        <v>0</v>
      </c>
      <c r="AD250" s="20">
        <f>SUM(AB250:AC250)</f>
        <v>0</v>
      </c>
      <c r="AE250" s="21">
        <f>MAYO!AG250</f>
        <v>0</v>
      </c>
      <c r="AF250" s="457">
        <v>0</v>
      </c>
      <c r="AG250" s="20">
        <f>SUM(AE250:AF250)</f>
        <v>0</v>
      </c>
      <c r="AH250" s="21">
        <f>X250-AA250</f>
        <v>0</v>
      </c>
      <c r="AI250" s="17">
        <f>X250-AD250</f>
        <v>0</v>
      </c>
      <c r="AJ250" s="18">
        <f>X250-AG250</f>
        <v>0</v>
      </c>
      <c r="AK250" s="10"/>
      <c r="AL250" s="455">
        <v>0</v>
      </c>
      <c r="AM250" s="458">
        <v>0</v>
      </c>
    </row>
    <row r="251" spans="1:70" x14ac:dyDescent="0.2">
      <c r="A251" s="623"/>
      <c r="B251" s="554"/>
      <c r="C251" s="467"/>
      <c r="D251" s="467"/>
      <c r="E251" s="467"/>
      <c r="F251" s="467"/>
      <c r="G251" s="467"/>
      <c r="H251" s="467"/>
      <c r="I251" s="467"/>
      <c r="J251" s="467"/>
      <c r="K251" s="467"/>
      <c r="L251" s="467"/>
      <c r="M251" s="467"/>
      <c r="N251" s="10"/>
      <c r="O251" s="467"/>
      <c r="P251" s="10"/>
      <c r="Q251" s="10"/>
      <c r="S251" s="156" t="str">
        <f>+IF(MAYO!S251=0,"",MAYO!S251)</f>
        <v>8002100-8</v>
      </c>
      <c r="T251" s="55" t="str">
        <f>+IF(MAYO!T251=0,"",MAYO!T251)</f>
        <v>Programas Especial 07</v>
      </c>
      <c r="U251" s="29">
        <f>+ENERO!U251</f>
        <v>0</v>
      </c>
      <c r="V251" s="17">
        <f>MAYO!V251+JUNIO!AL251</f>
        <v>0</v>
      </c>
      <c r="W251" s="17">
        <f>MAYO!W251+JUNIO!AM251</f>
        <v>0</v>
      </c>
      <c r="X251" s="20">
        <f>SUM(U251:W251)</f>
        <v>0</v>
      </c>
      <c r="Y251" s="21">
        <f>MAYO!AA251</f>
        <v>0</v>
      </c>
      <c r="Z251" s="457">
        <v>0</v>
      </c>
      <c r="AA251" s="20">
        <f>SUM(Y251:Z251)</f>
        <v>0</v>
      </c>
      <c r="AB251" s="21">
        <f>MAYO!AD251</f>
        <v>0</v>
      </c>
      <c r="AC251" s="457">
        <v>0</v>
      </c>
      <c r="AD251" s="20">
        <f>SUM(AB251:AC251)</f>
        <v>0</v>
      </c>
      <c r="AE251" s="21">
        <f>MAYO!AG251</f>
        <v>0</v>
      </c>
      <c r="AF251" s="457">
        <v>0</v>
      </c>
      <c r="AG251" s="20">
        <f>SUM(AE251:AF251)</f>
        <v>0</v>
      </c>
      <c r="AH251" s="21">
        <f>X251-AA251</f>
        <v>0</v>
      </c>
      <c r="AI251" s="17">
        <f>X251-AD251</f>
        <v>0</v>
      </c>
      <c r="AJ251" s="18">
        <f>X251-AG251</f>
        <v>0</v>
      </c>
      <c r="AK251" s="10"/>
      <c r="AL251" s="455">
        <v>0</v>
      </c>
      <c r="AM251" s="458">
        <v>0</v>
      </c>
    </row>
    <row r="252" spans="1:70" x14ac:dyDescent="0.2">
      <c r="A252" s="623"/>
      <c r="B252" s="554"/>
      <c r="C252" s="467"/>
      <c r="D252" s="467"/>
      <c r="E252" s="467"/>
      <c r="F252" s="467"/>
      <c r="G252" s="467"/>
      <c r="H252" s="467"/>
      <c r="I252" s="467"/>
      <c r="J252" s="467"/>
      <c r="K252" s="467"/>
      <c r="L252" s="467"/>
      <c r="M252" s="467"/>
      <c r="N252" s="10"/>
      <c r="O252" s="467"/>
      <c r="P252" s="10"/>
      <c r="Q252" s="10"/>
      <c r="S252" s="156" t="str">
        <f>+IF(MAYO!S252=0,"",MAYO!S252)</f>
        <v>8002100-9</v>
      </c>
      <c r="T252" s="55" t="str">
        <f>+IF(MAYO!T252=0,"",MAYO!T252)</f>
        <v>Programas Especial 08</v>
      </c>
      <c r="U252" s="29">
        <f>+ENERO!U252</f>
        <v>0</v>
      </c>
      <c r="V252" s="17">
        <f>MAYO!V252+JUNIO!AL252</f>
        <v>0</v>
      </c>
      <c r="W252" s="17">
        <f>MAYO!W252+JUNIO!AM252</f>
        <v>0</v>
      </c>
      <c r="X252" s="20">
        <f>SUM(U252:W252)</f>
        <v>0</v>
      </c>
      <c r="Y252" s="21">
        <f>MAYO!AA252</f>
        <v>0</v>
      </c>
      <c r="Z252" s="457">
        <v>0</v>
      </c>
      <c r="AA252" s="20">
        <f>SUM(Y252:Z252)</f>
        <v>0</v>
      </c>
      <c r="AB252" s="21">
        <f>MAYO!AD252</f>
        <v>0</v>
      </c>
      <c r="AC252" s="457">
        <v>0</v>
      </c>
      <c r="AD252" s="20">
        <f>SUM(AB252:AC252)</f>
        <v>0</v>
      </c>
      <c r="AE252" s="21">
        <f>MAYO!AG252</f>
        <v>0</v>
      </c>
      <c r="AF252" s="457">
        <v>0</v>
      </c>
      <c r="AG252" s="20">
        <f>SUM(AE252:AF252)</f>
        <v>0</v>
      </c>
      <c r="AH252" s="21">
        <f>X252-AA252</f>
        <v>0</v>
      </c>
      <c r="AI252" s="17">
        <f>X252-AD252</f>
        <v>0</v>
      </c>
      <c r="AJ252" s="18">
        <f>X252-AG252</f>
        <v>0</v>
      </c>
      <c r="AK252" s="10"/>
      <c r="AL252" s="455">
        <v>0</v>
      </c>
      <c r="AM252" s="458">
        <v>0</v>
      </c>
    </row>
    <row r="253" spans="1:70" x14ac:dyDescent="0.2">
      <c r="A253" s="623"/>
      <c r="B253" s="554"/>
      <c r="C253" s="467"/>
      <c r="D253" s="467"/>
      <c r="E253" s="467"/>
      <c r="F253" s="467"/>
      <c r="G253" s="467"/>
      <c r="H253" s="467"/>
      <c r="I253" s="467"/>
      <c r="J253" s="467"/>
      <c r="K253" s="467"/>
      <c r="L253" s="467"/>
      <c r="M253" s="467"/>
      <c r="N253" s="10"/>
      <c r="O253" s="467"/>
      <c r="P253" s="10"/>
      <c r="Q253" s="10"/>
      <c r="S253" s="156" t="str">
        <f>+IF(MAYO!S253=0,"",MAYO!S253)</f>
        <v>8002100-10</v>
      </c>
      <c r="T253" s="55" t="str">
        <f>+IF(MAYO!T253=0,"",MAYO!T253)</f>
        <v>Programas Especial 09</v>
      </c>
      <c r="U253" s="29">
        <f>+ENERO!U253</f>
        <v>0</v>
      </c>
      <c r="V253" s="17">
        <f>MAYO!V253+JUNIO!AL253</f>
        <v>0</v>
      </c>
      <c r="W253" s="17">
        <f>MAYO!W253+JUNIO!AM253</f>
        <v>0</v>
      </c>
      <c r="X253" s="20">
        <f>SUM(U253:W253)</f>
        <v>0</v>
      </c>
      <c r="Y253" s="21">
        <f>MAYO!AA253</f>
        <v>0</v>
      </c>
      <c r="Z253" s="457">
        <v>0</v>
      </c>
      <c r="AA253" s="20">
        <f>SUM(Y253:Z253)</f>
        <v>0</v>
      </c>
      <c r="AB253" s="21">
        <f>MAYO!AD253</f>
        <v>0</v>
      </c>
      <c r="AC253" s="457">
        <v>0</v>
      </c>
      <c r="AD253" s="20">
        <f>SUM(AB253:AC253)</f>
        <v>0</v>
      </c>
      <c r="AE253" s="21">
        <f>MAYO!AG253</f>
        <v>0</v>
      </c>
      <c r="AF253" s="457">
        <v>0</v>
      </c>
      <c r="AG253" s="20">
        <f>SUM(AE253:AF253)</f>
        <v>0</v>
      </c>
      <c r="AH253" s="21">
        <f>X253-AA253</f>
        <v>0</v>
      </c>
      <c r="AI253" s="17">
        <f>X253-AD253</f>
        <v>0</v>
      </c>
      <c r="AJ253" s="18">
        <f>X253-AG253</f>
        <v>0</v>
      </c>
      <c r="AK253" s="10"/>
      <c r="AL253" s="455">
        <v>0</v>
      </c>
      <c r="AM253" s="458">
        <v>0</v>
      </c>
    </row>
    <row r="254" spans="1:70" x14ac:dyDescent="0.2">
      <c r="A254" s="623"/>
      <c r="B254" s="554"/>
      <c r="C254" s="467"/>
      <c r="D254" s="467"/>
      <c r="E254" s="467"/>
      <c r="F254" s="467"/>
      <c r="G254" s="467"/>
      <c r="H254" s="467"/>
      <c r="I254" s="467"/>
      <c r="J254" s="467"/>
      <c r="K254" s="467"/>
      <c r="L254" s="467"/>
      <c r="M254" s="467"/>
      <c r="N254" s="10"/>
      <c r="O254" s="467"/>
      <c r="P254" s="10"/>
      <c r="Q254" s="10"/>
      <c r="S254" s="156" t="str">
        <f>+IF(MAYO!S254=0,"",MAYO!S254)</f>
        <v>8002100-11</v>
      </c>
      <c r="T254" s="55" t="str">
        <f>+IF(MAYO!T254=0,"",MAYO!T254)</f>
        <v>Programas Especial 10</v>
      </c>
      <c r="U254" s="29">
        <f>+ENERO!U254</f>
        <v>0</v>
      </c>
      <c r="V254" s="17">
        <f>MAYO!V254+JUNIO!AL254</f>
        <v>0</v>
      </c>
      <c r="W254" s="17">
        <f>MAYO!W254+JUNIO!AM254</f>
        <v>0</v>
      </c>
      <c r="X254" s="20">
        <f>SUM(U254:W254)</f>
        <v>0</v>
      </c>
      <c r="Y254" s="21">
        <f>MAYO!AA254</f>
        <v>0</v>
      </c>
      <c r="Z254" s="457">
        <v>0</v>
      </c>
      <c r="AA254" s="20">
        <f>SUM(Y254:Z254)</f>
        <v>0</v>
      </c>
      <c r="AB254" s="21">
        <f>MAYO!AD254</f>
        <v>0</v>
      </c>
      <c r="AC254" s="457">
        <v>0</v>
      </c>
      <c r="AD254" s="20">
        <f>SUM(AB254:AC254)</f>
        <v>0</v>
      </c>
      <c r="AE254" s="21">
        <f>MAYO!AG254</f>
        <v>0</v>
      </c>
      <c r="AF254" s="457">
        <v>0</v>
      </c>
      <c r="AG254" s="20">
        <f>SUM(AE254:AF254)</f>
        <v>0</v>
      </c>
      <c r="AH254" s="21">
        <f>X254-AA254</f>
        <v>0</v>
      </c>
      <c r="AI254" s="17">
        <f>X254-AD254</f>
        <v>0</v>
      </c>
      <c r="AJ254" s="18">
        <f>X254-AG254</f>
        <v>0</v>
      </c>
      <c r="AK254" s="10"/>
      <c r="AL254" s="455">
        <v>0</v>
      </c>
      <c r="AM254" s="458">
        <v>0</v>
      </c>
    </row>
    <row r="255" spans="1:70" x14ac:dyDescent="0.2">
      <c r="A255" s="623"/>
      <c r="B255" s="554"/>
      <c r="C255" s="467"/>
      <c r="D255" s="467"/>
      <c r="E255" s="467"/>
      <c r="F255" s="467"/>
      <c r="G255" s="467"/>
      <c r="H255" s="467"/>
      <c r="I255" s="467"/>
      <c r="J255" s="467"/>
      <c r="K255" s="467"/>
      <c r="L255" s="467"/>
      <c r="M255" s="467"/>
      <c r="N255" s="10"/>
      <c r="O255" s="467"/>
      <c r="P255" s="10"/>
      <c r="Q255" s="10"/>
      <c r="S255" s="156" t="str">
        <f>+IF(MAYO!S255=0,"",MAYO!S255)</f>
        <v>8002100-12</v>
      </c>
      <c r="T255" s="55" t="str">
        <f>+IF(MAYO!T255=0,"",MAYO!T255)</f>
        <v>Programas Especial 11</v>
      </c>
      <c r="U255" s="29">
        <f>+ENERO!U255</f>
        <v>0</v>
      </c>
      <c r="V255" s="17">
        <f>MAYO!V255+JUNIO!AL255</f>
        <v>0</v>
      </c>
      <c r="W255" s="17">
        <f>MAYO!W255+JUNIO!AM255</f>
        <v>0</v>
      </c>
      <c r="X255" s="20">
        <f t="shared" si="197"/>
        <v>0</v>
      </c>
      <c r="Y255" s="21">
        <f>MAYO!AA255</f>
        <v>0</v>
      </c>
      <c r="Z255" s="457">
        <v>0</v>
      </c>
      <c r="AA255" s="20">
        <f t="shared" si="198"/>
        <v>0</v>
      </c>
      <c r="AB255" s="21">
        <f>MAYO!AD255</f>
        <v>0</v>
      </c>
      <c r="AC255" s="457">
        <v>0</v>
      </c>
      <c r="AD255" s="20">
        <f t="shared" si="199"/>
        <v>0</v>
      </c>
      <c r="AE255" s="21">
        <f>MAYO!AG255</f>
        <v>0</v>
      </c>
      <c r="AF255" s="457">
        <v>0</v>
      </c>
      <c r="AG255" s="20">
        <f t="shared" si="200"/>
        <v>0</v>
      </c>
      <c r="AH255" s="21">
        <f t="shared" si="201"/>
        <v>0</v>
      </c>
      <c r="AI255" s="17">
        <f t="shared" si="202"/>
        <v>0</v>
      </c>
      <c r="AJ255" s="18">
        <f t="shared" si="203"/>
        <v>0</v>
      </c>
      <c r="AK255" s="10"/>
      <c r="AL255" s="455">
        <v>0</v>
      </c>
      <c r="AM255" s="458">
        <v>0</v>
      </c>
    </row>
    <row r="256" spans="1:70" ht="15" thickBot="1" x14ac:dyDescent="0.25">
      <c r="A256" s="623"/>
      <c r="B256" s="554"/>
      <c r="C256" s="467"/>
      <c r="D256" s="467"/>
      <c r="E256" s="467"/>
      <c r="F256" s="467"/>
      <c r="G256" s="467"/>
      <c r="H256" s="467"/>
      <c r="I256" s="467"/>
      <c r="J256" s="467"/>
      <c r="K256" s="467"/>
      <c r="L256" s="467"/>
      <c r="M256" s="467"/>
      <c r="N256" s="10"/>
      <c r="O256" s="467"/>
      <c r="P256" s="10"/>
      <c r="Q256" s="10"/>
      <c r="S256" s="657">
        <f>+IF(MAYO!S256=0,"",MAYO!S256)</f>
        <v>8002999</v>
      </c>
      <c r="T256" s="658" t="str">
        <f>+IF(MAYO!T256=0,"",MAYO!T256)</f>
        <v>Vigencias Anteriores</v>
      </c>
      <c r="U256" s="160">
        <f>+ENERO!U256</f>
        <v>1563100</v>
      </c>
      <c r="V256" s="143">
        <f>MAYO!V256+JUNIO!AL256</f>
        <v>-1563100</v>
      </c>
      <c r="W256" s="143">
        <f>MAYO!W256+JUNIO!AM256</f>
        <v>0</v>
      </c>
      <c r="X256" s="149">
        <f t="shared" si="197"/>
        <v>0</v>
      </c>
      <c r="Y256" s="147">
        <f>MAYO!AA256</f>
        <v>0</v>
      </c>
      <c r="Z256" s="475">
        <v>0</v>
      </c>
      <c r="AA256" s="149">
        <f t="shared" si="198"/>
        <v>0</v>
      </c>
      <c r="AB256" s="147">
        <f>MAYO!AD256</f>
        <v>0</v>
      </c>
      <c r="AC256" s="475">
        <v>0</v>
      </c>
      <c r="AD256" s="149">
        <f t="shared" si="199"/>
        <v>0</v>
      </c>
      <c r="AE256" s="147">
        <f>MAYO!AG256</f>
        <v>0</v>
      </c>
      <c r="AF256" s="475">
        <v>0</v>
      </c>
      <c r="AG256" s="149">
        <f t="shared" si="200"/>
        <v>0</v>
      </c>
      <c r="AH256" s="147">
        <f t="shared" si="201"/>
        <v>0</v>
      </c>
      <c r="AI256" s="143">
        <f t="shared" si="202"/>
        <v>0</v>
      </c>
      <c r="AJ256" s="148">
        <f t="shared" si="203"/>
        <v>0</v>
      </c>
      <c r="AK256" s="10"/>
      <c r="AL256" s="471">
        <v>0</v>
      </c>
      <c r="AM256" s="476">
        <v>0</v>
      </c>
    </row>
    <row r="257" spans="1:39" ht="16.5" thickBot="1" x14ac:dyDescent="0.25">
      <c r="A257" s="623"/>
      <c r="B257" s="554"/>
      <c r="C257" s="467"/>
      <c r="D257" s="467"/>
      <c r="E257" s="467"/>
      <c r="F257" s="467"/>
      <c r="G257" s="467"/>
      <c r="H257" s="467"/>
      <c r="I257" s="467"/>
      <c r="J257" s="467"/>
      <c r="K257" s="467"/>
      <c r="L257" s="467"/>
      <c r="M257" s="467"/>
      <c r="N257" s="10"/>
      <c r="O257" s="467"/>
      <c r="P257" s="10"/>
      <c r="Q257" s="10"/>
      <c r="S257" s="643" t="str">
        <f>+IF(MAYO!S257=0,"",MAYO!S257)</f>
        <v/>
      </c>
      <c r="T257" s="357" t="str">
        <f>+IF(MAYO!T257=0,"",MAYO!T257)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x14ac:dyDescent="0.25">
      <c r="S258" s="663" t="str">
        <f>+IF(MAYO!S258=0,"",MAYO!S258)</f>
        <v>E</v>
      </c>
      <c r="T258" s="664" t="str">
        <f>+IF(MAYO!T258=0,"",MAYO!T258)</f>
        <v>DISPONIBILIDAD FINAL</v>
      </c>
      <c r="U258" s="415">
        <f>+(C10+C17+C108)-(U10+U207+U220+U232)</f>
        <v>0</v>
      </c>
      <c r="V258" s="415">
        <f t="shared" ref="V258:AJ258" si="204">+(D10+D17+D108)-(V10+V207+V220+V232)</f>
        <v>0</v>
      </c>
      <c r="W258" s="415">
        <f t="shared" si="204"/>
        <v>0</v>
      </c>
      <c r="X258" s="415">
        <f t="shared" si="204"/>
        <v>0</v>
      </c>
      <c r="Y258" s="415">
        <f t="shared" si="204"/>
        <v>344523005</v>
      </c>
      <c r="Z258" s="415">
        <f t="shared" si="204"/>
        <v>43881573</v>
      </c>
      <c r="AA258" s="415">
        <f t="shared" si="204"/>
        <v>388404578</v>
      </c>
      <c r="AB258" s="415">
        <f t="shared" si="204"/>
        <v>36335075</v>
      </c>
      <c r="AC258" s="415">
        <f t="shared" si="204"/>
        <v>-28006870</v>
      </c>
      <c r="AD258" s="415">
        <f t="shared" si="204"/>
        <v>8328205</v>
      </c>
      <c r="AE258" s="415">
        <f t="shared" si="204"/>
        <v>234638858</v>
      </c>
      <c r="AF258" s="415">
        <f t="shared" si="204"/>
        <v>1722507278</v>
      </c>
      <c r="AG258" s="415">
        <f t="shared" si="204"/>
        <v>-1480741062</v>
      </c>
      <c r="AH258" s="415">
        <f t="shared" si="204"/>
        <v>-1917296484</v>
      </c>
      <c r="AI258" s="415">
        <f t="shared" si="204"/>
        <v>-1917323497</v>
      </c>
      <c r="AJ258" s="415">
        <f t="shared" si="204"/>
        <v>-2209283133</v>
      </c>
      <c r="AK258" s="10"/>
      <c r="AL258" s="415">
        <v>0</v>
      </c>
      <c r="AM258" s="416">
        <v>0</v>
      </c>
    </row>
    <row r="259" spans="1:39" ht="17.25" thickBot="1" x14ac:dyDescent="0.25">
      <c r="S259" s="982" t="str">
        <f>+IF(MAYO!S259=0,"",MAYO!S259)</f>
        <v>TOTAL VIGENCIAS ANTERIORES</v>
      </c>
      <c r="T259" s="983"/>
      <c r="U259" s="145">
        <f t="shared" ref="U259:AJ259" si="205">+SUMIF($T$8:$T$256,$T$33,U8:U256)</f>
        <v>91581965</v>
      </c>
      <c r="V259" s="133">
        <f t="shared" si="205"/>
        <v>20797411</v>
      </c>
      <c r="W259" s="133">
        <f t="shared" si="205"/>
        <v>33540115</v>
      </c>
      <c r="X259" s="146">
        <f t="shared" si="205"/>
        <v>145919491</v>
      </c>
      <c r="Y259" s="145">
        <f t="shared" si="205"/>
        <v>145453491</v>
      </c>
      <c r="Z259" s="133">
        <f t="shared" si="205"/>
        <v>0</v>
      </c>
      <c r="AA259" s="146">
        <f t="shared" si="205"/>
        <v>145453491</v>
      </c>
      <c r="AB259" s="145">
        <f t="shared" si="205"/>
        <v>145453491</v>
      </c>
      <c r="AC259" s="133">
        <f t="shared" si="205"/>
        <v>0</v>
      </c>
      <c r="AD259" s="146">
        <f t="shared" si="205"/>
        <v>145453491</v>
      </c>
      <c r="AE259" s="145">
        <f t="shared" si="205"/>
        <v>139404555</v>
      </c>
      <c r="AF259" s="133">
        <f t="shared" si="205"/>
        <v>0</v>
      </c>
      <c r="AG259" s="146">
        <f t="shared" si="205"/>
        <v>139404555</v>
      </c>
      <c r="AH259" s="145">
        <f t="shared" si="205"/>
        <v>466000</v>
      </c>
      <c r="AI259" s="133">
        <f t="shared" si="205"/>
        <v>466000</v>
      </c>
      <c r="AJ259" s="134">
        <f t="shared" si="205"/>
        <v>6514936</v>
      </c>
      <c r="AK259" s="12"/>
      <c r="AL259" s="145">
        <f>+SUMIF(AK8:AK256,AK33,AL8:AL256)</f>
        <v>0</v>
      </c>
      <c r="AM259" s="134">
        <f>+SUMIF(AL8:AL256,AL33,AM8:AM256)</f>
        <v>0</v>
      </c>
    </row>
    <row r="260" spans="1:39" x14ac:dyDescent="0.2">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114</vt:i4>
      </vt:variant>
    </vt:vector>
  </HeadingPairs>
  <TitlesOfParts>
    <vt:vector size="130" baseType="lpstr">
      <vt:lpstr>INSTRUCCIONES</vt:lpstr>
      <vt:lpstr>SEGUIMIENTO EQUILIBRIO</vt:lpstr>
      <vt:lpstr>VERIFICACION MANTENIMIENTO</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SEPTIEMBRE!Área_de_impresión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Gerente</cp:lastModifiedBy>
  <cp:lastPrinted>2014-10-27T19:36:14Z</cp:lastPrinted>
  <dcterms:created xsi:type="dcterms:W3CDTF">2009-01-29T18:34:20Z</dcterms:created>
  <dcterms:modified xsi:type="dcterms:W3CDTF">2015-02-17T21:57:51Z</dcterms:modified>
</cp:coreProperties>
</file>